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ОТЧЕТЫ по транспортировке 2014-2020\"/>
    </mc:Choice>
  </mc:AlternateContent>
  <bookViews>
    <workbookView xWindow="0" yWindow="0" windowWidth="21570" windowHeight="10215"/>
  </bookViews>
  <sheets>
    <sheet name="Смета по ФСНБ 421+557прРИМ_1" sheetId="9" r:id="rId1"/>
    <sheet name="Source" sheetId="1" state="hidden" r:id="rId2"/>
    <sheet name="SourceObSm" sheetId="2" state="hidden" r:id="rId3"/>
    <sheet name="SmtRes" sheetId="3" state="hidden" r:id="rId4"/>
    <sheet name="EtalonRes" sheetId="4" state="hidden" r:id="rId5"/>
    <sheet name="SrcPoprs" sheetId="5" state="hidden" r:id="rId6"/>
    <sheet name="SrcKA" sheetId="6" state="hidden" r:id="rId7"/>
  </sheets>
  <definedNames>
    <definedName name="_xlnm.Print_Titles" localSheetId="0">'Смета по ФСНБ 421+557прРИМ_1'!$42:$42</definedName>
    <definedName name="_xlnm.Print_Area" localSheetId="0">'Смета по ФСНБ 421+557прРИМ_1'!$A$1:$L$587</definedName>
  </definedNames>
  <calcPr calcId="162913" iterate="1"/>
</workbook>
</file>

<file path=xl/calcChain.xml><?xml version="1.0" encoding="utf-8"?>
<calcChain xmlns="http://schemas.openxmlformats.org/spreadsheetml/2006/main">
  <c r="H585" i="9" l="1"/>
  <c r="H582" i="9"/>
  <c r="C585" i="9"/>
  <c r="C582" i="9"/>
  <c r="K34" i="9"/>
  <c r="K33" i="9"/>
  <c r="C36" i="9"/>
  <c r="C35" i="9"/>
  <c r="C34" i="9"/>
  <c r="C33" i="9"/>
  <c r="C30" i="9"/>
  <c r="G578" i="9"/>
  <c r="G577" i="9"/>
  <c r="L576" i="9"/>
  <c r="L575" i="9"/>
  <c r="L572" i="9"/>
  <c r="L571" i="9"/>
  <c r="L565" i="9"/>
  <c r="L564" i="9"/>
  <c r="L560" i="9"/>
  <c r="L548" i="9"/>
  <c r="L547" i="9"/>
  <c r="L546" i="9"/>
  <c r="L545" i="9"/>
  <c r="L544" i="9"/>
  <c r="L543" i="9"/>
  <c r="L540" i="9"/>
  <c r="L539" i="9"/>
  <c r="L537" i="9"/>
  <c r="L534" i="9"/>
  <c r="L529" i="9"/>
  <c r="L528" i="9"/>
  <c r="L527" i="9"/>
  <c r="L522" i="9"/>
  <c r="L521" i="9"/>
  <c r="L519" i="9" s="1"/>
  <c r="L514" i="9"/>
  <c r="L513" i="9"/>
  <c r="L509" i="9"/>
  <c r="L494" i="9"/>
  <c r="L493" i="9"/>
  <c r="L489" i="9"/>
  <c r="G474" i="9"/>
  <c r="G473" i="9"/>
  <c r="L472" i="9"/>
  <c r="L471" i="9"/>
  <c r="L468" i="9"/>
  <c r="L467" i="9"/>
  <c r="L465" i="9"/>
  <c r="L464" i="9"/>
  <c r="L462" i="9" s="1"/>
  <c r="L458" i="9"/>
  <c r="L457" i="9"/>
  <c r="L453" i="9"/>
  <c r="AW443" i="9"/>
  <c r="BA443" i="9"/>
  <c r="L442" i="9" s="1"/>
  <c r="AZ443" i="9"/>
  <c r="L441" i="9" s="1"/>
  <c r="AE443" i="9"/>
  <c r="AD443" i="9"/>
  <c r="G442" i="9"/>
  <c r="E442" i="9"/>
  <c r="G441" i="9"/>
  <c r="E441" i="9"/>
  <c r="G434" i="9"/>
  <c r="L438" i="9"/>
  <c r="J438" i="9"/>
  <c r="E438" i="9"/>
  <c r="L437" i="9"/>
  <c r="J437" i="9"/>
  <c r="G437" i="9"/>
  <c r="L436" i="9"/>
  <c r="L434" i="9" s="1"/>
  <c r="J436" i="9"/>
  <c r="E436" i="9"/>
  <c r="G436" i="9" s="1"/>
  <c r="L435" i="9"/>
  <c r="I435" i="9"/>
  <c r="H435" i="9"/>
  <c r="G435" i="9"/>
  <c r="L432" i="9"/>
  <c r="L431" i="9" s="1"/>
  <c r="J432" i="9"/>
  <c r="G432" i="9"/>
  <c r="G431" i="9"/>
  <c r="E430" i="9"/>
  <c r="G430" i="9"/>
  <c r="D430" i="9"/>
  <c r="C430" i="9"/>
  <c r="BA429" i="9"/>
  <c r="L428" i="9" s="1"/>
  <c r="AZ429" i="9"/>
  <c r="L427" i="9" s="1"/>
  <c r="AE429" i="9"/>
  <c r="AD429" i="9"/>
  <c r="G428" i="9"/>
  <c r="E428" i="9"/>
  <c r="G427" i="9"/>
  <c r="E427" i="9"/>
  <c r="G424" i="9"/>
  <c r="E424" i="9"/>
  <c r="D424" i="9"/>
  <c r="C424" i="9"/>
  <c r="B424" i="9"/>
  <c r="L423" i="9"/>
  <c r="J423" i="9"/>
  <c r="G423" i="9"/>
  <c r="L422" i="9"/>
  <c r="I422" i="9"/>
  <c r="H422" i="9"/>
  <c r="G422" i="9"/>
  <c r="G418" i="9"/>
  <c r="L420" i="9"/>
  <c r="L418" i="9" s="1"/>
  <c r="AT429" i="9" s="1"/>
  <c r="J420" i="9"/>
  <c r="E420" i="9"/>
  <c r="L419" i="9"/>
  <c r="I419" i="9"/>
  <c r="H419" i="9"/>
  <c r="J419" i="9" s="1"/>
  <c r="G419" i="9"/>
  <c r="L416" i="9"/>
  <c r="L414" i="9" s="1"/>
  <c r="AR429" i="9" s="1"/>
  <c r="L426" i="9" s="1"/>
  <c r="J416" i="9"/>
  <c r="G416" i="9"/>
  <c r="L415" i="9"/>
  <c r="J415" i="9"/>
  <c r="G415" i="9"/>
  <c r="G414" i="9"/>
  <c r="E413" i="9"/>
  <c r="G413" i="9"/>
  <c r="D413" i="9"/>
  <c r="C413" i="9"/>
  <c r="AW412" i="9"/>
  <c r="BA412" i="9"/>
  <c r="L411" i="9" s="1"/>
  <c r="AZ412" i="9"/>
  <c r="L410" i="9" s="1"/>
  <c r="AE412" i="9"/>
  <c r="AD412" i="9"/>
  <c r="G411" i="9"/>
  <c r="E411" i="9"/>
  <c r="G410" i="9"/>
  <c r="E410" i="9"/>
  <c r="G405" i="9"/>
  <c r="L407" i="9"/>
  <c r="L405" i="9" s="1"/>
  <c r="AT412" i="9" s="1"/>
  <c r="J407" i="9"/>
  <c r="E407" i="9"/>
  <c r="L406" i="9"/>
  <c r="J406" i="9"/>
  <c r="G406" i="9"/>
  <c r="L403" i="9"/>
  <c r="L402" i="9" s="1"/>
  <c r="AR412" i="9" s="1"/>
  <c r="J403" i="9"/>
  <c r="G403" i="9"/>
  <c r="G402" i="9"/>
  <c r="C401" i="9"/>
  <c r="E400" i="9"/>
  <c r="G400" i="9"/>
  <c r="D400" i="9"/>
  <c r="C400" i="9"/>
  <c r="BA399" i="9"/>
  <c r="AZ399" i="9"/>
  <c r="AE399" i="9"/>
  <c r="AD399" i="9"/>
  <c r="G398" i="9"/>
  <c r="E398" i="9"/>
  <c r="G397" i="9"/>
  <c r="E397" i="9"/>
  <c r="BA395" i="9"/>
  <c r="AZ395" i="9"/>
  <c r="AE395" i="9"/>
  <c r="AD395" i="9"/>
  <c r="L395" i="9"/>
  <c r="AW395" i="9" s="1"/>
  <c r="I395" i="9"/>
  <c r="H395" i="9"/>
  <c r="E395" i="9"/>
  <c r="G395" i="9"/>
  <c r="D395" i="9"/>
  <c r="C395" i="9"/>
  <c r="B395" i="9"/>
  <c r="G393" i="9"/>
  <c r="E393" i="9"/>
  <c r="D393" i="9"/>
  <c r="C393" i="9"/>
  <c r="B393" i="9"/>
  <c r="L392" i="9"/>
  <c r="L391" i="9" s="1"/>
  <c r="AW399" i="9" s="1"/>
  <c r="I392" i="9"/>
  <c r="H392" i="9"/>
  <c r="G392" i="9"/>
  <c r="G386" i="9"/>
  <c r="L390" i="9"/>
  <c r="J390" i="9"/>
  <c r="E390" i="9"/>
  <c r="L389" i="9"/>
  <c r="J389" i="9"/>
  <c r="G389" i="9"/>
  <c r="L388" i="9"/>
  <c r="J388" i="9"/>
  <c r="E388" i="9"/>
  <c r="L387" i="9"/>
  <c r="J387" i="9"/>
  <c r="G387" i="9"/>
  <c r="L384" i="9"/>
  <c r="L383" i="9" s="1"/>
  <c r="J384" i="9"/>
  <c r="G384" i="9"/>
  <c r="G383" i="9"/>
  <c r="E382" i="9"/>
  <c r="G382" i="9"/>
  <c r="D382" i="9"/>
  <c r="C382" i="9"/>
  <c r="BA381" i="9"/>
  <c r="AZ381" i="9"/>
  <c r="AE381" i="9"/>
  <c r="AD381" i="9"/>
  <c r="G380" i="9"/>
  <c r="E380" i="9"/>
  <c r="G379" i="9"/>
  <c r="E379" i="9"/>
  <c r="BA377" i="9"/>
  <c r="AZ377" i="9"/>
  <c r="AE377" i="9"/>
  <c r="AD377" i="9"/>
  <c r="L377" i="9"/>
  <c r="AN377" i="9" s="1"/>
  <c r="I377" i="9"/>
  <c r="H377" i="9"/>
  <c r="J377" i="9" s="1"/>
  <c r="E377" i="9"/>
  <c r="G377" i="9"/>
  <c r="D377" i="9"/>
  <c r="C377" i="9"/>
  <c r="B377" i="9"/>
  <c r="G375" i="9"/>
  <c r="E375" i="9"/>
  <c r="D375" i="9"/>
  <c r="C375" i="9"/>
  <c r="B375" i="9"/>
  <c r="L374" i="9"/>
  <c r="I374" i="9"/>
  <c r="H374" i="9"/>
  <c r="J374" i="9" s="1"/>
  <c r="G374" i="9"/>
  <c r="L373" i="9"/>
  <c r="I373" i="9"/>
  <c r="H373" i="9"/>
  <c r="J373" i="9" s="1"/>
  <c r="G373" i="9"/>
  <c r="G366" i="9"/>
  <c r="L371" i="9"/>
  <c r="L366" i="9" s="1"/>
  <c r="AT381" i="9" s="1"/>
  <c r="J371" i="9"/>
  <c r="E371" i="9"/>
  <c r="L370" i="9"/>
  <c r="J370" i="9"/>
  <c r="G370" i="9"/>
  <c r="L369" i="9"/>
  <c r="I369" i="9"/>
  <c r="H369" i="9"/>
  <c r="G369" i="9"/>
  <c r="L368" i="9"/>
  <c r="J368" i="9"/>
  <c r="E368" i="9"/>
  <c r="L367" i="9"/>
  <c r="I367" i="9"/>
  <c r="H367" i="9"/>
  <c r="G367" i="9"/>
  <c r="L364" i="9"/>
  <c r="L363" i="9" s="1"/>
  <c r="J364" i="9"/>
  <c r="G364" i="9"/>
  <c r="G363" i="9"/>
  <c r="C362" i="9"/>
  <c r="E361" i="9"/>
  <c r="G361" i="9"/>
  <c r="D361" i="9"/>
  <c r="C361" i="9"/>
  <c r="AT360" i="9"/>
  <c r="AR360" i="9"/>
  <c r="AO360" i="9"/>
  <c r="BA360" i="9"/>
  <c r="AZ360" i="9"/>
  <c r="AE360" i="9"/>
  <c r="AD360" i="9"/>
  <c r="L359" i="9"/>
  <c r="AW360" i="9" s="1"/>
  <c r="I359" i="9"/>
  <c r="H359" i="9"/>
  <c r="E359" i="9"/>
  <c r="G359" i="9"/>
  <c r="D359" i="9"/>
  <c r="C359" i="9"/>
  <c r="B359" i="9"/>
  <c r="AT358" i="9"/>
  <c r="AR358" i="9"/>
  <c r="AO358" i="9"/>
  <c r="BA358" i="9"/>
  <c r="AZ358" i="9"/>
  <c r="AE358" i="9"/>
  <c r="AD358" i="9"/>
  <c r="C357" i="9"/>
  <c r="L356" i="9"/>
  <c r="AW358" i="9" s="1"/>
  <c r="I356" i="9"/>
  <c r="H356" i="9"/>
  <c r="J356" i="9" s="1"/>
  <c r="E356" i="9"/>
  <c r="G356" i="9"/>
  <c r="D356" i="9"/>
  <c r="C356" i="9"/>
  <c r="B356" i="9"/>
  <c r="AW355" i="9"/>
  <c r="BA355" i="9"/>
  <c r="L354" i="9" s="1"/>
  <c r="AZ355" i="9"/>
  <c r="L353" i="9" s="1"/>
  <c r="AE355" i="9"/>
  <c r="AD355" i="9"/>
  <c r="G354" i="9"/>
  <c r="E354" i="9"/>
  <c r="G353" i="9"/>
  <c r="E353" i="9"/>
  <c r="G350" i="9"/>
  <c r="E350" i="9"/>
  <c r="D350" i="9"/>
  <c r="C350" i="9"/>
  <c r="B350" i="9"/>
  <c r="G346" i="9"/>
  <c r="L349" i="9"/>
  <c r="J349" i="9"/>
  <c r="G349" i="9"/>
  <c r="L348" i="9"/>
  <c r="L346" i="9" s="1"/>
  <c r="J348" i="9"/>
  <c r="E348" i="9"/>
  <c r="L347" i="9"/>
  <c r="I347" i="9"/>
  <c r="H347" i="9"/>
  <c r="G347" i="9"/>
  <c r="L344" i="9"/>
  <c r="L343" i="9" s="1"/>
  <c r="J344" i="9"/>
  <c r="G344" i="9"/>
  <c r="G343" i="9"/>
  <c r="C342" i="9"/>
  <c r="E341" i="9"/>
  <c r="G341" i="9"/>
  <c r="D341" i="9"/>
  <c r="C341" i="9"/>
  <c r="AT340" i="9"/>
  <c r="AR340" i="9"/>
  <c r="AO340" i="9"/>
  <c r="BA340" i="9"/>
  <c r="AZ340" i="9"/>
  <c r="AE340" i="9"/>
  <c r="AD340" i="9"/>
  <c r="C339" i="9"/>
  <c r="L338" i="9"/>
  <c r="K340" i="9" s="1"/>
  <c r="I338" i="9"/>
  <c r="H338" i="9"/>
  <c r="E338" i="9"/>
  <c r="G338" i="9"/>
  <c r="D338" i="9"/>
  <c r="C338" i="9"/>
  <c r="B338" i="9"/>
  <c r="AW337" i="9"/>
  <c r="BA337" i="9"/>
  <c r="AZ337" i="9"/>
  <c r="AE337" i="9"/>
  <c r="AD337" i="9"/>
  <c r="G336" i="9"/>
  <c r="E336" i="9"/>
  <c r="G335" i="9"/>
  <c r="E335" i="9"/>
  <c r="BA333" i="9"/>
  <c r="AZ333" i="9"/>
  <c r="L335" i="9" s="1"/>
  <c r="AE333" i="9"/>
  <c r="AD333" i="9"/>
  <c r="L333" i="9"/>
  <c r="AW333" i="9" s="1"/>
  <c r="E333" i="9"/>
  <c r="G333" i="9"/>
  <c r="D333" i="9"/>
  <c r="C333" i="9"/>
  <c r="B333" i="9"/>
  <c r="G328" i="9"/>
  <c r="L331" i="9"/>
  <c r="I331" i="9"/>
  <c r="H331" i="9"/>
  <c r="G331" i="9"/>
  <c r="L330" i="9"/>
  <c r="L328" i="9" s="1"/>
  <c r="J330" i="9"/>
  <c r="E330" i="9"/>
  <c r="L329" i="9"/>
  <c r="I329" i="9"/>
  <c r="H329" i="9"/>
  <c r="J329" i="9" s="1"/>
  <c r="G329" i="9"/>
  <c r="L326" i="9"/>
  <c r="L325" i="9" s="1"/>
  <c r="J326" i="9"/>
  <c r="G326" i="9"/>
  <c r="G325" i="9"/>
  <c r="E324" i="9"/>
  <c r="G324" i="9"/>
  <c r="D324" i="9"/>
  <c r="C324" i="9"/>
  <c r="AT323" i="9"/>
  <c r="AR323" i="9"/>
  <c r="AO323" i="9"/>
  <c r="BA323" i="9"/>
  <c r="AZ323" i="9"/>
  <c r="AE323" i="9"/>
  <c r="AD323" i="9"/>
  <c r="C322" i="9"/>
  <c r="L321" i="9"/>
  <c r="K323" i="9" s="1"/>
  <c r="I321" i="9"/>
  <c r="H321" i="9"/>
  <c r="J321" i="9" s="1"/>
  <c r="E321" i="9"/>
  <c r="I323" i="9" s="1"/>
  <c r="G321" i="9"/>
  <c r="D321" i="9"/>
  <c r="C321" i="9"/>
  <c r="B321" i="9"/>
  <c r="AW320" i="9"/>
  <c r="BA320" i="9"/>
  <c r="AZ320" i="9"/>
  <c r="AE320" i="9"/>
  <c r="AD320" i="9"/>
  <c r="G319" i="9"/>
  <c r="E319" i="9"/>
  <c r="G318" i="9"/>
  <c r="E318" i="9"/>
  <c r="BA316" i="9"/>
  <c r="AZ316" i="9"/>
  <c r="AE316" i="9"/>
  <c r="AD316" i="9"/>
  <c r="L316" i="9"/>
  <c r="E316" i="9"/>
  <c r="G316" i="9"/>
  <c r="D316" i="9"/>
  <c r="C316" i="9"/>
  <c r="B316" i="9"/>
  <c r="G311" i="9"/>
  <c r="L314" i="9"/>
  <c r="I314" i="9"/>
  <c r="H314" i="9"/>
  <c r="J314" i="9" s="1"/>
  <c r="G314" i="9"/>
  <c r="L313" i="9"/>
  <c r="L311" i="9" s="1"/>
  <c r="AT320" i="9" s="1"/>
  <c r="J313" i="9"/>
  <c r="E313" i="9"/>
  <c r="G313" i="9" s="1"/>
  <c r="L312" i="9"/>
  <c r="I312" i="9"/>
  <c r="H312" i="9"/>
  <c r="J312" i="9" s="1"/>
  <c r="G312" i="9"/>
  <c r="L309" i="9"/>
  <c r="L308" i="9" s="1"/>
  <c r="AR320" i="9" s="1"/>
  <c r="J309" i="9"/>
  <c r="G309" i="9"/>
  <c r="G308" i="9"/>
  <c r="E307" i="9"/>
  <c r="G307" i="9"/>
  <c r="D307" i="9"/>
  <c r="C307" i="9"/>
  <c r="AT306" i="9"/>
  <c r="AR306" i="9"/>
  <c r="AO306" i="9"/>
  <c r="BA306" i="9"/>
  <c r="AZ306" i="9"/>
  <c r="AE306" i="9"/>
  <c r="AD306" i="9"/>
  <c r="L305" i="9"/>
  <c r="K306" i="9" s="1"/>
  <c r="I305" i="9"/>
  <c r="H305" i="9"/>
  <c r="E305" i="9"/>
  <c r="G305" i="9"/>
  <c r="D305" i="9"/>
  <c r="C305" i="9"/>
  <c r="B305" i="9"/>
  <c r="BA304" i="9"/>
  <c r="L303" i="9" s="1"/>
  <c r="AZ304" i="9"/>
  <c r="L302" i="9" s="1"/>
  <c r="AE304" i="9"/>
  <c r="AD304" i="9"/>
  <c r="G303" i="9"/>
  <c r="E303" i="9"/>
  <c r="G302" i="9"/>
  <c r="E302" i="9"/>
  <c r="L298" i="9"/>
  <c r="I298" i="9"/>
  <c r="H298" i="9"/>
  <c r="G298" i="9"/>
  <c r="L297" i="9"/>
  <c r="J297" i="9"/>
  <c r="G297" i="9"/>
  <c r="L296" i="9"/>
  <c r="I296" i="9"/>
  <c r="H296" i="9"/>
  <c r="G296" i="9"/>
  <c r="L295" i="9"/>
  <c r="I295" i="9"/>
  <c r="H295" i="9"/>
  <c r="G295" i="9"/>
  <c r="L294" i="9"/>
  <c r="I294" i="9"/>
  <c r="H294" i="9"/>
  <c r="J294" i="9" s="1"/>
  <c r="G294" i="9"/>
  <c r="L293" i="9"/>
  <c r="I293" i="9"/>
  <c r="H293" i="9"/>
  <c r="G293" i="9"/>
  <c r="L292" i="9"/>
  <c r="J292" i="9"/>
  <c r="G292" i="9"/>
  <c r="L291" i="9"/>
  <c r="J291" i="9"/>
  <c r="G291" i="9"/>
  <c r="L290" i="9"/>
  <c r="I290" i="9"/>
  <c r="H290" i="9"/>
  <c r="G290" i="9"/>
  <c r="L289" i="9"/>
  <c r="J289" i="9"/>
  <c r="G289" i="9"/>
  <c r="G283" i="9"/>
  <c r="L287" i="9"/>
  <c r="J287" i="9"/>
  <c r="G287" i="9"/>
  <c r="L286" i="9"/>
  <c r="I286" i="9"/>
  <c r="H286" i="9"/>
  <c r="G286" i="9"/>
  <c r="L285" i="9"/>
  <c r="L283" i="9" s="1"/>
  <c r="J285" i="9"/>
  <c r="E285" i="9"/>
  <c r="L284" i="9"/>
  <c r="J284" i="9"/>
  <c r="G284" i="9"/>
  <c r="L281" i="9"/>
  <c r="L280" i="9" s="1"/>
  <c r="J281" i="9"/>
  <c r="G281" i="9"/>
  <c r="G280" i="9"/>
  <c r="E279" i="9"/>
  <c r="G279" i="9"/>
  <c r="D279" i="9"/>
  <c r="C279" i="9"/>
  <c r="BA278" i="9"/>
  <c r="AZ278" i="9"/>
  <c r="AE278" i="9"/>
  <c r="AD278" i="9"/>
  <c r="G277" i="9"/>
  <c r="E277" i="9"/>
  <c r="G276" i="9"/>
  <c r="E276" i="9"/>
  <c r="BA274" i="9"/>
  <c r="AZ274" i="9"/>
  <c r="AE274" i="9"/>
  <c r="AD274" i="9"/>
  <c r="L274" i="9"/>
  <c r="AW274" i="9" s="1"/>
  <c r="I274" i="9"/>
  <c r="H274" i="9"/>
  <c r="E274" i="9"/>
  <c r="G274" i="9"/>
  <c r="D274" i="9"/>
  <c r="C274" i="9"/>
  <c r="B274" i="9"/>
  <c r="L271" i="9"/>
  <c r="I271" i="9"/>
  <c r="H271" i="9"/>
  <c r="G271" i="9"/>
  <c r="L270" i="9"/>
  <c r="I270" i="9"/>
  <c r="H270" i="9"/>
  <c r="G270" i="9"/>
  <c r="L269" i="9"/>
  <c r="J269" i="9"/>
  <c r="G269" i="9"/>
  <c r="L268" i="9"/>
  <c r="J268" i="9"/>
  <c r="G268" i="9"/>
  <c r="L267" i="9"/>
  <c r="I267" i="9"/>
  <c r="H267" i="9"/>
  <c r="G267" i="9"/>
  <c r="L266" i="9"/>
  <c r="J266" i="9"/>
  <c r="G266" i="9"/>
  <c r="G258" i="9"/>
  <c r="L264" i="9"/>
  <c r="J264" i="9"/>
  <c r="G264" i="9"/>
  <c r="L263" i="9"/>
  <c r="I263" i="9"/>
  <c r="H263" i="9"/>
  <c r="G263" i="9"/>
  <c r="L262" i="9"/>
  <c r="J262" i="9"/>
  <c r="E262" i="9"/>
  <c r="L261" i="9"/>
  <c r="J261" i="9"/>
  <c r="G261" i="9"/>
  <c r="L260" i="9"/>
  <c r="J260" i="9"/>
  <c r="E260" i="9"/>
  <c r="L259" i="9"/>
  <c r="J259" i="9"/>
  <c r="G259" i="9"/>
  <c r="L256" i="9"/>
  <c r="L255" i="9" s="1"/>
  <c r="J256" i="9"/>
  <c r="G256" i="9"/>
  <c r="G255" i="9"/>
  <c r="E254" i="9"/>
  <c r="G254" i="9"/>
  <c r="D254" i="9"/>
  <c r="C254" i="9"/>
  <c r="AT253" i="9"/>
  <c r="AR253" i="9"/>
  <c r="AO253" i="9"/>
  <c r="BA253" i="9"/>
  <c r="AZ253" i="9"/>
  <c r="AE253" i="9"/>
  <c r="AD253" i="9"/>
  <c r="L252" i="9"/>
  <c r="K253" i="9" s="1"/>
  <c r="I252" i="9"/>
  <c r="H252" i="9"/>
  <c r="E252" i="9"/>
  <c r="G252" i="9"/>
  <c r="D252" i="9"/>
  <c r="C252" i="9"/>
  <c r="B252" i="9"/>
  <c r="BA251" i="9"/>
  <c r="L250" i="9" s="1"/>
  <c r="AZ251" i="9"/>
  <c r="L249" i="9" s="1"/>
  <c r="AE251" i="9"/>
  <c r="AD251" i="9"/>
  <c r="G250" i="9"/>
  <c r="E250" i="9"/>
  <c r="G249" i="9"/>
  <c r="E249" i="9"/>
  <c r="L245" i="9"/>
  <c r="I245" i="9"/>
  <c r="H245" i="9"/>
  <c r="G245" i="9"/>
  <c r="L244" i="9"/>
  <c r="I244" i="9"/>
  <c r="H244" i="9"/>
  <c r="G244" i="9"/>
  <c r="L243" i="9"/>
  <c r="J243" i="9"/>
  <c r="G243" i="9"/>
  <c r="G236" i="9"/>
  <c r="L241" i="9"/>
  <c r="J241" i="9"/>
  <c r="G241" i="9"/>
  <c r="L240" i="9"/>
  <c r="I240" i="9"/>
  <c r="H240" i="9"/>
  <c r="G240" i="9"/>
  <c r="L239" i="9"/>
  <c r="I239" i="9"/>
  <c r="H239" i="9"/>
  <c r="G239" i="9"/>
  <c r="L238" i="9"/>
  <c r="L236" i="9" s="1"/>
  <c r="AT251" i="9" s="1"/>
  <c r="J238" i="9"/>
  <c r="E238" i="9"/>
  <c r="L237" i="9"/>
  <c r="J237" i="9"/>
  <c r="G237" i="9"/>
  <c r="L234" i="9"/>
  <c r="J234" i="9"/>
  <c r="G234" i="9"/>
  <c r="L233" i="9"/>
  <c r="J233" i="9"/>
  <c r="G233" i="9"/>
  <c r="G232" i="9"/>
  <c r="C231" i="9"/>
  <c r="E230" i="9"/>
  <c r="G230" i="9"/>
  <c r="D230" i="9"/>
  <c r="C230" i="9"/>
  <c r="BA229" i="9"/>
  <c r="AZ229" i="9"/>
  <c r="AE229" i="9"/>
  <c r="AD229" i="9"/>
  <c r="G228" i="9"/>
  <c r="E228" i="9"/>
  <c r="G227" i="9"/>
  <c r="E227" i="9"/>
  <c r="BA225" i="9"/>
  <c r="AZ225" i="9"/>
  <c r="AE225" i="9"/>
  <c r="AD225" i="9"/>
  <c r="L225" i="9"/>
  <c r="AN225" i="9" s="1"/>
  <c r="I225" i="9"/>
  <c r="H225" i="9"/>
  <c r="E225" i="9"/>
  <c r="G225" i="9"/>
  <c r="D225" i="9"/>
  <c r="C225" i="9"/>
  <c r="B225" i="9"/>
  <c r="G223" i="9"/>
  <c r="E223" i="9"/>
  <c r="D223" i="9"/>
  <c r="C223" i="9"/>
  <c r="B223" i="9"/>
  <c r="L222" i="9"/>
  <c r="I222" i="9"/>
  <c r="H222" i="9"/>
  <c r="G222" i="9"/>
  <c r="L221" i="9"/>
  <c r="I221" i="9"/>
  <c r="H221" i="9"/>
  <c r="G221" i="9"/>
  <c r="L217" i="9"/>
  <c r="AT229" i="9" s="1"/>
  <c r="G217" i="9"/>
  <c r="L219" i="9"/>
  <c r="I219" i="9"/>
  <c r="H219" i="9"/>
  <c r="G219" i="9"/>
  <c r="L218" i="9"/>
  <c r="I218" i="9"/>
  <c r="H218" i="9"/>
  <c r="G218" i="9"/>
  <c r="L215" i="9"/>
  <c r="L214" i="9" s="1"/>
  <c r="AR229" i="9" s="1"/>
  <c r="J215" i="9"/>
  <c r="G215" i="9"/>
  <c r="G214" i="9"/>
  <c r="E213" i="9"/>
  <c r="G213" i="9"/>
  <c r="D213" i="9"/>
  <c r="C213" i="9"/>
  <c r="BA212" i="9"/>
  <c r="AZ212" i="9"/>
  <c r="AE212" i="9"/>
  <c r="AD212" i="9"/>
  <c r="G211" i="9"/>
  <c r="E211" i="9"/>
  <c r="G210" i="9"/>
  <c r="E210" i="9"/>
  <c r="BA208" i="9"/>
  <c r="AZ208" i="9"/>
  <c r="AE208" i="9"/>
  <c r="AD208" i="9"/>
  <c r="L208" i="9"/>
  <c r="AN208" i="9" s="1"/>
  <c r="I208" i="9"/>
  <c r="H208" i="9"/>
  <c r="E208" i="9"/>
  <c r="G208" i="9"/>
  <c r="D208" i="9"/>
  <c r="C208" i="9"/>
  <c r="B208" i="9"/>
  <c r="BA207" i="9"/>
  <c r="AZ207" i="9"/>
  <c r="AE207" i="9"/>
  <c r="AD207" i="9"/>
  <c r="L207" i="9"/>
  <c r="AW207" i="9" s="1"/>
  <c r="I207" i="9"/>
  <c r="H207" i="9"/>
  <c r="E207" i="9"/>
  <c r="G207" i="9"/>
  <c r="D207" i="9"/>
  <c r="C207" i="9"/>
  <c r="B207" i="9"/>
  <c r="L204" i="9"/>
  <c r="I204" i="9"/>
  <c r="H204" i="9"/>
  <c r="G204" i="9"/>
  <c r="L203" i="9"/>
  <c r="J203" i="9"/>
  <c r="G203" i="9"/>
  <c r="L202" i="9"/>
  <c r="J202" i="9"/>
  <c r="G202" i="9"/>
  <c r="L201" i="9"/>
  <c r="J201" i="9"/>
  <c r="G201" i="9"/>
  <c r="L200" i="9"/>
  <c r="I200" i="9"/>
  <c r="H200" i="9"/>
  <c r="J200" i="9" s="1"/>
  <c r="G200" i="9"/>
  <c r="L199" i="9"/>
  <c r="J199" i="9"/>
  <c r="G199" i="9"/>
  <c r="G186" i="9"/>
  <c r="L197" i="9"/>
  <c r="I197" i="9"/>
  <c r="H197" i="9"/>
  <c r="G197" i="9"/>
  <c r="L196" i="9"/>
  <c r="I196" i="9"/>
  <c r="H196" i="9"/>
  <c r="G196" i="9"/>
  <c r="L195" i="9"/>
  <c r="J195" i="9"/>
  <c r="G195" i="9"/>
  <c r="L194" i="9"/>
  <c r="I194" i="9"/>
  <c r="H194" i="9"/>
  <c r="G194" i="9"/>
  <c r="L193" i="9"/>
  <c r="J193" i="9"/>
  <c r="E193" i="9"/>
  <c r="L192" i="9"/>
  <c r="J192" i="9"/>
  <c r="G192" i="9"/>
  <c r="L191" i="9"/>
  <c r="I191" i="9"/>
  <c r="H191" i="9"/>
  <c r="G191" i="9"/>
  <c r="L190" i="9"/>
  <c r="J190" i="9"/>
  <c r="E190" i="9"/>
  <c r="L189" i="9"/>
  <c r="J189" i="9"/>
  <c r="G189" i="9"/>
  <c r="L188" i="9"/>
  <c r="J188" i="9"/>
  <c r="E188" i="9"/>
  <c r="L187" i="9"/>
  <c r="I187" i="9"/>
  <c r="H187" i="9"/>
  <c r="G187" i="9"/>
  <c r="L184" i="9"/>
  <c r="L183" i="9" s="1"/>
  <c r="J184" i="9"/>
  <c r="G184" i="9"/>
  <c r="G183" i="9"/>
  <c r="C182" i="9"/>
  <c r="E181" i="9"/>
  <c r="G181" i="9"/>
  <c r="D181" i="9"/>
  <c r="C181" i="9"/>
  <c r="BA180" i="9"/>
  <c r="AZ180" i="9"/>
  <c r="AE180" i="9"/>
  <c r="AD180" i="9"/>
  <c r="G179" i="9"/>
  <c r="E179" i="9"/>
  <c r="G178" i="9"/>
  <c r="E178" i="9"/>
  <c r="BA176" i="9"/>
  <c r="AZ176" i="9"/>
  <c r="AE176" i="9"/>
  <c r="AD176" i="9"/>
  <c r="L176" i="9"/>
  <c r="AW176" i="9" s="1"/>
  <c r="J176" i="9"/>
  <c r="E176" i="9"/>
  <c r="G176" i="9"/>
  <c r="D176" i="9"/>
  <c r="C176" i="9"/>
  <c r="B176" i="9"/>
  <c r="G174" i="9"/>
  <c r="E174" i="9"/>
  <c r="D174" i="9"/>
  <c r="C174" i="9"/>
  <c r="B174" i="9"/>
  <c r="L173" i="9"/>
  <c r="I173" i="9"/>
  <c r="H173" i="9"/>
  <c r="G173" i="9"/>
  <c r="L172" i="9"/>
  <c r="I172" i="9"/>
  <c r="H172" i="9"/>
  <c r="G172" i="9"/>
  <c r="L171" i="9"/>
  <c r="I171" i="9"/>
  <c r="H171" i="9"/>
  <c r="G171" i="9"/>
  <c r="L170" i="9"/>
  <c r="I170" i="9"/>
  <c r="H170" i="9"/>
  <c r="G170" i="9"/>
  <c r="L169" i="9"/>
  <c r="I169" i="9"/>
  <c r="H169" i="9"/>
  <c r="G169" i="9"/>
  <c r="L168" i="9"/>
  <c r="I168" i="9"/>
  <c r="H168" i="9"/>
  <c r="G168" i="9"/>
  <c r="L167" i="9"/>
  <c r="J167" i="9"/>
  <c r="G167" i="9"/>
  <c r="L166" i="9"/>
  <c r="J166" i="9"/>
  <c r="G166" i="9"/>
  <c r="G158" i="9"/>
  <c r="L164" i="9"/>
  <c r="I164" i="9"/>
  <c r="H164" i="9"/>
  <c r="J164" i="9" s="1"/>
  <c r="G164" i="9"/>
  <c r="L163" i="9"/>
  <c r="J163" i="9"/>
  <c r="E163" i="9"/>
  <c r="L162" i="9"/>
  <c r="J162" i="9"/>
  <c r="G162" i="9"/>
  <c r="L161" i="9"/>
  <c r="J161" i="9"/>
  <c r="G161" i="9"/>
  <c r="L160" i="9"/>
  <c r="J160" i="9"/>
  <c r="E160" i="9"/>
  <c r="L159" i="9"/>
  <c r="I159" i="9"/>
  <c r="H159" i="9"/>
  <c r="G159" i="9"/>
  <c r="L156" i="9"/>
  <c r="L155" i="9" s="1"/>
  <c r="J156" i="9"/>
  <c r="G156" i="9"/>
  <c r="G155" i="9"/>
  <c r="C154" i="9"/>
  <c r="E153" i="9"/>
  <c r="G153" i="9"/>
  <c r="D153" i="9"/>
  <c r="C153" i="9"/>
  <c r="AT152" i="9"/>
  <c r="AR152" i="9"/>
  <c r="AO152" i="9"/>
  <c r="BA152" i="9"/>
  <c r="AZ152" i="9"/>
  <c r="AE152" i="9"/>
  <c r="AD152" i="9"/>
  <c r="L151" i="9"/>
  <c r="AN152" i="9" s="1"/>
  <c r="I151" i="9"/>
  <c r="H151" i="9"/>
  <c r="E151" i="9"/>
  <c r="G151" i="9"/>
  <c r="D151" i="9"/>
  <c r="C151" i="9"/>
  <c r="B151" i="9"/>
  <c r="AT150" i="9"/>
  <c r="AR150" i="9"/>
  <c r="AO150" i="9"/>
  <c r="BA150" i="9"/>
  <c r="AZ150" i="9"/>
  <c r="AE150" i="9"/>
  <c r="AD150" i="9"/>
  <c r="L149" i="9"/>
  <c r="AN150" i="9" s="1"/>
  <c r="J149" i="9"/>
  <c r="E149" i="9"/>
  <c r="G149" i="9"/>
  <c r="D149" i="9"/>
  <c r="C149" i="9"/>
  <c r="B149" i="9"/>
  <c r="BA148" i="9"/>
  <c r="L147" i="9" s="1"/>
  <c r="AZ148" i="9"/>
  <c r="L146" i="9" s="1"/>
  <c r="AE148" i="9"/>
  <c r="AD148" i="9"/>
  <c r="G147" i="9"/>
  <c r="E147" i="9"/>
  <c r="G146" i="9"/>
  <c r="E146" i="9"/>
  <c r="G143" i="9"/>
  <c r="E143" i="9"/>
  <c r="D143" i="9"/>
  <c r="C143" i="9"/>
  <c r="B143" i="9"/>
  <c r="L142" i="9"/>
  <c r="AW148" i="9" s="1"/>
  <c r="L139" i="9"/>
  <c r="AT148" i="9" s="1"/>
  <c r="G139" i="9"/>
  <c r="L141" i="9"/>
  <c r="I141" i="9"/>
  <c r="H141" i="9"/>
  <c r="G141" i="9"/>
  <c r="L140" i="9"/>
  <c r="I140" i="9"/>
  <c r="H140" i="9"/>
  <c r="G140" i="9"/>
  <c r="L137" i="9"/>
  <c r="L136" i="9" s="1"/>
  <c r="AR148" i="9" s="1"/>
  <c r="J137" i="9"/>
  <c r="G137" i="9"/>
  <c r="G136" i="9"/>
  <c r="C135" i="9"/>
  <c r="E134" i="9"/>
  <c r="G134" i="9"/>
  <c r="D134" i="9"/>
  <c r="C134" i="9"/>
  <c r="G130" i="9"/>
  <c r="G129" i="9"/>
  <c r="L128" i="9"/>
  <c r="L127" i="9"/>
  <c r="L124" i="9"/>
  <c r="L123" i="9"/>
  <c r="L121" i="9"/>
  <c r="L120" i="9"/>
  <c r="L114" i="9"/>
  <c r="L113" i="9"/>
  <c r="L109" i="9"/>
  <c r="AW99" i="9"/>
  <c r="AT99" i="9"/>
  <c r="AO99" i="9"/>
  <c r="BA99" i="9"/>
  <c r="L98" i="9" s="1"/>
  <c r="AZ99" i="9"/>
  <c r="L97" i="9" s="1"/>
  <c r="AE99" i="9"/>
  <c r="AD99" i="9"/>
  <c r="G98" i="9"/>
  <c r="E98" i="9"/>
  <c r="G97" i="9"/>
  <c r="E97" i="9"/>
  <c r="L94" i="9"/>
  <c r="L93" i="9" s="1"/>
  <c r="J94" i="9"/>
  <c r="G94" i="9"/>
  <c r="G93" i="9"/>
  <c r="C92" i="9"/>
  <c r="E91" i="9"/>
  <c r="G91" i="9"/>
  <c r="D91" i="9"/>
  <c r="C91" i="9"/>
  <c r="AW90" i="9"/>
  <c r="AR90" i="9"/>
  <c r="BA90" i="9"/>
  <c r="L89" i="9" s="1"/>
  <c r="AZ90" i="9"/>
  <c r="L88" i="9" s="1"/>
  <c r="AE90" i="9"/>
  <c r="AD90" i="9"/>
  <c r="G89" i="9"/>
  <c r="E89" i="9"/>
  <c r="G88" i="9"/>
  <c r="E88" i="9"/>
  <c r="G83" i="9"/>
  <c r="L85" i="9"/>
  <c r="L83" i="9" s="1"/>
  <c r="J85" i="9"/>
  <c r="E85" i="9"/>
  <c r="L84" i="9"/>
  <c r="I84" i="9"/>
  <c r="H84" i="9"/>
  <c r="G84" i="9"/>
  <c r="C81" i="9"/>
  <c r="E80" i="9"/>
  <c r="G80" i="9"/>
  <c r="D80" i="9"/>
  <c r="C80" i="9"/>
  <c r="AW79" i="9"/>
  <c r="BA79" i="9"/>
  <c r="AZ79" i="9"/>
  <c r="AE79" i="9"/>
  <c r="AD79" i="9"/>
  <c r="G78" i="9"/>
  <c r="E78" i="9"/>
  <c r="G77" i="9"/>
  <c r="E77" i="9"/>
  <c r="BA75" i="9"/>
  <c r="AZ75" i="9"/>
  <c r="AE75" i="9"/>
  <c r="AD75" i="9"/>
  <c r="L75" i="9"/>
  <c r="AW75" i="9" s="1"/>
  <c r="I75" i="9"/>
  <c r="H75" i="9"/>
  <c r="E75" i="9"/>
  <c r="G75" i="9"/>
  <c r="D75" i="9"/>
  <c r="C75" i="9"/>
  <c r="B75" i="9"/>
  <c r="G73" i="9"/>
  <c r="E73" i="9"/>
  <c r="D73" i="9"/>
  <c r="C73" i="9"/>
  <c r="B73" i="9"/>
  <c r="G70" i="9"/>
  <c r="L72" i="9"/>
  <c r="L70" i="9" s="1"/>
  <c r="J72" i="9"/>
  <c r="E72" i="9"/>
  <c r="L71" i="9"/>
  <c r="J71" i="9"/>
  <c r="G71" i="9"/>
  <c r="L68" i="9"/>
  <c r="L67" i="9" s="1"/>
  <c r="J68" i="9"/>
  <c r="G68" i="9"/>
  <c r="G67" i="9"/>
  <c r="C66" i="9"/>
  <c r="E65" i="9"/>
  <c r="G65" i="9"/>
  <c r="D65" i="9"/>
  <c r="C65" i="9"/>
  <c r="AW64" i="9"/>
  <c r="AT64" i="9"/>
  <c r="AO64" i="9"/>
  <c r="BA64" i="9"/>
  <c r="AZ64" i="9"/>
  <c r="L62" i="9" s="1"/>
  <c r="AE64" i="9"/>
  <c r="AD64" i="9"/>
  <c r="G63" i="9"/>
  <c r="E63" i="9"/>
  <c r="G62" i="9"/>
  <c r="E62" i="9"/>
  <c r="L59" i="9"/>
  <c r="L58" i="9" s="1"/>
  <c r="J59" i="9"/>
  <c r="G59" i="9"/>
  <c r="G58" i="9"/>
  <c r="C57" i="9"/>
  <c r="E56" i="9"/>
  <c r="G56" i="9"/>
  <c r="D56" i="9"/>
  <c r="C56" i="9"/>
  <c r="AW55" i="9"/>
  <c r="AR55" i="9"/>
  <c r="BA55" i="9"/>
  <c r="L54" i="9" s="1"/>
  <c r="AZ55" i="9"/>
  <c r="L53" i="9" s="1"/>
  <c r="AE55" i="9"/>
  <c r="AD55" i="9"/>
  <c r="G54" i="9"/>
  <c r="E54" i="9"/>
  <c r="G53" i="9"/>
  <c r="E53" i="9"/>
  <c r="G48" i="9"/>
  <c r="L50" i="9"/>
  <c r="L48" i="9" s="1"/>
  <c r="J50" i="9"/>
  <c r="E50" i="9"/>
  <c r="L49" i="9"/>
  <c r="I49" i="9"/>
  <c r="H49" i="9"/>
  <c r="G49" i="9"/>
  <c r="C46" i="9"/>
  <c r="E45" i="9"/>
  <c r="G45" i="9"/>
  <c r="D45" i="9"/>
  <c r="C45" i="9"/>
  <c r="A22" i="9"/>
  <c r="CN18" i="9"/>
  <c r="A18" i="9"/>
  <c r="CO3" i="9"/>
  <c r="F3" i="9"/>
  <c r="CO1" i="9"/>
  <c r="F1" i="9"/>
  <c r="G190" i="9" l="1"/>
  <c r="L232" i="9"/>
  <c r="J196" i="9"/>
  <c r="J271" i="9"/>
  <c r="AW150" i="9"/>
  <c r="J170" i="9"/>
  <c r="L541" i="9"/>
  <c r="L158" i="9"/>
  <c r="L118" i="9"/>
  <c r="J171" i="9"/>
  <c r="J151" i="9"/>
  <c r="J159" i="9"/>
  <c r="G193" i="9"/>
  <c r="L112" i="9"/>
  <c r="L110" i="9" s="1"/>
  <c r="J140" i="9"/>
  <c r="J207" i="9"/>
  <c r="J295" i="9"/>
  <c r="L372" i="9"/>
  <c r="AW381" i="9" s="1"/>
  <c r="J168" i="9"/>
  <c r="J173" i="9"/>
  <c r="J194" i="9"/>
  <c r="J222" i="9"/>
  <c r="G85" i="9"/>
  <c r="J208" i="9"/>
  <c r="J244" i="9"/>
  <c r="J293" i="9"/>
  <c r="G163" i="9"/>
  <c r="G72" i="9"/>
  <c r="J141" i="9"/>
  <c r="J197" i="9"/>
  <c r="J240" i="9"/>
  <c r="J274" i="9"/>
  <c r="J435" i="9"/>
  <c r="J187" i="9"/>
  <c r="G420" i="9"/>
  <c r="J290" i="9"/>
  <c r="G348" i="9"/>
  <c r="G330" i="9"/>
  <c r="G438" i="9"/>
  <c r="L336" i="9"/>
  <c r="J286" i="9"/>
  <c r="J298" i="9"/>
  <c r="L318" i="9"/>
  <c r="AW152" i="9"/>
  <c r="L319" i="9"/>
  <c r="J263" i="9"/>
  <c r="J305" i="9"/>
  <c r="J395" i="9"/>
  <c r="J422" i="9"/>
  <c r="J169" i="9"/>
  <c r="J270" i="9"/>
  <c r="J367" i="9"/>
  <c r="L409" i="9"/>
  <c r="G160" i="9"/>
  <c r="I253" i="9"/>
  <c r="L386" i="9"/>
  <c r="AT399" i="9" s="1"/>
  <c r="AN75" i="9"/>
  <c r="L198" i="9"/>
  <c r="AW212" i="9" s="1"/>
  <c r="AN207" i="9"/>
  <c r="J252" i="9"/>
  <c r="L516" i="9"/>
  <c r="L397" i="9"/>
  <c r="L569" i="9"/>
  <c r="J218" i="9"/>
  <c r="G262" i="9"/>
  <c r="J49" i="9"/>
  <c r="L179" i="9"/>
  <c r="G260" i="9"/>
  <c r="L517" i="9"/>
  <c r="I340" i="9"/>
  <c r="G188" i="9"/>
  <c r="L220" i="9"/>
  <c r="AW229" i="9" s="1"/>
  <c r="L227" i="9"/>
  <c r="L258" i="9"/>
  <c r="L257" i="9" s="1"/>
  <c r="J267" i="9"/>
  <c r="J296" i="9"/>
  <c r="L310" i="9"/>
  <c r="AO320" i="9" s="1"/>
  <c r="J75" i="9"/>
  <c r="L228" i="9"/>
  <c r="J347" i="9"/>
  <c r="L226" i="9"/>
  <c r="AT55" i="9"/>
  <c r="L52" i="9" s="1"/>
  <c r="L47" i="9"/>
  <c r="K55" i="9" s="1"/>
  <c r="I55" i="9" s="1"/>
  <c r="L235" i="9"/>
  <c r="AO251" i="9" s="1"/>
  <c r="G50" i="9"/>
  <c r="L186" i="9"/>
  <c r="AT212" i="9" s="1"/>
  <c r="AN340" i="9"/>
  <c r="G407" i="9"/>
  <c r="L535" i="9"/>
  <c r="J191" i="9"/>
  <c r="L460" i="9"/>
  <c r="AN306" i="9"/>
  <c r="AN323" i="9"/>
  <c r="J359" i="9"/>
  <c r="J221" i="9"/>
  <c r="I306" i="9"/>
  <c r="L216" i="9"/>
  <c r="AO229" i="9" s="1"/>
  <c r="AN253" i="9"/>
  <c r="J331" i="9"/>
  <c r="L380" i="9"/>
  <c r="J338" i="9"/>
  <c r="G371" i="9"/>
  <c r="AN333" i="9"/>
  <c r="AN395" i="9"/>
  <c r="L210" i="9"/>
  <c r="G238" i="9"/>
  <c r="L276" i="9"/>
  <c r="AW340" i="9"/>
  <c r="G368" i="9"/>
  <c r="AW377" i="9"/>
  <c r="L417" i="9"/>
  <c r="AO429" i="9" s="1"/>
  <c r="J392" i="9"/>
  <c r="L404" i="9"/>
  <c r="AO412" i="9" s="1"/>
  <c r="L379" i="9"/>
  <c r="J204" i="9"/>
  <c r="J219" i="9"/>
  <c r="L277" i="9"/>
  <c r="G285" i="9"/>
  <c r="AW306" i="9"/>
  <c r="L421" i="9"/>
  <c r="AW429" i="9" s="1"/>
  <c r="L82" i="9"/>
  <c r="L86" i="9" s="1"/>
  <c r="G390" i="9"/>
  <c r="L265" i="9"/>
  <c r="AW278" i="9" s="1"/>
  <c r="L242" i="9"/>
  <c r="AW251" i="9" s="1"/>
  <c r="L288" i="9"/>
  <c r="AW304" i="9" s="1"/>
  <c r="J84" i="9"/>
  <c r="J172" i="9"/>
  <c r="L138" i="9"/>
  <c r="K148" i="9" s="1"/>
  <c r="I148" i="9" s="1"/>
  <c r="L77" i="9"/>
  <c r="L178" i="9"/>
  <c r="J225" i="9"/>
  <c r="J239" i="9"/>
  <c r="J245" i="9"/>
  <c r="J369" i="9"/>
  <c r="L317" i="9"/>
  <c r="L282" i="9"/>
  <c r="AO304" i="9" s="1"/>
  <c r="AT304" i="9"/>
  <c r="AR381" i="9"/>
  <c r="L378" i="9" s="1"/>
  <c r="L157" i="9"/>
  <c r="AT180" i="9"/>
  <c r="AR278" i="9"/>
  <c r="AT443" i="9"/>
  <c r="L433" i="9"/>
  <c r="AO443" i="9" s="1"/>
  <c r="L78" i="9"/>
  <c r="L567" i="9"/>
  <c r="L568" i="9"/>
  <c r="L69" i="9"/>
  <c r="L74" i="9" s="1"/>
  <c r="AT79" i="9"/>
  <c r="L165" i="9"/>
  <c r="AW180" i="9" s="1"/>
  <c r="L497" i="9"/>
  <c r="L63" i="9"/>
  <c r="AN64" i="9" s="1"/>
  <c r="G388" i="9"/>
  <c r="L95" i="9"/>
  <c r="AR99" i="9"/>
  <c r="L96" i="9" s="1"/>
  <c r="AN99" i="9"/>
  <c r="L211" i="9"/>
  <c r="L461" i="9"/>
  <c r="AR355" i="9"/>
  <c r="AR251" i="9"/>
  <c r="L248" i="9" s="1"/>
  <c r="AR212" i="9"/>
  <c r="AW316" i="9"/>
  <c r="AN316" i="9"/>
  <c r="AR337" i="9"/>
  <c r="L503" i="9" s="1"/>
  <c r="AR304" i="9"/>
  <c r="L145" i="9"/>
  <c r="AR443" i="9"/>
  <c r="K99" i="9"/>
  <c r="I99" i="9" s="1"/>
  <c r="AT337" i="9"/>
  <c r="L508" i="9" s="1"/>
  <c r="L327" i="9"/>
  <c r="AO337" i="9" s="1"/>
  <c r="L60" i="9"/>
  <c r="AR64" i="9"/>
  <c r="AR180" i="9"/>
  <c r="L398" i="9"/>
  <c r="AR79" i="9"/>
  <c r="AT90" i="9"/>
  <c r="L87" i="9" s="1"/>
  <c r="L345" i="9"/>
  <c r="AO355" i="9" s="1"/>
  <c r="AT355" i="9"/>
  <c r="AR399" i="9"/>
  <c r="L116" i="9"/>
  <c r="K358" i="9"/>
  <c r="I358" i="9" s="1"/>
  <c r="K360" i="9"/>
  <c r="I360" i="9" s="1"/>
  <c r="L117" i="9"/>
  <c r="AW253" i="9"/>
  <c r="AW323" i="9"/>
  <c r="L365" i="9"/>
  <c r="AO381" i="9" s="1"/>
  <c r="L496" i="9"/>
  <c r="AW225" i="9"/>
  <c r="AN358" i="9"/>
  <c r="AN360" i="9"/>
  <c r="K150" i="9"/>
  <c r="I150" i="9" s="1"/>
  <c r="K152" i="9"/>
  <c r="I152" i="9" s="1"/>
  <c r="AN176" i="9"/>
  <c r="AN274" i="9"/>
  <c r="AW208" i="9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" i="3"/>
  <c r="Y1" i="3"/>
  <c r="CY1" i="3"/>
  <c r="CZ1" i="3"/>
  <c r="DA1" i="3"/>
  <c r="DB1" i="3"/>
  <c r="DC1" i="3"/>
  <c r="A2" i="3"/>
  <c r="Y2" i="3"/>
  <c r="CW2" i="3" s="1"/>
  <c r="V28" i="1" s="1"/>
  <c r="CY2" i="3"/>
  <c r="CZ2" i="3"/>
  <c r="DA2" i="3"/>
  <c r="DB2" i="3"/>
  <c r="DC2" i="3"/>
  <c r="A3" i="3"/>
  <c r="Y3" i="3"/>
  <c r="CY3" i="3"/>
  <c r="CZ3" i="3"/>
  <c r="DA3" i="3"/>
  <c r="DB3" i="3"/>
  <c r="DC3" i="3"/>
  <c r="A4" i="3"/>
  <c r="Y4" i="3"/>
  <c r="CY4" i="3"/>
  <c r="CZ4" i="3"/>
  <c r="DA4" i="3"/>
  <c r="DB4" i="3"/>
  <c r="DC4" i="3"/>
  <c r="A5" i="3"/>
  <c r="Y5" i="3"/>
  <c r="CX5" i="3" s="1"/>
  <c r="CY5" i="3"/>
  <c r="CZ5" i="3"/>
  <c r="DB5" i="3" s="1"/>
  <c r="DA5" i="3"/>
  <c r="DC5" i="3"/>
  <c r="A6" i="3"/>
  <c r="Y6" i="3"/>
  <c r="CY6" i="3"/>
  <c r="CZ6" i="3"/>
  <c r="DB6" i="3" s="1"/>
  <c r="DA6" i="3"/>
  <c r="DC6" i="3"/>
  <c r="A7" i="3"/>
  <c r="Y7" i="3"/>
  <c r="CY7" i="3"/>
  <c r="CZ7" i="3"/>
  <c r="DA7" i="3"/>
  <c r="DB7" i="3"/>
  <c r="DC7" i="3"/>
  <c r="A8" i="3"/>
  <c r="Y8" i="3"/>
  <c r="CX8" i="3" s="1"/>
  <c r="CY8" i="3"/>
  <c r="CZ8" i="3"/>
  <c r="DB8" i="3" s="1"/>
  <c r="DA8" i="3"/>
  <c r="DC8" i="3"/>
  <c r="A9" i="3"/>
  <c r="Y9" i="3"/>
  <c r="CW9" i="3" s="1"/>
  <c r="V32" i="1" s="1"/>
  <c r="CY9" i="3"/>
  <c r="CZ9" i="3"/>
  <c r="DB9" i="3" s="1"/>
  <c r="DA9" i="3"/>
  <c r="DC9" i="3"/>
  <c r="A10" i="3"/>
  <c r="Y10" i="3"/>
  <c r="CX10" i="3" s="1"/>
  <c r="CY10" i="3"/>
  <c r="CZ10" i="3"/>
  <c r="DB10" i="3" s="1"/>
  <c r="DA10" i="3"/>
  <c r="DC10" i="3"/>
  <c r="A11" i="3"/>
  <c r="Y11" i="3"/>
  <c r="CV11" i="3" s="1"/>
  <c r="U69" i="1" s="1"/>
  <c r="CY11" i="3"/>
  <c r="CZ11" i="3"/>
  <c r="DA11" i="3"/>
  <c r="DB11" i="3"/>
  <c r="DC11" i="3"/>
  <c r="A12" i="3"/>
  <c r="Y12" i="3"/>
  <c r="CY12" i="3"/>
  <c r="CZ12" i="3"/>
  <c r="DA12" i="3"/>
  <c r="DB12" i="3"/>
  <c r="DC12" i="3"/>
  <c r="A13" i="3"/>
  <c r="Y13" i="3"/>
  <c r="CY13" i="3"/>
  <c r="CZ13" i="3"/>
  <c r="DA13" i="3"/>
  <c r="DB13" i="3"/>
  <c r="DC13" i="3"/>
  <c r="A14" i="3"/>
  <c r="Y14" i="3"/>
  <c r="CY14" i="3"/>
  <c r="CZ14" i="3"/>
  <c r="DA14" i="3"/>
  <c r="DB14" i="3"/>
  <c r="DC14" i="3"/>
  <c r="A15" i="3"/>
  <c r="Y15" i="3"/>
  <c r="CV15" i="3" s="1"/>
  <c r="U72" i="1" s="1"/>
  <c r="CY15" i="3"/>
  <c r="CZ15" i="3"/>
  <c r="DB15" i="3" s="1"/>
  <c r="DA15" i="3"/>
  <c r="DC15" i="3"/>
  <c r="A16" i="3"/>
  <c r="Y16" i="3"/>
  <c r="CY16" i="3"/>
  <c r="CZ16" i="3"/>
  <c r="DA16" i="3"/>
  <c r="DB16" i="3"/>
  <c r="DC16" i="3"/>
  <c r="A17" i="3"/>
  <c r="Y17" i="3"/>
  <c r="CW17" i="3" s="1"/>
  <c r="CY17" i="3"/>
  <c r="CZ17" i="3"/>
  <c r="DA17" i="3"/>
  <c r="DB17" i="3"/>
  <c r="DC17" i="3"/>
  <c r="A18" i="3"/>
  <c r="Y18" i="3"/>
  <c r="CW18" i="3" s="1"/>
  <c r="CY18" i="3"/>
  <c r="CZ18" i="3"/>
  <c r="DB18" i="3" s="1"/>
  <c r="DA18" i="3"/>
  <c r="DC18" i="3"/>
  <c r="A19" i="3"/>
  <c r="Y19" i="3"/>
  <c r="CY19" i="3"/>
  <c r="CZ19" i="3"/>
  <c r="DB19" i="3" s="1"/>
  <c r="DA19" i="3"/>
  <c r="DC19" i="3"/>
  <c r="A20" i="3"/>
  <c r="Y20" i="3"/>
  <c r="CY20" i="3"/>
  <c r="CZ20" i="3"/>
  <c r="DB20" i="3" s="1"/>
  <c r="DA20" i="3"/>
  <c r="DC20" i="3"/>
  <c r="A21" i="3"/>
  <c r="Y21" i="3"/>
  <c r="CX21" i="3" s="1"/>
  <c r="CY21" i="3"/>
  <c r="CZ21" i="3"/>
  <c r="DA21" i="3"/>
  <c r="DB21" i="3"/>
  <c r="DC21" i="3"/>
  <c r="A22" i="3"/>
  <c r="Y22" i="3"/>
  <c r="CY22" i="3"/>
  <c r="CZ22" i="3"/>
  <c r="DB22" i="3" s="1"/>
  <c r="DA22" i="3"/>
  <c r="DC22" i="3"/>
  <c r="A23" i="3"/>
  <c r="Y23" i="3"/>
  <c r="CY23" i="3"/>
  <c r="CZ23" i="3"/>
  <c r="DB23" i="3" s="1"/>
  <c r="DA23" i="3"/>
  <c r="DC23" i="3"/>
  <c r="A24" i="3"/>
  <c r="Y24" i="3"/>
  <c r="CY24" i="3"/>
  <c r="CZ24" i="3"/>
  <c r="DB24" i="3" s="1"/>
  <c r="DA24" i="3"/>
  <c r="DC24" i="3"/>
  <c r="A25" i="3"/>
  <c r="Y25" i="3"/>
  <c r="CY25" i="3"/>
  <c r="CZ25" i="3"/>
  <c r="DB25" i="3" s="1"/>
  <c r="DA25" i="3"/>
  <c r="DC25" i="3"/>
  <c r="A26" i="3"/>
  <c r="Y26" i="3"/>
  <c r="CX26" i="3" s="1"/>
  <c r="CY26" i="3"/>
  <c r="CZ26" i="3"/>
  <c r="DA26" i="3"/>
  <c r="DB26" i="3"/>
  <c r="DC26" i="3"/>
  <c r="A27" i="3"/>
  <c r="Y27" i="3"/>
  <c r="CX27" i="3" s="1"/>
  <c r="CY27" i="3"/>
  <c r="CZ27" i="3"/>
  <c r="DB27" i="3" s="1"/>
  <c r="DA27" i="3"/>
  <c r="DC27" i="3"/>
  <c r="A28" i="3"/>
  <c r="Y28" i="3"/>
  <c r="CY28" i="3"/>
  <c r="CZ28" i="3"/>
  <c r="DA28" i="3"/>
  <c r="DB28" i="3"/>
  <c r="DC28" i="3"/>
  <c r="A29" i="3"/>
  <c r="Y29" i="3"/>
  <c r="CY29" i="3"/>
  <c r="CZ29" i="3"/>
  <c r="DB29" i="3" s="1"/>
  <c r="DA29" i="3"/>
  <c r="DC29" i="3"/>
  <c r="A30" i="3"/>
  <c r="Y30" i="3"/>
  <c r="CV30" i="3" s="1"/>
  <c r="U74" i="1" s="1"/>
  <c r="CY30" i="3"/>
  <c r="CZ30" i="3"/>
  <c r="DB30" i="3" s="1"/>
  <c r="DA30" i="3"/>
  <c r="DC30" i="3"/>
  <c r="A31" i="3"/>
  <c r="Y31" i="3"/>
  <c r="CY31" i="3"/>
  <c r="CZ31" i="3"/>
  <c r="DB31" i="3" s="1"/>
  <c r="DA31" i="3"/>
  <c r="DC31" i="3"/>
  <c r="A32" i="3"/>
  <c r="Y32" i="3"/>
  <c r="CW32" i="3" s="1"/>
  <c r="CY32" i="3"/>
  <c r="CZ32" i="3"/>
  <c r="DB32" i="3" s="1"/>
  <c r="DA32" i="3"/>
  <c r="DC32" i="3"/>
  <c r="A33" i="3"/>
  <c r="Y33" i="3"/>
  <c r="CY33" i="3"/>
  <c r="CZ33" i="3"/>
  <c r="DA33" i="3"/>
  <c r="DB33" i="3"/>
  <c r="DC33" i="3"/>
  <c r="A34" i="3"/>
  <c r="Y34" i="3"/>
  <c r="CW34" i="3" s="1"/>
  <c r="CY34" i="3"/>
  <c r="CZ34" i="3"/>
  <c r="DB34" i="3" s="1"/>
  <c r="DA34" i="3"/>
  <c r="DC34" i="3"/>
  <c r="A35" i="3"/>
  <c r="Y35" i="3"/>
  <c r="CW35" i="3" s="1"/>
  <c r="CY35" i="3"/>
  <c r="CZ35" i="3"/>
  <c r="DB35" i="3" s="1"/>
  <c r="DA35" i="3"/>
  <c r="DC35" i="3"/>
  <c r="A36" i="3"/>
  <c r="Y36" i="3"/>
  <c r="CX36" i="3" s="1"/>
  <c r="CY36" i="3"/>
  <c r="CZ36" i="3"/>
  <c r="DA36" i="3"/>
  <c r="DB36" i="3"/>
  <c r="DC36" i="3"/>
  <c r="A37" i="3"/>
  <c r="Y37" i="3"/>
  <c r="CW37" i="3" s="1"/>
  <c r="CY37" i="3"/>
  <c r="CZ37" i="3"/>
  <c r="DA37" i="3"/>
  <c r="DB37" i="3"/>
  <c r="DC37" i="3"/>
  <c r="A38" i="3"/>
  <c r="Y38" i="3"/>
  <c r="CW38" i="3" s="1"/>
  <c r="CY38" i="3"/>
  <c r="CZ38" i="3"/>
  <c r="DA38" i="3"/>
  <c r="DB38" i="3"/>
  <c r="DC38" i="3"/>
  <c r="A39" i="3"/>
  <c r="Y39" i="3"/>
  <c r="CY39" i="3"/>
  <c r="CZ39" i="3"/>
  <c r="DB39" i="3" s="1"/>
  <c r="DA39" i="3"/>
  <c r="DC39" i="3"/>
  <c r="A40" i="3"/>
  <c r="Y40" i="3"/>
  <c r="CX40" i="3" s="1"/>
  <c r="CY40" i="3"/>
  <c r="CZ40" i="3"/>
  <c r="DB40" i="3" s="1"/>
  <c r="DA40" i="3"/>
  <c r="DC40" i="3"/>
  <c r="A41" i="3"/>
  <c r="Y41" i="3"/>
  <c r="CY41" i="3"/>
  <c r="CZ41" i="3"/>
  <c r="DA41" i="3"/>
  <c r="DB41" i="3"/>
  <c r="DC41" i="3"/>
  <c r="A42" i="3"/>
  <c r="Y42" i="3"/>
  <c r="CY42" i="3"/>
  <c r="CZ42" i="3"/>
  <c r="DA42" i="3"/>
  <c r="DB42" i="3"/>
  <c r="DC42" i="3"/>
  <c r="A43" i="3"/>
  <c r="Y43" i="3"/>
  <c r="CY43" i="3"/>
  <c r="CZ43" i="3"/>
  <c r="DA43" i="3"/>
  <c r="DB43" i="3"/>
  <c r="DC43" i="3"/>
  <c r="A44" i="3"/>
  <c r="Y44" i="3"/>
  <c r="CX44" i="3" s="1"/>
  <c r="CY44" i="3"/>
  <c r="CZ44" i="3"/>
  <c r="DA44" i="3"/>
  <c r="DB44" i="3"/>
  <c r="DC44" i="3"/>
  <c r="A45" i="3"/>
  <c r="Y45" i="3"/>
  <c r="CX45" i="3" s="1"/>
  <c r="CY45" i="3"/>
  <c r="CZ45" i="3"/>
  <c r="DA45" i="3"/>
  <c r="DB45" i="3"/>
  <c r="DC45" i="3"/>
  <c r="A46" i="3"/>
  <c r="Y46" i="3"/>
  <c r="CX46" i="3" s="1"/>
  <c r="CY46" i="3"/>
  <c r="CZ46" i="3"/>
  <c r="DA46" i="3"/>
  <c r="DB46" i="3"/>
  <c r="DC46" i="3"/>
  <c r="A47" i="3"/>
  <c r="Y47" i="3"/>
  <c r="CY47" i="3"/>
  <c r="CZ47" i="3"/>
  <c r="DB47" i="3" s="1"/>
  <c r="DA47" i="3"/>
  <c r="DC47" i="3"/>
  <c r="A48" i="3"/>
  <c r="Y48" i="3"/>
  <c r="CV48" i="3" s="1"/>
  <c r="U77" i="1" s="1"/>
  <c r="CU48" i="3"/>
  <c r="CY48" i="3"/>
  <c r="CZ48" i="3"/>
  <c r="DA48" i="3"/>
  <c r="DB48" i="3"/>
  <c r="DC48" i="3"/>
  <c r="A49" i="3"/>
  <c r="Y49" i="3"/>
  <c r="CX49" i="3" s="1"/>
  <c r="CW49" i="3"/>
  <c r="CY49" i="3"/>
  <c r="CZ49" i="3"/>
  <c r="DA49" i="3"/>
  <c r="DB49" i="3"/>
  <c r="DC49" i="3"/>
  <c r="A50" i="3"/>
  <c r="Y50" i="3"/>
  <c r="CX50" i="3" s="1"/>
  <c r="CW50" i="3"/>
  <c r="CY50" i="3"/>
  <c r="CZ50" i="3"/>
  <c r="DB50" i="3" s="1"/>
  <c r="DA50" i="3"/>
  <c r="DC50" i="3"/>
  <c r="A51" i="3"/>
  <c r="Y51" i="3"/>
  <c r="CX51" i="3"/>
  <c r="DG51" i="3" s="1"/>
  <c r="CY51" i="3"/>
  <c r="CZ51" i="3"/>
  <c r="DB51" i="3" s="1"/>
  <c r="DA51" i="3"/>
  <c r="DC51" i="3"/>
  <c r="DF51" i="3"/>
  <c r="DJ51" i="3" s="1"/>
  <c r="A52" i="3"/>
  <c r="Y52" i="3"/>
  <c r="CX52" i="3" s="1"/>
  <c r="CY52" i="3"/>
  <c r="CZ52" i="3"/>
  <c r="DA52" i="3"/>
  <c r="DB52" i="3"/>
  <c r="DC52" i="3"/>
  <c r="A53" i="3"/>
  <c r="Y53" i="3"/>
  <c r="CX53" i="3"/>
  <c r="DF53" i="3" s="1"/>
  <c r="DJ53" i="3" s="1"/>
  <c r="CY53" i="3"/>
  <c r="CZ53" i="3"/>
  <c r="DA53" i="3"/>
  <c r="DB53" i="3"/>
  <c r="DC53" i="3"/>
  <c r="A54" i="3"/>
  <c r="Y54" i="3"/>
  <c r="CY54" i="3"/>
  <c r="CZ54" i="3"/>
  <c r="DA54" i="3"/>
  <c r="DB54" i="3"/>
  <c r="DC54" i="3"/>
  <c r="A55" i="3"/>
  <c r="Y55" i="3"/>
  <c r="CY55" i="3"/>
  <c r="CZ55" i="3"/>
  <c r="DA55" i="3"/>
  <c r="DB55" i="3"/>
  <c r="DC55" i="3"/>
  <c r="A56" i="3"/>
  <c r="Y56" i="3"/>
  <c r="CY56" i="3"/>
  <c r="CZ56" i="3"/>
  <c r="DB56" i="3" s="1"/>
  <c r="DA56" i="3"/>
  <c r="DC56" i="3"/>
  <c r="A57" i="3"/>
  <c r="Y57" i="3"/>
  <c r="CY57" i="3"/>
  <c r="CZ57" i="3"/>
  <c r="DB57" i="3" s="1"/>
  <c r="DA57" i="3"/>
  <c r="DC57" i="3"/>
  <c r="A58" i="3"/>
  <c r="Y58" i="3"/>
  <c r="CW58" i="3" s="1"/>
  <c r="CY58" i="3"/>
  <c r="CZ58" i="3"/>
  <c r="DA58" i="3"/>
  <c r="DB58" i="3"/>
  <c r="DC58" i="3"/>
  <c r="A59" i="3"/>
  <c r="Y59" i="3"/>
  <c r="CX59" i="3" s="1"/>
  <c r="CY59" i="3"/>
  <c r="CZ59" i="3"/>
  <c r="DA59" i="3"/>
  <c r="DB59" i="3"/>
  <c r="DC59" i="3"/>
  <c r="A60" i="3"/>
  <c r="Y60" i="3"/>
  <c r="CY60" i="3"/>
  <c r="CZ60" i="3"/>
  <c r="DA60" i="3"/>
  <c r="DB60" i="3"/>
  <c r="DC60" i="3"/>
  <c r="A61" i="3"/>
  <c r="Y61" i="3"/>
  <c r="CX61" i="3" s="1"/>
  <c r="CY61" i="3"/>
  <c r="CZ61" i="3"/>
  <c r="DB61" i="3" s="1"/>
  <c r="DA61" i="3"/>
  <c r="DC61" i="3"/>
  <c r="A62" i="3"/>
  <c r="Y62" i="3"/>
  <c r="CX62" i="3" s="1"/>
  <c r="CY62" i="3"/>
  <c r="CZ62" i="3"/>
  <c r="DA62" i="3"/>
  <c r="DB62" i="3"/>
  <c r="DC62" i="3"/>
  <c r="A63" i="3"/>
  <c r="Y63" i="3"/>
  <c r="CY63" i="3"/>
  <c r="CZ63" i="3"/>
  <c r="DB63" i="3" s="1"/>
  <c r="DA63" i="3"/>
  <c r="DC63" i="3"/>
  <c r="A64" i="3"/>
  <c r="Y64" i="3"/>
  <c r="CV64" i="3" s="1"/>
  <c r="CU64" i="3"/>
  <c r="CY64" i="3"/>
  <c r="CZ64" i="3"/>
  <c r="DA64" i="3"/>
  <c r="DB64" i="3"/>
  <c r="DC64" i="3"/>
  <c r="A65" i="3"/>
  <c r="Y65" i="3"/>
  <c r="CX65" i="3"/>
  <c r="DF65" i="3" s="1"/>
  <c r="CY65" i="3"/>
  <c r="CZ65" i="3"/>
  <c r="DA65" i="3"/>
  <c r="DB65" i="3"/>
  <c r="DC65" i="3"/>
  <c r="A66" i="3"/>
  <c r="Y66" i="3"/>
  <c r="CW66" i="3" s="1"/>
  <c r="CX66" i="3"/>
  <c r="DF66" i="3" s="1"/>
  <c r="CY66" i="3"/>
  <c r="CZ66" i="3"/>
  <c r="DA66" i="3"/>
  <c r="DB66" i="3"/>
  <c r="DC66" i="3"/>
  <c r="A67" i="3"/>
  <c r="Y67" i="3"/>
  <c r="CW67" i="3"/>
  <c r="CX67" i="3"/>
  <c r="DG67" i="3" s="1"/>
  <c r="CY67" i="3"/>
  <c r="CZ67" i="3"/>
  <c r="DB67" i="3" s="1"/>
  <c r="DA67" i="3"/>
  <c r="DC67" i="3"/>
  <c r="DF67" i="3"/>
  <c r="A68" i="3"/>
  <c r="Y68" i="3"/>
  <c r="CW68" i="3" s="1"/>
  <c r="V81" i="1" s="1"/>
  <c r="CY68" i="3"/>
  <c r="CZ68" i="3"/>
  <c r="DB68" i="3" s="1"/>
  <c r="DA68" i="3"/>
  <c r="DC68" i="3"/>
  <c r="A69" i="3"/>
  <c r="Y69" i="3"/>
  <c r="CW69" i="3" s="1"/>
  <c r="CY69" i="3"/>
  <c r="CZ69" i="3"/>
  <c r="DA69" i="3"/>
  <c r="DB69" i="3"/>
  <c r="DC69" i="3"/>
  <c r="A70" i="3"/>
  <c r="Y70" i="3"/>
  <c r="CX70" i="3" s="1"/>
  <c r="CY70" i="3"/>
  <c r="CZ70" i="3"/>
  <c r="DA70" i="3"/>
  <c r="DB70" i="3"/>
  <c r="DC70" i="3"/>
  <c r="A71" i="3"/>
  <c r="Y71" i="3"/>
  <c r="CX71" i="3" s="1"/>
  <c r="CY71" i="3"/>
  <c r="CZ71" i="3"/>
  <c r="DB71" i="3" s="1"/>
  <c r="DA71" i="3"/>
  <c r="DC71" i="3"/>
  <c r="A72" i="3"/>
  <c r="Y72" i="3"/>
  <c r="CX72" i="3" s="1"/>
  <c r="CY72" i="3"/>
  <c r="CZ72" i="3"/>
  <c r="DB72" i="3" s="1"/>
  <c r="DA72" i="3"/>
  <c r="DC72" i="3"/>
  <c r="A73" i="3"/>
  <c r="Y73" i="3"/>
  <c r="CX73" i="3" s="1"/>
  <c r="CY73" i="3"/>
  <c r="CZ73" i="3"/>
  <c r="DB73" i="3" s="1"/>
  <c r="DA73" i="3"/>
  <c r="DC73" i="3"/>
  <c r="A74" i="3"/>
  <c r="Y74" i="3"/>
  <c r="CX74" i="3" s="1"/>
  <c r="CY74" i="3"/>
  <c r="CZ74" i="3"/>
  <c r="DA74" i="3"/>
  <c r="DB74" i="3"/>
  <c r="DC74" i="3"/>
  <c r="A75" i="3"/>
  <c r="Y75" i="3"/>
  <c r="CX75" i="3"/>
  <c r="DF75" i="3" s="1"/>
  <c r="DJ75" i="3" s="1"/>
  <c r="CY75" i="3"/>
  <c r="CZ75" i="3"/>
  <c r="DA75" i="3"/>
  <c r="DB75" i="3"/>
  <c r="DC75" i="3"/>
  <c r="A76" i="3"/>
  <c r="Y76" i="3"/>
  <c r="CX76" i="3"/>
  <c r="DF76" i="3" s="1"/>
  <c r="DJ76" i="3" s="1"/>
  <c r="CY76" i="3"/>
  <c r="CZ76" i="3"/>
  <c r="DA76" i="3"/>
  <c r="DB76" i="3"/>
  <c r="DC76" i="3"/>
  <c r="A77" i="3"/>
  <c r="Y77" i="3"/>
  <c r="CV77" i="3" s="1"/>
  <c r="U83" i="1" s="1"/>
  <c r="CU77" i="3"/>
  <c r="CY77" i="3"/>
  <c r="CZ77" i="3"/>
  <c r="DB77" i="3" s="1"/>
  <c r="DA77" i="3"/>
  <c r="DC77" i="3"/>
  <c r="A78" i="3"/>
  <c r="Y78" i="3"/>
  <c r="CX78" i="3" s="1"/>
  <c r="CY78" i="3"/>
  <c r="CZ78" i="3"/>
  <c r="DB78" i="3" s="1"/>
  <c r="DA78" i="3"/>
  <c r="DC78" i="3"/>
  <c r="A79" i="3"/>
  <c r="Y79" i="3"/>
  <c r="CW79" i="3" s="1"/>
  <c r="V83" i="1" s="1"/>
  <c r="CY79" i="3"/>
  <c r="CZ79" i="3"/>
  <c r="DA79" i="3"/>
  <c r="DB79" i="3"/>
  <c r="DC79" i="3"/>
  <c r="A80" i="3"/>
  <c r="Y80" i="3"/>
  <c r="CW80" i="3" s="1"/>
  <c r="CX80" i="3"/>
  <c r="DF80" i="3" s="1"/>
  <c r="CY80" i="3"/>
  <c r="CZ80" i="3"/>
  <c r="DA80" i="3"/>
  <c r="DB80" i="3"/>
  <c r="DC80" i="3"/>
  <c r="A81" i="3"/>
  <c r="Y81" i="3"/>
  <c r="CW81" i="3"/>
  <c r="CX81" i="3"/>
  <c r="DF81" i="3" s="1"/>
  <c r="CY81" i="3"/>
  <c r="CZ81" i="3"/>
  <c r="DB81" i="3" s="1"/>
  <c r="DA81" i="3"/>
  <c r="DC81" i="3"/>
  <c r="A82" i="3"/>
  <c r="Y82" i="3"/>
  <c r="CX82" i="3"/>
  <c r="DH82" i="3" s="1"/>
  <c r="CY82" i="3"/>
  <c r="CZ82" i="3"/>
  <c r="DA82" i="3"/>
  <c r="DB82" i="3"/>
  <c r="DC82" i="3"/>
  <c r="DF82" i="3"/>
  <c r="DJ82" i="3" s="1"/>
  <c r="DG82" i="3"/>
  <c r="A83" i="3"/>
  <c r="Y83" i="3"/>
  <c r="CX83" i="3"/>
  <c r="DF83" i="3" s="1"/>
  <c r="DJ83" i="3" s="1"/>
  <c r="CY83" i="3"/>
  <c r="CZ83" i="3"/>
  <c r="DA83" i="3"/>
  <c r="DB83" i="3"/>
  <c r="DC83" i="3"/>
  <c r="A84" i="3"/>
  <c r="Y84" i="3"/>
  <c r="CX84" i="3"/>
  <c r="DF84" i="3" s="1"/>
  <c r="DJ84" i="3" s="1"/>
  <c r="CY84" i="3"/>
  <c r="CZ84" i="3"/>
  <c r="DA84" i="3"/>
  <c r="DB84" i="3"/>
  <c r="DC84" i="3"/>
  <c r="A85" i="3"/>
  <c r="Y85" i="3"/>
  <c r="CX85" i="3" s="1"/>
  <c r="CY85" i="3"/>
  <c r="CZ85" i="3"/>
  <c r="DA85" i="3"/>
  <c r="DB85" i="3"/>
  <c r="DC85" i="3"/>
  <c r="A86" i="3"/>
  <c r="Y86" i="3"/>
  <c r="CX86" i="3" s="1"/>
  <c r="CY86" i="3"/>
  <c r="CZ86" i="3"/>
  <c r="DB86" i="3" s="1"/>
  <c r="DA86" i="3"/>
  <c r="DC86" i="3"/>
  <c r="A87" i="3"/>
  <c r="Y87" i="3"/>
  <c r="CX87" i="3" s="1"/>
  <c r="CY87" i="3"/>
  <c r="CZ87" i="3"/>
  <c r="DB87" i="3" s="1"/>
  <c r="DA87" i="3"/>
  <c r="DC87" i="3"/>
  <c r="A88" i="3"/>
  <c r="Y88" i="3"/>
  <c r="CX88" i="3" s="1"/>
  <c r="CY88" i="3"/>
  <c r="CZ88" i="3"/>
  <c r="DB88" i="3" s="1"/>
  <c r="DA88" i="3"/>
  <c r="DC88" i="3"/>
  <c r="A89" i="3"/>
  <c r="Y89" i="3"/>
  <c r="CX89" i="3" s="1"/>
  <c r="CY89" i="3"/>
  <c r="CZ89" i="3"/>
  <c r="DA89" i="3"/>
  <c r="DB89" i="3"/>
  <c r="DC89" i="3"/>
  <c r="A90" i="3"/>
  <c r="Y90" i="3"/>
  <c r="CX90" i="3"/>
  <c r="DF90" i="3" s="1"/>
  <c r="DJ90" i="3" s="1"/>
  <c r="CY90" i="3"/>
  <c r="CZ90" i="3"/>
  <c r="DB90" i="3" s="1"/>
  <c r="DA90" i="3"/>
  <c r="DC90" i="3"/>
  <c r="A91" i="3"/>
  <c r="Y91" i="3"/>
  <c r="CX91" i="3"/>
  <c r="DF91" i="3" s="1"/>
  <c r="DJ91" i="3" s="1"/>
  <c r="CY91" i="3"/>
  <c r="CZ91" i="3"/>
  <c r="DA91" i="3"/>
  <c r="DB91" i="3"/>
  <c r="DC91" i="3"/>
  <c r="A92" i="3"/>
  <c r="Y92" i="3"/>
  <c r="CX92" i="3"/>
  <c r="DF92" i="3" s="1"/>
  <c r="DJ92" i="3" s="1"/>
  <c r="CY92" i="3"/>
  <c r="CZ92" i="3"/>
  <c r="DA92" i="3"/>
  <c r="DB92" i="3"/>
  <c r="DC92" i="3"/>
  <c r="DG92" i="3"/>
  <c r="A93" i="3"/>
  <c r="Y93" i="3"/>
  <c r="CX93" i="3" s="1"/>
  <c r="CU93" i="3"/>
  <c r="CV93" i="3"/>
  <c r="CY93" i="3"/>
  <c r="CZ93" i="3"/>
  <c r="DB93" i="3" s="1"/>
  <c r="DA93" i="3"/>
  <c r="DC93" i="3"/>
  <c r="A94" i="3"/>
  <c r="Y94" i="3"/>
  <c r="CX94" i="3" s="1"/>
  <c r="CY94" i="3"/>
  <c r="CZ94" i="3"/>
  <c r="DB94" i="3" s="1"/>
  <c r="DA94" i="3"/>
  <c r="DC94" i="3"/>
  <c r="A95" i="3"/>
  <c r="Y95" i="3"/>
  <c r="CW95" i="3" s="1"/>
  <c r="V85" i="1" s="1"/>
  <c r="CY95" i="3"/>
  <c r="CZ95" i="3"/>
  <c r="DB95" i="3" s="1"/>
  <c r="DA95" i="3"/>
  <c r="DC95" i="3"/>
  <c r="A96" i="3"/>
  <c r="Y96" i="3"/>
  <c r="CW96" i="3" s="1"/>
  <c r="CY96" i="3"/>
  <c r="CZ96" i="3"/>
  <c r="DA96" i="3"/>
  <c r="DB96" i="3"/>
  <c r="DC96" i="3"/>
  <c r="A97" i="3"/>
  <c r="Y97" i="3"/>
  <c r="CX97" i="3" s="1"/>
  <c r="CY97" i="3"/>
  <c r="CZ97" i="3"/>
  <c r="DA97" i="3"/>
  <c r="DB97" i="3"/>
  <c r="DC97" i="3"/>
  <c r="A98" i="3"/>
  <c r="Y98" i="3"/>
  <c r="CU98" i="3"/>
  <c r="CV98" i="3"/>
  <c r="CX98" i="3"/>
  <c r="DG98" i="3" s="1"/>
  <c r="CY98" i="3"/>
  <c r="CZ98" i="3"/>
  <c r="DA98" i="3"/>
  <c r="DB98" i="3"/>
  <c r="DC98" i="3"/>
  <c r="DF98" i="3"/>
  <c r="DI98" i="3"/>
  <c r="DJ98" i="3"/>
  <c r="A99" i="3"/>
  <c r="Y99" i="3"/>
  <c r="CX99" i="3" s="1"/>
  <c r="CY99" i="3"/>
  <c r="CZ99" i="3"/>
  <c r="DB99" i="3" s="1"/>
  <c r="DA99" i="3"/>
  <c r="DC99" i="3"/>
  <c r="A100" i="3"/>
  <c r="Y100" i="3"/>
  <c r="CW100" i="3"/>
  <c r="CX100" i="3"/>
  <c r="DG100" i="3" s="1"/>
  <c r="CY100" i="3"/>
  <c r="CZ100" i="3"/>
  <c r="DB100" i="3" s="1"/>
  <c r="DA100" i="3"/>
  <c r="DC100" i="3"/>
  <c r="DF100" i="3"/>
  <c r="DI100" i="3"/>
  <c r="A101" i="3"/>
  <c r="Y101" i="3"/>
  <c r="CW101" i="3" s="1"/>
  <c r="V88" i="1" s="1"/>
  <c r="CX101" i="3"/>
  <c r="DG101" i="3" s="1"/>
  <c r="DJ101" i="3" s="1"/>
  <c r="CY101" i="3"/>
  <c r="CZ101" i="3"/>
  <c r="DB101" i="3" s="1"/>
  <c r="DA101" i="3"/>
  <c r="DC101" i="3"/>
  <c r="DF101" i="3"/>
  <c r="DH101" i="3"/>
  <c r="DI101" i="3"/>
  <c r="A102" i="3"/>
  <c r="Y102" i="3"/>
  <c r="CX102" i="3" s="1"/>
  <c r="CY102" i="3"/>
  <c r="CZ102" i="3"/>
  <c r="DB102" i="3" s="1"/>
  <c r="DA102" i="3"/>
  <c r="DC102" i="3"/>
  <c r="A103" i="3"/>
  <c r="Y103" i="3"/>
  <c r="CV103" i="3" s="1"/>
  <c r="U91" i="1" s="1"/>
  <c r="CY103" i="3"/>
  <c r="CZ103" i="3"/>
  <c r="DA103" i="3"/>
  <c r="DB103" i="3"/>
  <c r="DC103" i="3"/>
  <c r="A104" i="3"/>
  <c r="Y104" i="3"/>
  <c r="CY104" i="3"/>
  <c r="CZ104" i="3"/>
  <c r="DB104" i="3" s="1"/>
  <c r="DA104" i="3"/>
  <c r="DC104" i="3"/>
  <c r="A105" i="3"/>
  <c r="Y105" i="3"/>
  <c r="CY105" i="3"/>
  <c r="CZ105" i="3"/>
  <c r="DA105" i="3"/>
  <c r="DB105" i="3"/>
  <c r="DC105" i="3"/>
  <c r="A106" i="3"/>
  <c r="Y106" i="3"/>
  <c r="CY106" i="3"/>
  <c r="CZ106" i="3"/>
  <c r="DB106" i="3" s="1"/>
  <c r="DA106" i="3"/>
  <c r="DC106" i="3"/>
  <c r="A107" i="3"/>
  <c r="Y107" i="3"/>
  <c r="CY107" i="3"/>
  <c r="CZ107" i="3"/>
  <c r="DA107" i="3"/>
  <c r="DB107" i="3"/>
  <c r="DC107" i="3"/>
  <c r="A108" i="3"/>
  <c r="Y108" i="3"/>
  <c r="CY108" i="3"/>
  <c r="CZ108" i="3"/>
  <c r="DB108" i="3" s="1"/>
  <c r="DA108" i="3"/>
  <c r="DC108" i="3"/>
  <c r="A109" i="3"/>
  <c r="Y109" i="3"/>
  <c r="CY109" i="3"/>
  <c r="CZ109" i="3"/>
  <c r="DA109" i="3"/>
  <c r="DB109" i="3"/>
  <c r="DC109" i="3"/>
  <c r="A110" i="3"/>
  <c r="Y110" i="3"/>
  <c r="CY110" i="3"/>
  <c r="CZ110" i="3"/>
  <c r="DA110" i="3"/>
  <c r="DB110" i="3"/>
  <c r="DC110" i="3"/>
  <c r="A111" i="3"/>
  <c r="Y111" i="3"/>
  <c r="CY111" i="3"/>
  <c r="CZ111" i="3"/>
  <c r="DA111" i="3"/>
  <c r="DB111" i="3"/>
  <c r="DC111" i="3"/>
  <c r="A112" i="3"/>
  <c r="Y112" i="3"/>
  <c r="CX112" i="3" s="1"/>
  <c r="CY112" i="3"/>
  <c r="CZ112" i="3"/>
  <c r="DB112" i="3" s="1"/>
  <c r="DA112" i="3"/>
  <c r="DC112" i="3"/>
  <c r="A113" i="3"/>
  <c r="Y113" i="3"/>
  <c r="CY113" i="3"/>
  <c r="CZ113" i="3"/>
  <c r="DA113" i="3"/>
  <c r="DB113" i="3"/>
  <c r="DC113" i="3"/>
  <c r="A114" i="3"/>
  <c r="Y114" i="3"/>
  <c r="CY114" i="3"/>
  <c r="CZ114" i="3"/>
  <c r="DA114" i="3"/>
  <c r="DB114" i="3"/>
  <c r="DC114" i="3"/>
  <c r="A115" i="3"/>
  <c r="Y115" i="3"/>
  <c r="CU115" i="3"/>
  <c r="CV115" i="3"/>
  <c r="CX115" i="3"/>
  <c r="DH115" i="3" s="1"/>
  <c r="CY115" i="3"/>
  <c r="CZ115" i="3"/>
  <c r="DB115" i="3" s="1"/>
  <c r="DA115" i="3"/>
  <c r="DC115" i="3"/>
  <c r="DF115" i="3"/>
  <c r="DG115" i="3"/>
  <c r="DI115" i="3"/>
  <c r="DJ115" i="3" s="1"/>
  <c r="A116" i="3"/>
  <c r="Y116" i="3"/>
  <c r="CX116" i="3"/>
  <c r="DG116" i="3" s="1"/>
  <c r="CY116" i="3"/>
  <c r="CZ116" i="3"/>
  <c r="DB116" i="3" s="1"/>
  <c r="DA116" i="3"/>
  <c r="DC116" i="3"/>
  <c r="DF116" i="3"/>
  <c r="DI116" i="3"/>
  <c r="DJ116" i="3" s="1"/>
  <c r="A117" i="3"/>
  <c r="Y117" i="3"/>
  <c r="CW117" i="3" s="1"/>
  <c r="V96" i="1" s="1"/>
  <c r="CX117" i="3"/>
  <c r="DG117" i="3" s="1"/>
  <c r="DJ117" i="3" s="1"/>
  <c r="CY117" i="3"/>
  <c r="CZ117" i="3"/>
  <c r="DB117" i="3" s="1"/>
  <c r="DA117" i="3"/>
  <c r="DC117" i="3"/>
  <c r="DF117" i="3"/>
  <c r="DH117" i="3"/>
  <c r="DI117" i="3"/>
  <c r="A118" i="3"/>
  <c r="Y118" i="3"/>
  <c r="CW118" i="3" s="1"/>
  <c r="CY118" i="3"/>
  <c r="CZ118" i="3"/>
  <c r="DA118" i="3"/>
  <c r="DB118" i="3"/>
  <c r="DC118" i="3"/>
  <c r="A119" i="3"/>
  <c r="Y119" i="3"/>
  <c r="CX119" i="3" s="1"/>
  <c r="CY119" i="3"/>
  <c r="CZ119" i="3"/>
  <c r="DB119" i="3" s="1"/>
  <c r="DA119" i="3"/>
  <c r="DC119" i="3"/>
  <c r="A120" i="3"/>
  <c r="Y120" i="3"/>
  <c r="CX120" i="3"/>
  <c r="DG120" i="3" s="1"/>
  <c r="CY120" i="3"/>
  <c r="CZ120" i="3"/>
  <c r="DB120" i="3" s="1"/>
  <c r="DA120" i="3"/>
  <c r="DC120" i="3"/>
  <c r="DF120" i="3"/>
  <c r="DJ120" i="3" s="1"/>
  <c r="DH120" i="3"/>
  <c r="DI120" i="3"/>
  <c r="A121" i="3"/>
  <c r="Y121" i="3"/>
  <c r="CV121" i="3" s="1"/>
  <c r="CY121" i="3"/>
  <c r="CZ121" i="3"/>
  <c r="DA121" i="3"/>
  <c r="DB121" i="3"/>
  <c r="DC121" i="3"/>
  <c r="A122" i="3"/>
  <c r="Y122" i="3"/>
  <c r="CY122" i="3"/>
  <c r="CZ122" i="3"/>
  <c r="DA122" i="3"/>
  <c r="DB122" i="3"/>
  <c r="DC122" i="3"/>
  <c r="A123" i="3"/>
  <c r="Y123" i="3"/>
  <c r="CY123" i="3"/>
  <c r="CZ123" i="3"/>
  <c r="DA123" i="3"/>
  <c r="DB123" i="3"/>
  <c r="DC123" i="3"/>
  <c r="A124" i="3"/>
  <c r="Y124" i="3"/>
  <c r="CV124" i="3" s="1"/>
  <c r="U99" i="1" s="1"/>
  <c r="CU124" i="3"/>
  <c r="CX124" i="3"/>
  <c r="DG124" i="3" s="1"/>
  <c r="CY124" i="3"/>
  <c r="CZ124" i="3"/>
  <c r="DB124" i="3" s="1"/>
  <c r="DA124" i="3"/>
  <c r="DC124" i="3"/>
  <c r="DF124" i="3"/>
  <c r="DH124" i="3"/>
  <c r="DI124" i="3"/>
  <c r="DJ124" i="3" s="1"/>
  <c r="A125" i="3"/>
  <c r="Y125" i="3"/>
  <c r="CV125" i="3" s="1"/>
  <c r="CU125" i="3"/>
  <c r="CY125" i="3"/>
  <c r="CZ125" i="3"/>
  <c r="DB125" i="3" s="1"/>
  <c r="DA125" i="3"/>
  <c r="DC125" i="3"/>
  <c r="A126" i="3"/>
  <c r="Y126" i="3"/>
  <c r="CX126" i="3"/>
  <c r="DH126" i="3" s="1"/>
  <c r="CY126" i="3"/>
  <c r="CZ126" i="3"/>
  <c r="DA126" i="3"/>
  <c r="DB126" i="3"/>
  <c r="DC126" i="3"/>
  <c r="DF126" i="3"/>
  <c r="DG126" i="3"/>
  <c r="A127" i="3"/>
  <c r="Y127" i="3"/>
  <c r="CW127" i="3"/>
  <c r="CX127" i="3"/>
  <c r="DH127" i="3" s="1"/>
  <c r="DJ127" i="3" s="1"/>
  <c r="CY127" i="3"/>
  <c r="CZ127" i="3"/>
  <c r="DA127" i="3"/>
  <c r="DB127" i="3"/>
  <c r="DC127" i="3"/>
  <c r="DF127" i="3"/>
  <c r="DG127" i="3"/>
  <c r="DI127" i="3"/>
  <c r="A128" i="3"/>
  <c r="Y128" i="3"/>
  <c r="CX128" i="3" s="1"/>
  <c r="CY128" i="3"/>
  <c r="CZ128" i="3"/>
  <c r="DB128" i="3" s="1"/>
  <c r="DA128" i="3"/>
  <c r="DC128" i="3"/>
  <c r="A129" i="3"/>
  <c r="Y129" i="3"/>
  <c r="CX129" i="3"/>
  <c r="DH129" i="3" s="1"/>
  <c r="CY129" i="3"/>
  <c r="CZ129" i="3"/>
  <c r="DA129" i="3"/>
  <c r="DB129" i="3"/>
  <c r="DC129" i="3"/>
  <c r="DF129" i="3"/>
  <c r="DJ129" i="3" s="1"/>
  <c r="DG129" i="3"/>
  <c r="A130" i="3"/>
  <c r="Y130" i="3"/>
  <c r="CU130" i="3"/>
  <c r="CV130" i="3"/>
  <c r="CX130" i="3"/>
  <c r="DG130" i="3" s="1"/>
  <c r="CY130" i="3"/>
  <c r="CZ130" i="3"/>
  <c r="DB130" i="3" s="1"/>
  <c r="DA130" i="3"/>
  <c r="DC130" i="3"/>
  <c r="DF130" i="3"/>
  <c r="DH130" i="3"/>
  <c r="DI130" i="3"/>
  <c r="DJ130" i="3" s="1"/>
  <c r="A131" i="3"/>
  <c r="Y131" i="3"/>
  <c r="CX131" i="3" s="1"/>
  <c r="CY131" i="3"/>
  <c r="CZ131" i="3"/>
  <c r="DB131" i="3" s="1"/>
  <c r="DA131" i="3"/>
  <c r="DC131" i="3"/>
  <c r="A132" i="3"/>
  <c r="Y132" i="3"/>
  <c r="CX132" i="3" s="1"/>
  <c r="CW132" i="3"/>
  <c r="CY132" i="3"/>
  <c r="CZ132" i="3"/>
  <c r="DB132" i="3" s="1"/>
  <c r="DA132" i="3"/>
  <c r="DC132" i="3"/>
  <c r="A133" i="3"/>
  <c r="Y133" i="3"/>
  <c r="CX133" i="3" s="1"/>
  <c r="CW133" i="3"/>
  <c r="CY133" i="3"/>
  <c r="CZ133" i="3"/>
  <c r="DB133" i="3" s="1"/>
  <c r="DA133" i="3"/>
  <c r="DC133" i="3"/>
  <c r="D12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E26" i="1"/>
  <c r="Z26" i="1"/>
  <c r="AA26" i="1"/>
  <c r="AM26" i="1"/>
  <c r="AN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C28" i="1"/>
  <c r="D28" i="1"/>
  <c r="I28" i="1"/>
  <c r="CX1" i="3" s="1"/>
  <c r="K28" i="1"/>
  <c r="U28" i="1"/>
  <c r="AC28" i="1"/>
  <c r="AE28" i="1"/>
  <c r="AD28" i="1" s="1"/>
  <c r="AF28" i="1"/>
  <c r="AG28" i="1"/>
  <c r="CU28" i="1" s="1"/>
  <c r="T28" i="1" s="1"/>
  <c r="AH28" i="1"/>
  <c r="AI28" i="1"/>
  <c r="AJ28" i="1"/>
  <c r="CX28" i="1" s="1"/>
  <c r="W28" i="1" s="1"/>
  <c r="CQ28" i="1"/>
  <c r="CR28" i="1"/>
  <c r="CS28" i="1"/>
  <c r="CT28" i="1"/>
  <c r="CV28" i="1"/>
  <c r="CW28" i="1"/>
  <c r="GL28" i="1"/>
  <c r="GO28" i="1"/>
  <c r="GP28" i="1"/>
  <c r="GV28" i="1"/>
  <c r="HC28" i="1"/>
  <c r="GX28" i="1" s="1"/>
  <c r="C29" i="1"/>
  <c r="D29" i="1"/>
  <c r="I29" i="1"/>
  <c r="K29" i="1"/>
  <c r="V29" i="1"/>
  <c r="AC29" i="1"/>
  <c r="AD29" i="1"/>
  <c r="AE29" i="1"/>
  <c r="AF29" i="1"/>
  <c r="AB29" i="1" s="1"/>
  <c r="AG29" i="1"/>
  <c r="CU29" i="1" s="1"/>
  <c r="AH29" i="1"/>
  <c r="AI29" i="1"/>
  <c r="AJ29" i="1"/>
  <c r="CX29" i="1" s="1"/>
  <c r="CQ29" i="1"/>
  <c r="CR29" i="1"/>
  <c r="CS29" i="1"/>
  <c r="CT29" i="1"/>
  <c r="CV29" i="1"/>
  <c r="CW29" i="1"/>
  <c r="GL29" i="1"/>
  <c r="GO29" i="1"/>
  <c r="GP29" i="1"/>
  <c r="GV29" i="1"/>
  <c r="HC29" i="1"/>
  <c r="GX29" i="1" s="1"/>
  <c r="C30" i="1"/>
  <c r="D30" i="1"/>
  <c r="I30" i="1"/>
  <c r="K30" i="1"/>
  <c r="AC30" i="1"/>
  <c r="AE30" i="1"/>
  <c r="AD30" i="1" s="1"/>
  <c r="AF30" i="1"/>
  <c r="AG30" i="1"/>
  <c r="CU30" i="1" s="1"/>
  <c r="T30" i="1" s="1"/>
  <c r="AH30" i="1"/>
  <c r="AI30" i="1"/>
  <c r="AJ30" i="1"/>
  <c r="CX30" i="1" s="1"/>
  <c r="W30" i="1" s="1"/>
  <c r="CQ30" i="1"/>
  <c r="CR30" i="1"/>
  <c r="CS30" i="1"/>
  <c r="CT30" i="1"/>
  <c r="CV30" i="1"/>
  <c r="CW30" i="1"/>
  <c r="GL30" i="1"/>
  <c r="GO30" i="1"/>
  <c r="GP30" i="1"/>
  <c r="GV30" i="1"/>
  <c r="HC30" i="1"/>
  <c r="GX30" i="1" s="1"/>
  <c r="AC31" i="1"/>
  <c r="AE31" i="1"/>
  <c r="AD31" i="1" s="1"/>
  <c r="AB31" i="1" s="1"/>
  <c r="AF31" i="1"/>
  <c r="AG31" i="1"/>
  <c r="CU31" i="1" s="1"/>
  <c r="AH31" i="1"/>
  <c r="AI31" i="1"/>
  <c r="AJ31" i="1"/>
  <c r="CX31" i="1" s="1"/>
  <c r="CQ31" i="1"/>
  <c r="CR31" i="1"/>
  <c r="CS31" i="1"/>
  <c r="CT31" i="1"/>
  <c r="CV31" i="1"/>
  <c r="CW31" i="1"/>
  <c r="GL31" i="1"/>
  <c r="GO31" i="1"/>
  <c r="GP31" i="1"/>
  <c r="GV31" i="1"/>
  <c r="HC31" i="1"/>
  <c r="C32" i="1"/>
  <c r="D32" i="1"/>
  <c r="I32" i="1"/>
  <c r="K32" i="1"/>
  <c r="U32" i="1"/>
  <c r="AC32" i="1"/>
  <c r="AD32" i="1"/>
  <c r="AE32" i="1"/>
  <c r="AF32" i="1"/>
  <c r="AG32" i="1"/>
  <c r="CU32" i="1" s="1"/>
  <c r="T32" i="1" s="1"/>
  <c r="AH32" i="1"/>
  <c r="AI32" i="1"/>
  <c r="AJ32" i="1"/>
  <c r="CX32" i="1" s="1"/>
  <c r="W32" i="1" s="1"/>
  <c r="CQ32" i="1"/>
  <c r="CR32" i="1"/>
  <c r="CS32" i="1"/>
  <c r="CT32" i="1"/>
  <c r="CV32" i="1"/>
  <c r="CW32" i="1"/>
  <c r="GL32" i="1"/>
  <c r="GO32" i="1"/>
  <c r="CC35" i="1" s="1"/>
  <c r="GP32" i="1"/>
  <c r="GV32" i="1"/>
  <c r="HC32" i="1" s="1"/>
  <c r="GX32" i="1" s="1"/>
  <c r="C33" i="1"/>
  <c r="D33" i="1"/>
  <c r="I33" i="1"/>
  <c r="CU10" i="3" s="1"/>
  <c r="K33" i="1"/>
  <c r="V33" i="1"/>
  <c r="AC33" i="1"/>
  <c r="AD33" i="1"/>
  <c r="AE33" i="1"/>
  <c r="AF33" i="1"/>
  <c r="AG33" i="1"/>
  <c r="CU33" i="1" s="1"/>
  <c r="T33" i="1" s="1"/>
  <c r="AH33" i="1"/>
  <c r="AI33" i="1"/>
  <c r="AJ33" i="1"/>
  <c r="CX33" i="1" s="1"/>
  <c r="W33" i="1" s="1"/>
  <c r="CQ33" i="1"/>
  <c r="CR33" i="1"/>
  <c r="CS33" i="1"/>
  <c r="CT33" i="1"/>
  <c r="CV33" i="1"/>
  <c r="CW33" i="1"/>
  <c r="GL33" i="1"/>
  <c r="GO33" i="1"/>
  <c r="GP33" i="1"/>
  <c r="GV33" i="1"/>
  <c r="HC33" i="1" s="1"/>
  <c r="GX33" i="1" s="1"/>
  <c r="B35" i="1"/>
  <c r="B26" i="1" s="1"/>
  <c r="C35" i="1"/>
  <c r="C26" i="1" s="1"/>
  <c r="D35" i="1"/>
  <c r="D26" i="1" s="1"/>
  <c r="F35" i="1"/>
  <c r="F26" i="1" s="1"/>
  <c r="G35" i="1"/>
  <c r="G26" i="1" s="1"/>
  <c r="AO35" i="1"/>
  <c r="BB35" i="1"/>
  <c r="BB26" i="1" s="1"/>
  <c r="BD35" i="1"/>
  <c r="BD26" i="1" s="1"/>
  <c r="BX35" i="1"/>
  <c r="BY35" i="1"/>
  <c r="CK35" i="1"/>
  <c r="CK26" i="1" s="1"/>
  <c r="CL35" i="1"/>
  <c r="CM35" i="1"/>
  <c r="CM26" i="1" s="1"/>
  <c r="F48" i="1"/>
  <c r="F60" i="1"/>
  <c r="D65" i="1"/>
  <c r="E67" i="1"/>
  <c r="Z67" i="1"/>
  <c r="AA67" i="1"/>
  <c r="AM67" i="1"/>
  <c r="AN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CK67" i="1"/>
  <c r="CN67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DB67" i="1"/>
  <c r="DC67" i="1"/>
  <c r="DD67" i="1"/>
  <c r="DE67" i="1"/>
  <c r="DF67" i="1"/>
  <c r="DG67" i="1"/>
  <c r="DH67" i="1"/>
  <c r="DI67" i="1"/>
  <c r="DJ67" i="1"/>
  <c r="DK67" i="1"/>
  <c r="DL67" i="1"/>
  <c r="DM67" i="1"/>
  <c r="DN67" i="1"/>
  <c r="DO67" i="1"/>
  <c r="DP67" i="1"/>
  <c r="DQ67" i="1"/>
  <c r="DR67" i="1"/>
  <c r="DS67" i="1"/>
  <c r="DT67" i="1"/>
  <c r="DU67" i="1"/>
  <c r="DV67" i="1"/>
  <c r="DW67" i="1"/>
  <c r="DX67" i="1"/>
  <c r="DY67" i="1"/>
  <c r="DZ67" i="1"/>
  <c r="EA67" i="1"/>
  <c r="EB67" i="1"/>
  <c r="EC67" i="1"/>
  <c r="ED67" i="1"/>
  <c r="EE67" i="1"/>
  <c r="EF67" i="1"/>
  <c r="EG67" i="1"/>
  <c r="EH67" i="1"/>
  <c r="EI67" i="1"/>
  <c r="EJ67" i="1"/>
  <c r="EK67" i="1"/>
  <c r="EL67" i="1"/>
  <c r="EM67" i="1"/>
  <c r="EN67" i="1"/>
  <c r="EO67" i="1"/>
  <c r="EP67" i="1"/>
  <c r="EQ67" i="1"/>
  <c r="ER67" i="1"/>
  <c r="ES67" i="1"/>
  <c r="ET67" i="1"/>
  <c r="EU67" i="1"/>
  <c r="EV67" i="1"/>
  <c r="EW67" i="1"/>
  <c r="EX67" i="1"/>
  <c r="EY67" i="1"/>
  <c r="EZ67" i="1"/>
  <c r="FA67" i="1"/>
  <c r="FB67" i="1"/>
  <c r="FC67" i="1"/>
  <c r="FD67" i="1"/>
  <c r="FE67" i="1"/>
  <c r="FF67" i="1"/>
  <c r="FG67" i="1"/>
  <c r="FH67" i="1"/>
  <c r="FI67" i="1"/>
  <c r="FJ67" i="1"/>
  <c r="FK67" i="1"/>
  <c r="FL67" i="1"/>
  <c r="FM67" i="1"/>
  <c r="FN67" i="1"/>
  <c r="FO67" i="1"/>
  <c r="FP67" i="1"/>
  <c r="FQ67" i="1"/>
  <c r="FR67" i="1"/>
  <c r="FS67" i="1"/>
  <c r="FT67" i="1"/>
  <c r="FU67" i="1"/>
  <c r="FV67" i="1"/>
  <c r="FW67" i="1"/>
  <c r="FX67" i="1"/>
  <c r="FY67" i="1"/>
  <c r="FZ67" i="1"/>
  <c r="GA67" i="1"/>
  <c r="GB67" i="1"/>
  <c r="GC67" i="1"/>
  <c r="GD67" i="1"/>
  <c r="GE67" i="1"/>
  <c r="GF67" i="1"/>
  <c r="GG67" i="1"/>
  <c r="GH67" i="1"/>
  <c r="GI67" i="1"/>
  <c r="GJ67" i="1"/>
  <c r="GK67" i="1"/>
  <c r="GL67" i="1"/>
  <c r="GM67" i="1"/>
  <c r="GN67" i="1"/>
  <c r="GO67" i="1"/>
  <c r="GP67" i="1"/>
  <c r="GQ67" i="1"/>
  <c r="GR67" i="1"/>
  <c r="GS67" i="1"/>
  <c r="GT67" i="1"/>
  <c r="GU67" i="1"/>
  <c r="GV67" i="1"/>
  <c r="GW67" i="1"/>
  <c r="GX67" i="1"/>
  <c r="C69" i="1"/>
  <c r="D69" i="1"/>
  <c r="I69" i="1"/>
  <c r="K69" i="1"/>
  <c r="AC69" i="1"/>
  <c r="AE69" i="1"/>
  <c r="AD69" i="1" s="1"/>
  <c r="AF69" i="1"/>
  <c r="AG69" i="1"/>
  <c r="CU69" i="1" s="1"/>
  <c r="AH69" i="1"/>
  <c r="AI69" i="1"/>
  <c r="AJ69" i="1"/>
  <c r="CX69" i="1" s="1"/>
  <c r="CQ69" i="1"/>
  <c r="CR69" i="1"/>
  <c r="CS69" i="1"/>
  <c r="CT69" i="1"/>
  <c r="CV69" i="1"/>
  <c r="CW69" i="1"/>
  <c r="GL69" i="1"/>
  <c r="GO69" i="1"/>
  <c r="GP69" i="1"/>
  <c r="GV69" i="1"/>
  <c r="HC69" i="1"/>
  <c r="P70" i="1"/>
  <c r="CP70" i="1" s="1"/>
  <c r="O70" i="1" s="1"/>
  <c r="GM70" i="1" s="1"/>
  <c r="GN70" i="1" s="1"/>
  <c r="Q70" i="1"/>
  <c r="T70" i="1"/>
  <c r="X70" i="1"/>
  <c r="AC70" i="1"/>
  <c r="AE70" i="1"/>
  <c r="AD70" i="1" s="1"/>
  <c r="AF70" i="1"/>
  <c r="AG70" i="1"/>
  <c r="CU70" i="1" s="1"/>
  <c r="AH70" i="1"/>
  <c r="CV70" i="1" s="1"/>
  <c r="U70" i="1" s="1"/>
  <c r="AI70" i="1"/>
  <c r="CW70" i="1" s="1"/>
  <c r="V70" i="1" s="1"/>
  <c r="AJ70" i="1"/>
  <c r="CX70" i="1" s="1"/>
  <c r="W70" i="1" s="1"/>
  <c r="CQ70" i="1"/>
  <c r="CR70" i="1"/>
  <c r="CS70" i="1"/>
  <c r="R70" i="1" s="1"/>
  <c r="CT70" i="1"/>
  <c r="S70" i="1" s="1"/>
  <c r="CY70" i="1"/>
  <c r="CZ70" i="1"/>
  <c r="Y70" i="1" s="1"/>
  <c r="GL70" i="1"/>
  <c r="GO70" i="1"/>
  <c r="GP70" i="1"/>
  <c r="GV70" i="1"/>
  <c r="HC70" i="1"/>
  <c r="GX70" i="1" s="1"/>
  <c r="R71" i="1"/>
  <c r="AC71" i="1"/>
  <c r="AD71" i="1"/>
  <c r="AE71" i="1"/>
  <c r="AF71" i="1"/>
  <c r="AG71" i="1"/>
  <c r="CU71" i="1" s="1"/>
  <c r="T71" i="1" s="1"/>
  <c r="AH71" i="1"/>
  <c r="AI71" i="1"/>
  <c r="CW71" i="1" s="1"/>
  <c r="V71" i="1" s="1"/>
  <c r="AJ71" i="1"/>
  <c r="CX71" i="1" s="1"/>
  <c r="W71" i="1" s="1"/>
  <c r="CQ71" i="1"/>
  <c r="P71" i="1" s="1"/>
  <c r="CR71" i="1"/>
  <c r="Q71" i="1" s="1"/>
  <c r="CS71" i="1"/>
  <c r="CT71" i="1"/>
  <c r="S71" i="1" s="1"/>
  <c r="CV71" i="1"/>
  <c r="U71" i="1" s="1"/>
  <c r="CY71" i="1"/>
  <c r="X71" i="1" s="1"/>
  <c r="CZ71" i="1"/>
  <c r="Y71" i="1" s="1"/>
  <c r="GL71" i="1"/>
  <c r="GO71" i="1"/>
  <c r="GP71" i="1"/>
  <c r="GV71" i="1"/>
  <c r="GX71" i="1"/>
  <c r="HC71" i="1"/>
  <c r="C72" i="1"/>
  <c r="D72" i="1"/>
  <c r="I72" i="1"/>
  <c r="K72" i="1"/>
  <c r="AC72" i="1"/>
  <c r="AE72" i="1"/>
  <c r="AD72" i="1" s="1"/>
  <c r="AF72" i="1"/>
  <c r="AG72" i="1"/>
  <c r="CU72" i="1" s="1"/>
  <c r="T72" i="1" s="1"/>
  <c r="AH72" i="1"/>
  <c r="AI72" i="1"/>
  <c r="AJ72" i="1"/>
  <c r="CX72" i="1" s="1"/>
  <c r="W72" i="1" s="1"/>
  <c r="CQ72" i="1"/>
  <c r="CR72" i="1"/>
  <c r="CS72" i="1"/>
  <c r="CT72" i="1"/>
  <c r="CV72" i="1"/>
  <c r="CW72" i="1"/>
  <c r="GL72" i="1"/>
  <c r="GO72" i="1"/>
  <c r="GP72" i="1"/>
  <c r="GV72" i="1"/>
  <c r="HC72" i="1"/>
  <c r="GX72" i="1" s="1"/>
  <c r="I73" i="1"/>
  <c r="R73" i="1" s="1"/>
  <c r="AC73" i="1"/>
  <c r="AE73" i="1"/>
  <c r="AD73" i="1" s="1"/>
  <c r="AF73" i="1"/>
  <c r="AG73" i="1"/>
  <c r="CU73" i="1" s="1"/>
  <c r="AH73" i="1"/>
  <c r="CV73" i="1" s="1"/>
  <c r="AI73" i="1"/>
  <c r="AJ73" i="1"/>
  <c r="CX73" i="1" s="1"/>
  <c r="CQ73" i="1"/>
  <c r="CR73" i="1"/>
  <c r="CS73" i="1"/>
  <c r="CT73" i="1"/>
  <c r="CW73" i="1"/>
  <c r="GL73" i="1"/>
  <c r="GO73" i="1"/>
  <c r="GP73" i="1"/>
  <c r="GV73" i="1"/>
  <c r="HC73" i="1"/>
  <c r="C74" i="1"/>
  <c r="D74" i="1"/>
  <c r="I74" i="1"/>
  <c r="CX34" i="3" s="1"/>
  <c r="K74" i="1"/>
  <c r="AC74" i="1"/>
  <c r="AE74" i="1"/>
  <c r="AD74" i="1" s="1"/>
  <c r="AF74" i="1"/>
  <c r="AG74" i="1"/>
  <c r="CU74" i="1" s="1"/>
  <c r="T74" i="1" s="1"/>
  <c r="AH74" i="1"/>
  <c r="AI74" i="1"/>
  <c r="AJ74" i="1"/>
  <c r="CX74" i="1" s="1"/>
  <c r="W74" i="1" s="1"/>
  <c r="CQ74" i="1"/>
  <c r="CR74" i="1"/>
  <c r="CS74" i="1"/>
  <c r="CT74" i="1"/>
  <c r="CV74" i="1"/>
  <c r="CW74" i="1"/>
  <c r="GL74" i="1"/>
  <c r="GO74" i="1"/>
  <c r="GP74" i="1"/>
  <c r="GV74" i="1"/>
  <c r="HC74" i="1" s="1"/>
  <c r="GX74" i="1"/>
  <c r="AC75" i="1"/>
  <c r="AE75" i="1"/>
  <c r="AD75" i="1" s="1"/>
  <c r="AB75" i="1" s="1"/>
  <c r="AF75" i="1"/>
  <c r="AG75" i="1"/>
  <c r="CU75" i="1" s="1"/>
  <c r="AH75" i="1"/>
  <c r="CV75" i="1" s="1"/>
  <c r="AI75" i="1"/>
  <c r="AJ75" i="1"/>
  <c r="CX75" i="1" s="1"/>
  <c r="CQ75" i="1"/>
  <c r="CR75" i="1"/>
  <c r="CS75" i="1"/>
  <c r="CT75" i="1"/>
  <c r="CW75" i="1"/>
  <c r="GL75" i="1"/>
  <c r="GO75" i="1"/>
  <c r="GP75" i="1"/>
  <c r="GV75" i="1"/>
  <c r="HC75" i="1" s="1"/>
  <c r="AC76" i="1"/>
  <c r="AE76" i="1"/>
  <c r="AD76" i="1" s="1"/>
  <c r="AF76" i="1"/>
  <c r="AG76" i="1"/>
  <c r="CU76" i="1" s="1"/>
  <c r="AH76" i="1"/>
  <c r="CV76" i="1" s="1"/>
  <c r="AI76" i="1"/>
  <c r="AJ76" i="1"/>
  <c r="CX76" i="1" s="1"/>
  <c r="CQ76" i="1"/>
  <c r="CR76" i="1"/>
  <c r="CS76" i="1"/>
  <c r="CT76" i="1"/>
  <c r="CW76" i="1"/>
  <c r="GL76" i="1"/>
  <c r="GO76" i="1"/>
  <c r="GP76" i="1"/>
  <c r="GV76" i="1"/>
  <c r="HC76" i="1" s="1"/>
  <c r="C77" i="1"/>
  <c r="D77" i="1"/>
  <c r="V77" i="1"/>
  <c r="AC77" i="1"/>
  <c r="AE77" i="1"/>
  <c r="AD77" i="1" s="1"/>
  <c r="AF77" i="1"/>
  <c r="AG77" i="1"/>
  <c r="CU77" i="1" s="1"/>
  <c r="T77" i="1" s="1"/>
  <c r="AH77" i="1"/>
  <c r="AI77" i="1"/>
  <c r="AJ77" i="1"/>
  <c r="CQ77" i="1"/>
  <c r="CR77" i="1"/>
  <c r="CS77" i="1"/>
  <c r="CT77" i="1"/>
  <c r="CV77" i="1"/>
  <c r="CW77" i="1"/>
  <c r="CX77" i="1"/>
  <c r="W77" i="1" s="1"/>
  <c r="GL77" i="1"/>
  <c r="GO77" i="1"/>
  <c r="GP77" i="1"/>
  <c r="GV77" i="1"/>
  <c r="HC77" i="1" s="1"/>
  <c r="GX77" i="1" s="1"/>
  <c r="I78" i="1"/>
  <c r="R78" i="1"/>
  <c r="U78" i="1"/>
  <c r="W78" i="1"/>
  <c r="AC78" i="1"/>
  <c r="AB78" i="1" s="1"/>
  <c r="AE78" i="1"/>
  <c r="AD78" i="1" s="1"/>
  <c r="AF78" i="1"/>
  <c r="AG78" i="1"/>
  <c r="CU78" i="1" s="1"/>
  <c r="AH78" i="1"/>
  <c r="AI78" i="1"/>
  <c r="AJ78" i="1"/>
  <c r="CQ78" i="1"/>
  <c r="CR78" i="1"/>
  <c r="CS78" i="1"/>
  <c r="CT78" i="1"/>
  <c r="CV78" i="1"/>
  <c r="CW78" i="1"/>
  <c r="CX78" i="1"/>
  <c r="GL78" i="1"/>
  <c r="GO78" i="1"/>
  <c r="GP78" i="1"/>
  <c r="GV78" i="1"/>
  <c r="HC78" i="1" s="1"/>
  <c r="C79" i="1"/>
  <c r="D79" i="1"/>
  <c r="I79" i="1"/>
  <c r="CW59" i="3" s="1"/>
  <c r="K79" i="1"/>
  <c r="AC79" i="1"/>
  <c r="AE79" i="1"/>
  <c r="AD79" i="1" s="1"/>
  <c r="AF79" i="1"/>
  <c r="AG79" i="1"/>
  <c r="CU79" i="1" s="1"/>
  <c r="T79" i="1" s="1"/>
  <c r="AH79" i="1"/>
  <c r="AI79" i="1"/>
  <c r="AJ79" i="1"/>
  <c r="CQ79" i="1"/>
  <c r="CR79" i="1"/>
  <c r="CS79" i="1"/>
  <c r="CT79" i="1"/>
  <c r="CV79" i="1"/>
  <c r="CW79" i="1"/>
  <c r="CX79" i="1"/>
  <c r="W79" i="1" s="1"/>
  <c r="GL79" i="1"/>
  <c r="GO79" i="1"/>
  <c r="GP79" i="1"/>
  <c r="GV79" i="1"/>
  <c r="HC79" i="1" s="1"/>
  <c r="GX79" i="1"/>
  <c r="P80" i="1"/>
  <c r="S80" i="1"/>
  <c r="X80" i="1"/>
  <c r="AC80" i="1"/>
  <c r="AE80" i="1"/>
  <c r="AD80" i="1" s="1"/>
  <c r="AF80" i="1"/>
  <c r="AG80" i="1"/>
  <c r="AH80" i="1"/>
  <c r="AI80" i="1"/>
  <c r="CW80" i="1" s="1"/>
  <c r="V80" i="1" s="1"/>
  <c r="AJ80" i="1"/>
  <c r="CQ80" i="1"/>
  <c r="CR80" i="1"/>
  <c r="Q80" i="1" s="1"/>
  <c r="CS80" i="1"/>
  <c r="R80" i="1" s="1"/>
  <c r="CT80" i="1"/>
  <c r="CU80" i="1"/>
  <c r="T80" i="1" s="1"/>
  <c r="CV80" i="1"/>
  <c r="U80" i="1" s="1"/>
  <c r="CX80" i="1"/>
  <c r="W80" i="1" s="1"/>
  <c r="CY80" i="1"/>
  <c r="CZ80" i="1"/>
  <c r="Y80" i="1" s="1"/>
  <c r="GL80" i="1"/>
  <c r="GO80" i="1"/>
  <c r="GP80" i="1"/>
  <c r="GV80" i="1"/>
  <c r="HC80" i="1"/>
  <c r="GX80" i="1" s="1"/>
  <c r="C81" i="1"/>
  <c r="D81" i="1"/>
  <c r="U81" i="1"/>
  <c r="AC81" i="1"/>
  <c r="AE81" i="1"/>
  <c r="AD81" i="1" s="1"/>
  <c r="AF81" i="1"/>
  <c r="AG81" i="1"/>
  <c r="AH81" i="1"/>
  <c r="AI81" i="1"/>
  <c r="AJ81" i="1"/>
  <c r="CQ81" i="1"/>
  <c r="CR81" i="1"/>
  <c r="CS81" i="1"/>
  <c r="CT81" i="1"/>
  <c r="CU81" i="1"/>
  <c r="T81" i="1" s="1"/>
  <c r="CV81" i="1"/>
  <c r="CW81" i="1"/>
  <c r="CX81" i="1"/>
  <c r="W81" i="1" s="1"/>
  <c r="GL81" i="1"/>
  <c r="GO81" i="1"/>
  <c r="GP81" i="1"/>
  <c r="GV81" i="1"/>
  <c r="HC81" i="1"/>
  <c r="GX81" i="1" s="1"/>
  <c r="I82" i="1"/>
  <c r="R82" i="1"/>
  <c r="S82" i="1"/>
  <c r="T82" i="1"/>
  <c r="AC82" i="1"/>
  <c r="AE82" i="1"/>
  <c r="AD82" i="1" s="1"/>
  <c r="AF82" i="1"/>
  <c r="AG82" i="1"/>
  <c r="AH82" i="1"/>
  <c r="CV82" i="1" s="1"/>
  <c r="U82" i="1" s="1"/>
  <c r="AI82" i="1"/>
  <c r="CW82" i="1" s="1"/>
  <c r="V82" i="1" s="1"/>
  <c r="AJ82" i="1"/>
  <c r="CQ82" i="1"/>
  <c r="P82" i="1" s="1"/>
  <c r="CR82" i="1"/>
  <c r="Q82" i="1" s="1"/>
  <c r="CS82" i="1"/>
  <c r="CT82" i="1"/>
  <c r="CU82" i="1"/>
  <c r="CX82" i="1"/>
  <c r="W82" i="1" s="1"/>
  <c r="GL82" i="1"/>
  <c r="GO82" i="1"/>
  <c r="GP82" i="1"/>
  <c r="GV82" i="1"/>
  <c r="HC82" i="1"/>
  <c r="GX82" i="1" s="1"/>
  <c r="C83" i="1"/>
  <c r="D83" i="1"/>
  <c r="AC83" i="1"/>
  <c r="AE83" i="1"/>
  <c r="AD83" i="1" s="1"/>
  <c r="AF83" i="1"/>
  <c r="AG83" i="1"/>
  <c r="AH83" i="1"/>
  <c r="AI83" i="1"/>
  <c r="AJ83" i="1"/>
  <c r="CX83" i="1" s="1"/>
  <c r="W83" i="1" s="1"/>
  <c r="CQ83" i="1"/>
  <c r="CR83" i="1"/>
  <c r="CS83" i="1"/>
  <c r="CT83" i="1"/>
  <c r="CU83" i="1"/>
  <c r="T83" i="1" s="1"/>
  <c r="CV83" i="1"/>
  <c r="CW83" i="1"/>
  <c r="GL83" i="1"/>
  <c r="GO83" i="1"/>
  <c r="GP83" i="1"/>
  <c r="GV83" i="1"/>
  <c r="HC83" i="1" s="1"/>
  <c r="GX83" i="1" s="1"/>
  <c r="T84" i="1"/>
  <c r="U84" i="1"/>
  <c r="W84" i="1"/>
  <c r="AC84" i="1"/>
  <c r="AB84" i="1" s="1"/>
  <c r="AD84" i="1"/>
  <c r="AE84" i="1"/>
  <c r="AF84" i="1"/>
  <c r="AG84" i="1"/>
  <c r="AH84" i="1"/>
  <c r="AI84" i="1"/>
  <c r="CW84" i="1" s="1"/>
  <c r="V84" i="1" s="1"/>
  <c r="AJ84" i="1"/>
  <c r="CQ84" i="1"/>
  <c r="P84" i="1" s="1"/>
  <c r="CR84" i="1"/>
  <c r="Q84" i="1" s="1"/>
  <c r="CS84" i="1"/>
  <c r="R84" i="1" s="1"/>
  <c r="CT84" i="1"/>
  <c r="S84" i="1" s="1"/>
  <c r="CU84" i="1"/>
  <c r="CV84" i="1"/>
  <c r="CX84" i="1"/>
  <c r="CY84" i="1"/>
  <c r="X84" i="1" s="1"/>
  <c r="CZ84" i="1"/>
  <c r="Y84" i="1" s="1"/>
  <c r="GL84" i="1"/>
  <c r="GO84" i="1"/>
  <c r="GP84" i="1"/>
  <c r="GV84" i="1"/>
  <c r="HC84" i="1"/>
  <c r="GX84" i="1" s="1"/>
  <c r="C85" i="1"/>
  <c r="D85" i="1"/>
  <c r="T85" i="1"/>
  <c r="U85" i="1"/>
  <c r="AC85" i="1"/>
  <c r="AE85" i="1"/>
  <c r="AD85" i="1" s="1"/>
  <c r="AF85" i="1"/>
  <c r="AG85" i="1"/>
  <c r="AH85" i="1"/>
  <c r="AI85" i="1"/>
  <c r="AJ85" i="1"/>
  <c r="CX85" i="1" s="1"/>
  <c r="W85" i="1" s="1"/>
  <c r="CQ85" i="1"/>
  <c r="CR85" i="1"/>
  <c r="CS85" i="1"/>
  <c r="CT85" i="1"/>
  <c r="CU85" i="1"/>
  <c r="CV85" i="1"/>
  <c r="CW85" i="1"/>
  <c r="GL85" i="1"/>
  <c r="GN85" i="1"/>
  <c r="GP85" i="1"/>
  <c r="GV85" i="1"/>
  <c r="HC85" i="1" s="1"/>
  <c r="GX85" i="1"/>
  <c r="I86" i="1"/>
  <c r="GX86" i="1" s="1"/>
  <c r="U86" i="1"/>
  <c r="V86" i="1"/>
  <c r="W86" i="1"/>
  <c r="AC86" i="1"/>
  <c r="AB86" i="1" s="1"/>
  <c r="AD86" i="1"/>
  <c r="AE86" i="1"/>
  <c r="AF86" i="1"/>
  <c r="AG86" i="1"/>
  <c r="AH86" i="1"/>
  <c r="AI86" i="1"/>
  <c r="AJ86" i="1"/>
  <c r="CP86" i="1"/>
  <c r="CQ86" i="1"/>
  <c r="CR86" i="1"/>
  <c r="Q86" i="1" s="1"/>
  <c r="CS86" i="1"/>
  <c r="R86" i="1" s="1"/>
  <c r="CT86" i="1"/>
  <c r="S86" i="1" s="1"/>
  <c r="CU86" i="1"/>
  <c r="T86" i="1" s="1"/>
  <c r="CV86" i="1"/>
  <c r="CW86" i="1"/>
  <c r="CX86" i="1"/>
  <c r="CY86" i="1"/>
  <c r="X86" i="1" s="1"/>
  <c r="CZ86" i="1"/>
  <c r="Y86" i="1" s="1"/>
  <c r="GL86" i="1"/>
  <c r="GN86" i="1"/>
  <c r="GP86" i="1"/>
  <c r="GV86" i="1"/>
  <c r="HC86" i="1"/>
  <c r="I87" i="1"/>
  <c r="K87" i="1"/>
  <c r="S87" i="1"/>
  <c r="T87" i="1"/>
  <c r="AC87" i="1"/>
  <c r="AE87" i="1"/>
  <c r="AD87" i="1" s="1"/>
  <c r="AF87" i="1"/>
  <c r="AG87" i="1"/>
  <c r="AH87" i="1"/>
  <c r="AI87" i="1"/>
  <c r="AJ87" i="1"/>
  <c r="CX87" i="1" s="1"/>
  <c r="W87" i="1" s="1"/>
  <c r="CQ87" i="1"/>
  <c r="P87" i="1" s="1"/>
  <c r="CP87" i="1" s="1"/>
  <c r="O87" i="1" s="1"/>
  <c r="CR87" i="1"/>
  <c r="Q87" i="1" s="1"/>
  <c r="CS87" i="1"/>
  <c r="R87" i="1" s="1"/>
  <c r="CT87" i="1"/>
  <c r="CU87" i="1"/>
  <c r="CV87" i="1"/>
  <c r="U87" i="1" s="1"/>
  <c r="CW87" i="1"/>
  <c r="V87" i="1" s="1"/>
  <c r="CY87" i="1"/>
  <c r="X87" i="1" s="1"/>
  <c r="CZ87" i="1"/>
  <c r="Y87" i="1" s="1"/>
  <c r="GL87" i="1"/>
  <c r="GO87" i="1"/>
  <c r="GP87" i="1"/>
  <c r="GV87" i="1"/>
  <c r="HC87" i="1"/>
  <c r="C88" i="1"/>
  <c r="D88" i="1"/>
  <c r="T88" i="1"/>
  <c r="U88" i="1"/>
  <c r="AC88" i="1"/>
  <c r="AE88" i="1"/>
  <c r="AD88" i="1" s="1"/>
  <c r="AF88" i="1"/>
  <c r="AG88" i="1"/>
  <c r="AH88" i="1"/>
  <c r="AI88" i="1"/>
  <c r="AJ88" i="1"/>
  <c r="CX88" i="1" s="1"/>
  <c r="W88" i="1" s="1"/>
  <c r="CQ88" i="1"/>
  <c r="CR88" i="1"/>
  <c r="CS88" i="1"/>
  <c r="CT88" i="1"/>
  <c r="CU88" i="1"/>
  <c r="CV88" i="1"/>
  <c r="CW88" i="1"/>
  <c r="GL88" i="1"/>
  <c r="GN88" i="1"/>
  <c r="GP88" i="1"/>
  <c r="GV88" i="1"/>
  <c r="HC88" i="1"/>
  <c r="GX88" i="1" s="1"/>
  <c r="I89" i="1"/>
  <c r="P89" i="1" s="1"/>
  <c r="O89" i="1" s="1"/>
  <c r="U89" i="1"/>
  <c r="V89" i="1"/>
  <c r="AC89" i="1"/>
  <c r="AE89" i="1"/>
  <c r="AD89" i="1" s="1"/>
  <c r="AF89" i="1"/>
  <c r="AG89" i="1"/>
  <c r="AH89" i="1"/>
  <c r="AI89" i="1"/>
  <c r="AJ89" i="1"/>
  <c r="CP89" i="1"/>
  <c r="CQ89" i="1"/>
  <c r="CR89" i="1"/>
  <c r="Q89" i="1" s="1"/>
  <c r="CS89" i="1"/>
  <c r="R89" i="1" s="1"/>
  <c r="CT89" i="1"/>
  <c r="S89" i="1" s="1"/>
  <c r="CU89" i="1"/>
  <c r="T89" i="1" s="1"/>
  <c r="CV89" i="1"/>
  <c r="CW89" i="1"/>
  <c r="CX89" i="1"/>
  <c r="W89" i="1" s="1"/>
  <c r="CY89" i="1"/>
  <c r="X89" i="1" s="1"/>
  <c r="CZ89" i="1"/>
  <c r="Y89" i="1" s="1"/>
  <c r="GL89" i="1"/>
  <c r="GN89" i="1"/>
  <c r="GP89" i="1"/>
  <c r="GV89" i="1"/>
  <c r="HC89" i="1"/>
  <c r="GX89" i="1" s="1"/>
  <c r="I90" i="1"/>
  <c r="K90" i="1"/>
  <c r="S90" i="1"/>
  <c r="AB90" i="1"/>
  <c r="AC90" i="1"/>
  <c r="AD90" i="1"/>
  <c r="AE90" i="1"/>
  <c r="AF90" i="1"/>
  <c r="AG90" i="1"/>
  <c r="CU90" i="1" s="1"/>
  <c r="T90" i="1" s="1"/>
  <c r="AH90" i="1"/>
  <c r="CV90" i="1" s="1"/>
  <c r="U90" i="1" s="1"/>
  <c r="AI90" i="1"/>
  <c r="CW90" i="1" s="1"/>
  <c r="V90" i="1" s="1"/>
  <c r="AJ90" i="1"/>
  <c r="CX90" i="1" s="1"/>
  <c r="W90" i="1" s="1"/>
  <c r="CQ90" i="1"/>
  <c r="P90" i="1" s="1"/>
  <c r="CR90" i="1"/>
  <c r="Q90" i="1" s="1"/>
  <c r="CS90" i="1"/>
  <c r="R90" i="1" s="1"/>
  <c r="CT90" i="1"/>
  <c r="CY90" i="1"/>
  <c r="X90" i="1" s="1"/>
  <c r="CZ90" i="1"/>
  <c r="Y90" i="1" s="1"/>
  <c r="GL90" i="1"/>
  <c r="GN90" i="1"/>
  <c r="GP90" i="1"/>
  <c r="GV90" i="1"/>
  <c r="HC90" i="1" s="1"/>
  <c r="GX90" i="1" s="1"/>
  <c r="C91" i="1"/>
  <c r="D91" i="1"/>
  <c r="I91" i="1"/>
  <c r="K91" i="1"/>
  <c r="AC91" i="1"/>
  <c r="AE91" i="1"/>
  <c r="AD91" i="1" s="1"/>
  <c r="AF91" i="1"/>
  <c r="AG91" i="1"/>
  <c r="CU91" i="1" s="1"/>
  <c r="T91" i="1" s="1"/>
  <c r="AH91" i="1"/>
  <c r="AI91" i="1"/>
  <c r="AJ91" i="1"/>
  <c r="CX91" i="1" s="1"/>
  <c r="W91" i="1" s="1"/>
  <c r="CQ91" i="1"/>
  <c r="CR91" i="1"/>
  <c r="CS91" i="1"/>
  <c r="CT91" i="1"/>
  <c r="CV91" i="1"/>
  <c r="CW91" i="1"/>
  <c r="GL91" i="1"/>
  <c r="GO91" i="1"/>
  <c r="GP91" i="1"/>
  <c r="GV91" i="1"/>
  <c r="HC91" i="1" s="1"/>
  <c r="GX91" i="1"/>
  <c r="I92" i="1"/>
  <c r="V92" i="1" s="1"/>
  <c r="K92" i="1"/>
  <c r="Y92" i="1"/>
  <c r="AC92" i="1"/>
  <c r="AE92" i="1"/>
  <c r="AD92" i="1" s="1"/>
  <c r="AF92" i="1"/>
  <c r="AG92" i="1"/>
  <c r="CU92" i="1" s="1"/>
  <c r="T92" i="1" s="1"/>
  <c r="AH92" i="1"/>
  <c r="CV92" i="1" s="1"/>
  <c r="U92" i="1" s="1"/>
  <c r="AI92" i="1"/>
  <c r="AJ92" i="1"/>
  <c r="CX92" i="1" s="1"/>
  <c r="W92" i="1" s="1"/>
  <c r="CQ92" i="1"/>
  <c r="P92" i="1" s="1"/>
  <c r="CR92" i="1"/>
  <c r="Q92" i="1" s="1"/>
  <c r="CS92" i="1"/>
  <c r="R92" i="1" s="1"/>
  <c r="CT92" i="1"/>
  <c r="S92" i="1" s="1"/>
  <c r="CW92" i="1"/>
  <c r="CY92" i="1"/>
  <c r="X92" i="1" s="1"/>
  <c r="CZ92" i="1"/>
  <c r="GL92" i="1"/>
  <c r="GN92" i="1"/>
  <c r="GP92" i="1"/>
  <c r="GV92" i="1"/>
  <c r="HC92" i="1" s="1"/>
  <c r="GX92" i="1"/>
  <c r="P93" i="1"/>
  <c r="Q93" i="1"/>
  <c r="R93" i="1"/>
  <c r="AC93" i="1"/>
  <c r="AE93" i="1"/>
  <c r="AD93" i="1" s="1"/>
  <c r="AF93" i="1"/>
  <c r="AG93" i="1"/>
  <c r="CU93" i="1" s="1"/>
  <c r="T93" i="1" s="1"/>
  <c r="AH93" i="1"/>
  <c r="CV93" i="1" s="1"/>
  <c r="U93" i="1" s="1"/>
  <c r="AI93" i="1"/>
  <c r="CW93" i="1" s="1"/>
  <c r="V93" i="1" s="1"/>
  <c r="AJ93" i="1"/>
  <c r="CQ93" i="1"/>
  <c r="CR93" i="1"/>
  <c r="CS93" i="1"/>
  <c r="CT93" i="1"/>
  <c r="S93" i="1" s="1"/>
  <c r="CX93" i="1"/>
  <c r="W93" i="1" s="1"/>
  <c r="CY93" i="1"/>
  <c r="X93" i="1" s="1"/>
  <c r="CZ93" i="1"/>
  <c r="Y93" i="1" s="1"/>
  <c r="GL93" i="1"/>
  <c r="GN93" i="1"/>
  <c r="GP93" i="1"/>
  <c r="GV93" i="1"/>
  <c r="HC93" i="1"/>
  <c r="GX93" i="1" s="1"/>
  <c r="C94" i="1"/>
  <c r="D94" i="1"/>
  <c r="I94" i="1"/>
  <c r="K94" i="1"/>
  <c r="AC94" i="1"/>
  <c r="AE94" i="1"/>
  <c r="AD94" i="1" s="1"/>
  <c r="AF94" i="1"/>
  <c r="AG94" i="1"/>
  <c r="CU94" i="1" s="1"/>
  <c r="T94" i="1" s="1"/>
  <c r="AH94" i="1"/>
  <c r="AI94" i="1"/>
  <c r="AJ94" i="1"/>
  <c r="CX94" i="1" s="1"/>
  <c r="W94" i="1" s="1"/>
  <c r="CQ94" i="1"/>
  <c r="CR94" i="1"/>
  <c r="CS94" i="1"/>
  <c r="CT94" i="1"/>
  <c r="CV94" i="1"/>
  <c r="CW94" i="1"/>
  <c r="GL94" i="1"/>
  <c r="GO94" i="1"/>
  <c r="GP94" i="1"/>
  <c r="GV94" i="1"/>
  <c r="HC94" i="1"/>
  <c r="GX94" i="1" s="1"/>
  <c r="AC95" i="1"/>
  <c r="AD95" i="1"/>
  <c r="AE95" i="1"/>
  <c r="AF95" i="1"/>
  <c r="AB95" i="1" s="1"/>
  <c r="AG95" i="1"/>
  <c r="AH95" i="1"/>
  <c r="CV95" i="1" s="1"/>
  <c r="AI95" i="1"/>
  <c r="CW95" i="1" s="1"/>
  <c r="AJ95" i="1"/>
  <c r="CX95" i="1" s="1"/>
  <c r="CQ95" i="1"/>
  <c r="CR95" i="1"/>
  <c r="CS95" i="1"/>
  <c r="CT95" i="1"/>
  <c r="CU95" i="1"/>
  <c r="GL95" i="1"/>
  <c r="GO95" i="1"/>
  <c r="GP95" i="1"/>
  <c r="GV95" i="1"/>
  <c r="HC95" i="1"/>
  <c r="C96" i="1"/>
  <c r="D96" i="1"/>
  <c r="U96" i="1"/>
  <c r="AC96" i="1"/>
  <c r="AE96" i="1"/>
  <c r="AD96" i="1" s="1"/>
  <c r="AF96" i="1"/>
  <c r="AG96" i="1"/>
  <c r="AH96" i="1"/>
  <c r="AI96" i="1"/>
  <c r="AJ96" i="1"/>
  <c r="CX96" i="1" s="1"/>
  <c r="W96" i="1" s="1"/>
  <c r="CQ96" i="1"/>
  <c r="CR96" i="1"/>
  <c r="CS96" i="1"/>
  <c r="CT96" i="1"/>
  <c r="CU96" i="1"/>
  <c r="T96" i="1" s="1"/>
  <c r="CV96" i="1"/>
  <c r="CW96" i="1"/>
  <c r="GL96" i="1"/>
  <c r="GO96" i="1"/>
  <c r="GP96" i="1"/>
  <c r="GV96" i="1"/>
  <c r="HC96" i="1"/>
  <c r="GX96" i="1" s="1"/>
  <c r="I97" i="1"/>
  <c r="R97" i="1" s="1"/>
  <c r="S97" i="1"/>
  <c r="CZ97" i="1" s="1"/>
  <c r="Y97" i="1" s="1"/>
  <c r="AC97" i="1"/>
  <c r="AE97" i="1"/>
  <c r="AD97" i="1" s="1"/>
  <c r="AF97" i="1"/>
  <c r="AG97" i="1"/>
  <c r="AH97" i="1"/>
  <c r="AI97" i="1"/>
  <c r="AJ97" i="1"/>
  <c r="CX97" i="1" s="1"/>
  <c r="W97" i="1" s="1"/>
  <c r="CQ97" i="1"/>
  <c r="P97" i="1" s="1"/>
  <c r="CR97" i="1"/>
  <c r="CS97" i="1"/>
  <c r="CT97" i="1"/>
  <c r="CU97" i="1"/>
  <c r="T97" i="1" s="1"/>
  <c r="CV97" i="1"/>
  <c r="U97" i="1" s="1"/>
  <c r="CW97" i="1"/>
  <c r="V97" i="1" s="1"/>
  <c r="CY97" i="1"/>
  <c r="X97" i="1" s="1"/>
  <c r="GL97" i="1"/>
  <c r="GO97" i="1"/>
  <c r="GP97" i="1"/>
  <c r="GV97" i="1"/>
  <c r="HC97" i="1" s="1"/>
  <c r="C98" i="1"/>
  <c r="D98" i="1"/>
  <c r="I98" i="1"/>
  <c r="K98" i="1"/>
  <c r="U98" i="1"/>
  <c r="AC98" i="1"/>
  <c r="AE98" i="1"/>
  <c r="AD98" i="1" s="1"/>
  <c r="AF98" i="1"/>
  <c r="AG98" i="1"/>
  <c r="CU98" i="1" s="1"/>
  <c r="AH98" i="1"/>
  <c r="AI98" i="1"/>
  <c r="AJ98" i="1"/>
  <c r="CQ98" i="1"/>
  <c r="CR98" i="1"/>
  <c r="CS98" i="1"/>
  <c r="CT98" i="1"/>
  <c r="CV98" i="1"/>
  <c r="CW98" i="1"/>
  <c r="CX98" i="1"/>
  <c r="W98" i="1" s="1"/>
  <c r="GL98" i="1"/>
  <c r="GO98" i="1"/>
  <c r="GP98" i="1"/>
  <c r="GV98" i="1"/>
  <c r="HC98" i="1"/>
  <c r="GX98" i="1" s="1"/>
  <c r="C99" i="1"/>
  <c r="D99" i="1"/>
  <c r="V99" i="1"/>
  <c r="AC99" i="1"/>
  <c r="AE99" i="1"/>
  <c r="AD99" i="1" s="1"/>
  <c r="AF99" i="1"/>
  <c r="AG99" i="1"/>
  <c r="AH99" i="1"/>
  <c r="AI99" i="1"/>
  <c r="AJ99" i="1"/>
  <c r="CX99" i="1" s="1"/>
  <c r="W99" i="1" s="1"/>
  <c r="CQ99" i="1"/>
  <c r="CR99" i="1"/>
  <c r="CS99" i="1"/>
  <c r="CT99" i="1"/>
  <c r="CU99" i="1"/>
  <c r="T99" i="1" s="1"/>
  <c r="CV99" i="1"/>
  <c r="CW99" i="1"/>
  <c r="GL99" i="1"/>
  <c r="GO99" i="1"/>
  <c r="GP99" i="1"/>
  <c r="GV99" i="1"/>
  <c r="HC99" i="1"/>
  <c r="GX99" i="1" s="1"/>
  <c r="C100" i="1"/>
  <c r="D100" i="1"/>
  <c r="T100" i="1"/>
  <c r="U100" i="1"/>
  <c r="V100" i="1"/>
  <c r="AC100" i="1"/>
  <c r="AE100" i="1"/>
  <c r="AD100" i="1" s="1"/>
  <c r="AF100" i="1"/>
  <c r="AG100" i="1"/>
  <c r="AH100" i="1"/>
  <c r="AI100" i="1"/>
  <c r="AJ100" i="1"/>
  <c r="CQ100" i="1"/>
  <c r="CR100" i="1"/>
  <c r="CS100" i="1"/>
  <c r="CT100" i="1"/>
  <c r="CU100" i="1"/>
  <c r="CV100" i="1"/>
  <c r="CW100" i="1"/>
  <c r="CX100" i="1"/>
  <c r="W100" i="1" s="1"/>
  <c r="GL100" i="1"/>
  <c r="GO100" i="1"/>
  <c r="GP100" i="1"/>
  <c r="GV100" i="1"/>
  <c r="HC100" i="1"/>
  <c r="GX100" i="1" s="1"/>
  <c r="B102" i="1"/>
  <c r="B67" i="1" s="1"/>
  <c r="C102" i="1"/>
  <c r="C67" i="1" s="1"/>
  <c r="D102" i="1"/>
  <c r="D67" i="1" s="1"/>
  <c r="F102" i="1"/>
  <c r="F67" i="1" s="1"/>
  <c r="G102" i="1"/>
  <c r="G67" i="1" s="1"/>
  <c r="AO102" i="1"/>
  <c r="AO67" i="1" s="1"/>
  <c r="AP102" i="1"/>
  <c r="AP67" i="1" s="1"/>
  <c r="BB102" i="1"/>
  <c r="BC102" i="1"/>
  <c r="F118" i="1" s="1"/>
  <c r="BD102" i="1"/>
  <c r="BD67" i="1" s="1"/>
  <c r="BX102" i="1"/>
  <c r="BY102" i="1"/>
  <c r="BY67" i="1" s="1"/>
  <c r="CK102" i="1"/>
  <c r="CL102" i="1"/>
  <c r="CL67" i="1" s="1"/>
  <c r="CM102" i="1"/>
  <c r="CM67" i="1" s="1"/>
  <c r="F106" i="1"/>
  <c r="F111" i="1"/>
  <c r="F115" i="1"/>
  <c r="F127" i="1"/>
  <c r="B132" i="1"/>
  <c r="B22" i="1" s="1"/>
  <c r="C132" i="1"/>
  <c r="C22" i="1" s="1"/>
  <c r="D132" i="1"/>
  <c r="D22" i="1" s="1"/>
  <c r="F132" i="1"/>
  <c r="F22" i="1" s="1"/>
  <c r="G132" i="1"/>
  <c r="G22" i="1" s="1"/>
  <c r="AO132" i="1"/>
  <c r="AO22" i="1" s="1"/>
  <c r="B162" i="1"/>
  <c r="B18" i="1" s="1"/>
  <c r="C162" i="1"/>
  <c r="C18" i="1" s="1"/>
  <c r="D162" i="1"/>
  <c r="D18" i="1" s="1"/>
  <c r="F162" i="1"/>
  <c r="F18" i="1" s="1"/>
  <c r="G162" i="1"/>
  <c r="G18" i="1" s="1"/>
  <c r="F12" i="6"/>
  <c r="G12" i="6"/>
  <c r="K64" i="9" l="1"/>
  <c r="I64" i="9" s="1"/>
  <c r="L385" i="9"/>
  <c r="L394" i="9" s="1"/>
  <c r="L506" i="9"/>
  <c r="L504" i="9" s="1"/>
  <c r="L532" i="9"/>
  <c r="L301" i="9"/>
  <c r="AT278" i="9"/>
  <c r="L175" i="9"/>
  <c r="L512" i="9"/>
  <c r="L510" i="9" s="1"/>
  <c r="K90" i="9"/>
  <c r="I90" i="9" s="1"/>
  <c r="L51" i="9"/>
  <c r="L185" i="9"/>
  <c r="AO212" i="9" s="1"/>
  <c r="AO55" i="9"/>
  <c r="K320" i="9"/>
  <c r="I320" i="9" s="1"/>
  <c r="L315" i="9"/>
  <c r="AN320" i="9"/>
  <c r="L396" i="9"/>
  <c r="AN55" i="9"/>
  <c r="L563" i="9"/>
  <c r="L561" i="9" s="1"/>
  <c r="K212" i="9"/>
  <c r="I212" i="9" s="1"/>
  <c r="AN212" i="9"/>
  <c r="L108" i="9"/>
  <c r="AN278" i="9"/>
  <c r="AN229" i="9"/>
  <c r="AN90" i="9"/>
  <c r="L209" i="9"/>
  <c r="K251" i="9"/>
  <c r="I251" i="9" s="1"/>
  <c r="AN251" i="9"/>
  <c r="L247" i="9"/>
  <c r="AO90" i="9"/>
  <c r="L456" i="9"/>
  <c r="L454" i="9" s="1"/>
  <c r="K32" i="9"/>
  <c r="L408" i="9"/>
  <c r="AO148" i="9"/>
  <c r="K355" i="9"/>
  <c r="I355" i="9" s="1"/>
  <c r="K412" i="9"/>
  <c r="I412" i="9" s="1"/>
  <c r="L144" i="9"/>
  <c r="L492" i="9"/>
  <c r="L490" i="9" s="1"/>
  <c r="AN412" i="9"/>
  <c r="L76" i="9"/>
  <c r="L488" i="9"/>
  <c r="AN148" i="9"/>
  <c r="K337" i="9"/>
  <c r="I337" i="9" s="1"/>
  <c r="K429" i="9"/>
  <c r="I429" i="9" s="1"/>
  <c r="K229" i="9"/>
  <c r="I229" i="9" s="1"/>
  <c r="L275" i="9"/>
  <c r="L332" i="9"/>
  <c r="L425" i="9"/>
  <c r="AN429" i="9"/>
  <c r="L273" i="9"/>
  <c r="L177" i="9"/>
  <c r="L224" i="9"/>
  <c r="K79" i="9"/>
  <c r="I79" i="9" s="1"/>
  <c r="L530" i="9"/>
  <c r="L524" i="9"/>
  <c r="L573" i="9" s="1"/>
  <c r="K443" i="9"/>
  <c r="I443" i="9" s="1"/>
  <c r="L376" i="9"/>
  <c r="AN443" i="9"/>
  <c r="K381" i="9"/>
  <c r="I381" i="9" s="1"/>
  <c r="AN180" i="9"/>
  <c r="L440" i="9"/>
  <c r="AN381" i="9"/>
  <c r="L554" i="9"/>
  <c r="L439" i="9"/>
  <c r="L495" i="9"/>
  <c r="L483" i="9"/>
  <c r="L61" i="9"/>
  <c r="L115" i="9"/>
  <c r="L447" i="9"/>
  <c r="K304" i="9"/>
  <c r="I304" i="9" s="1"/>
  <c r="L103" i="9"/>
  <c r="AN304" i="9"/>
  <c r="L452" i="9"/>
  <c r="L300" i="9"/>
  <c r="L566" i="9"/>
  <c r="AN337" i="9"/>
  <c r="K31" i="9"/>
  <c r="L334" i="9"/>
  <c r="AO278" i="9"/>
  <c r="K278" i="9"/>
  <c r="I278" i="9" s="1"/>
  <c r="L559" i="9"/>
  <c r="L351" i="9"/>
  <c r="AO79" i="9"/>
  <c r="AN79" i="9"/>
  <c r="L515" i="9"/>
  <c r="AN355" i="9"/>
  <c r="AO180" i="9"/>
  <c r="K180" i="9"/>
  <c r="I180" i="9" s="1"/>
  <c r="L352" i="9"/>
  <c r="L459" i="9"/>
  <c r="BZ35" i="1"/>
  <c r="AB91" i="1"/>
  <c r="CD35" i="1"/>
  <c r="CD26" i="1" s="1"/>
  <c r="AB79" i="1"/>
  <c r="AB98" i="1"/>
  <c r="AB69" i="1"/>
  <c r="AB33" i="1"/>
  <c r="AB88" i="1"/>
  <c r="AB83" i="1"/>
  <c r="CD102" i="1"/>
  <c r="AU102" i="1" s="1"/>
  <c r="AB30" i="1"/>
  <c r="CP71" i="1"/>
  <c r="O71" i="1" s="1"/>
  <c r="GM71" i="1" s="1"/>
  <c r="GN71" i="1" s="1"/>
  <c r="CP92" i="1"/>
  <c r="O92" i="1" s="1"/>
  <c r="GM92" i="1" s="1"/>
  <c r="GO92" i="1" s="1"/>
  <c r="CD67" i="1"/>
  <c r="GX95" i="1"/>
  <c r="S95" i="1"/>
  <c r="R95" i="1"/>
  <c r="CP97" i="1"/>
  <c r="O97" i="1" s="1"/>
  <c r="CP84" i="1"/>
  <c r="O84" i="1" s="1"/>
  <c r="GM84" i="1" s="1"/>
  <c r="GN84" i="1" s="1"/>
  <c r="DF88" i="3"/>
  <c r="DJ88" i="3" s="1"/>
  <c r="DG88" i="3"/>
  <c r="DH88" i="3"/>
  <c r="DI88" i="3"/>
  <c r="DF46" i="3"/>
  <c r="DJ46" i="3" s="1"/>
  <c r="DG46" i="3"/>
  <c r="DH46" i="3"/>
  <c r="DI46" i="3"/>
  <c r="AO162" i="1"/>
  <c r="F136" i="1"/>
  <c r="BB67" i="1"/>
  <c r="BB132" i="1"/>
  <c r="AB77" i="1"/>
  <c r="CU11" i="3"/>
  <c r="CX14" i="3"/>
  <c r="CW13" i="3"/>
  <c r="CX13" i="3"/>
  <c r="DF131" i="3"/>
  <c r="DG131" i="3"/>
  <c r="DH131" i="3"/>
  <c r="DI131" i="3"/>
  <c r="DF40" i="3"/>
  <c r="DJ40" i="3" s="1"/>
  <c r="DG40" i="3"/>
  <c r="DH40" i="3"/>
  <c r="DI40" i="3"/>
  <c r="CW12" i="3"/>
  <c r="AB100" i="1"/>
  <c r="GX69" i="1"/>
  <c r="DF71" i="3"/>
  <c r="DJ71" i="3" s="1"/>
  <c r="DG71" i="3"/>
  <c r="DH71" i="3"/>
  <c r="DI71" i="3"/>
  <c r="DF21" i="3"/>
  <c r="DJ21" i="3" s="1"/>
  <c r="DG21" i="3"/>
  <c r="DH21" i="3"/>
  <c r="DI21" i="3"/>
  <c r="AB96" i="1"/>
  <c r="W95" i="1"/>
  <c r="AB93" i="1"/>
  <c r="AB80" i="1"/>
  <c r="CU3" i="3"/>
  <c r="CV3" i="3"/>
  <c r="U29" i="1" s="1"/>
  <c r="CX3" i="3"/>
  <c r="AB28" i="1"/>
  <c r="DF93" i="3"/>
  <c r="DG93" i="3"/>
  <c r="DH93" i="3"/>
  <c r="DI93" i="3"/>
  <c r="V95" i="1"/>
  <c r="BC67" i="1"/>
  <c r="DF112" i="3"/>
  <c r="DJ112" i="3" s="1"/>
  <c r="DG112" i="3"/>
  <c r="DH112" i="3"/>
  <c r="DI112" i="3"/>
  <c r="DF74" i="3"/>
  <c r="DJ74" i="3" s="1"/>
  <c r="DG74" i="3"/>
  <c r="DH74" i="3"/>
  <c r="DI74" i="3"/>
  <c r="DF27" i="3"/>
  <c r="DJ27" i="3" s="1"/>
  <c r="DG27" i="3"/>
  <c r="DH27" i="3"/>
  <c r="DI27" i="3"/>
  <c r="GM89" i="1"/>
  <c r="GO89" i="1" s="1"/>
  <c r="AB82" i="1"/>
  <c r="V78" i="1"/>
  <c r="AO26" i="1"/>
  <c r="F39" i="1"/>
  <c r="Q97" i="1"/>
  <c r="CP80" i="1"/>
  <c r="O80" i="1" s="1"/>
  <c r="GM80" i="1" s="1"/>
  <c r="GN80" i="1" s="1"/>
  <c r="AB76" i="1"/>
  <c r="V73" i="1"/>
  <c r="DF59" i="3"/>
  <c r="DG59" i="3"/>
  <c r="DH59" i="3"/>
  <c r="DI59" i="3"/>
  <c r="AB74" i="1"/>
  <c r="CU121" i="3"/>
  <c r="CX123" i="3"/>
  <c r="CX122" i="3"/>
  <c r="W73" i="1"/>
  <c r="CP93" i="1"/>
  <c r="O93" i="1" s="1"/>
  <c r="GM93" i="1" s="1"/>
  <c r="GO93" i="1" s="1"/>
  <c r="AB99" i="1"/>
  <c r="BZ102" i="1"/>
  <c r="W69" i="1"/>
  <c r="DF133" i="3"/>
  <c r="DG133" i="3"/>
  <c r="DH133" i="3"/>
  <c r="DI133" i="3"/>
  <c r="AB94" i="1"/>
  <c r="AB81" i="1"/>
  <c r="GX97" i="1"/>
  <c r="AB97" i="1"/>
  <c r="P86" i="1"/>
  <c r="O86" i="1" s="1"/>
  <c r="GM86" i="1" s="1"/>
  <c r="GO86" i="1" s="1"/>
  <c r="DF36" i="3"/>
  <c r="DG36" i="3"/>
  <c r="DJ36" i="3" s="1"/>
  <c r="DH36" i="3"/>
  <c r="DI36" i="3"/>
  <c r="P73" i="1"/>
  <c r="GX87" i="1"/>
  <c r="GM87" i="1" s="1"/>
  <c r="GN87" i="1" s="1"/>
  <c r="T69" i="1"/>
  <c r="DF45" i="3"/>
  <c r="DJ45" i="3" s="1"/>
  <c r="DG45" i="3"/>
  <c r="DH45" i="3"/>
  <c r="DI45" i="3"/>
  <c r="DF62" i="3"/>
  <c r="DJ62" i="3" s="1"/>
  <c r="DG62" i="3"/>
  <c r="DH62" i="3"/>
  <c r="DI62" i="3"/>
  <c r="CY82" i="1"/>
  <c r="X82" i="1" s="1"/>
  <c r="CZ82" i="1"/>
  <c r="Y82" i="1" s="1"/>
  <c r="Q73" i="1"/>
  <c r="DI70" i="3"/>
  <c r="DF70" i="3"/>
  <c r="DJ70" i="3" s="1"/>
  <c r="DG70" i="3"/>
  <c r="DH70" i="3"/>
  <c r="AB87" i="1"/>
  <c r="AB85" i="1"/>
  <c r="GX78" i="1"/>
  <c r="AQ35" i="1"/>
  <c r="BZ26" i="1"/>
  <c r="DF128" i="3"/>
  <c r="DJ128" i="3" s="1"/>
  <c r="DG128" i="3"/>
  <c r="DH128" i="3"/>
  <c r="DI128" i="3"/>
  <c r="DF102" i="3"/>
  <c r="DJ102" i="3" s="1"/>
  <c r="DG102" i="3"/>
  <c r="DH102" i="3"/>
  <c r="DI102" i="3"/>
  <c r="BX67" i="1"/>
  <c r="CP82" i="1"/>
  <c r="O82" i="1" s="1"/>
  <c r="GM82" i="1" s="1"/>
  <c r="GN82" i="1" s="1"/>
  <c r="GX73" i="1"/>
  <c r="CI35" i="1"/>
  <c r="BY26" i="1"/>
  <c r="AP35" i="1"/>
  <c r="DF73" i="3"/>
  <c r="DJ73" i="3" s="1"/>
  <c r="DG73" i="3"/>
  <c r="DH73" i="3"/>
  <c r="DI73" i="3"/>
  <c r="CP90" i="1"/>
  <c r="O90" i="1" s="1"/>
  <c r="GM90" i="1" s="1"/>
  <c r="GO90" i="1" s="1"/>
  <c r="AB89" i="1"/>
  <c r="CG35" i="1"/>
  <c r="BX26" i="1"/>
  <c r="CX108" i="3"/>
  <c r="CW111" i="3"/>
  <c r="CX114" i="3"/>
  <c r="CX111" i="3"/>
  <c r="CU107" i="3"/>
  <c r="CV107" i="3"/>
  <c r="U94" i="1" s="1"/>
  <c r="CX107" i="3"/>
  <c r="CX113" i="3"/>
  <c r="CX105" i="3"/>
  <c r="CU103" i="3"/>
  <c r="CX103" i="3"/>
  <c r="CW106" i="3"/>
  <c r="CX106" i="3"/>
  <c r="S73" i="1"/>
  <c r="AB70" i="1"/>
  <c r="CW109" i="3"/>
  <c r="V94" i="1" s="1"/>
  <c r="DF5" i="3"/>
  <c r="DG5" i="3"/>
  <c r="DH5" i="3"/>
  <c r="DI5" i="3"/>
  <c r="DJ5" i="3" s="1"/>
  <c r="I95" i="1"/>
  <c r="Q95" i="1" s="1"/>
  <c r="AB72" i="1"/>
  <c r="DF1" i="3"/>
  <c r="DG1" i="3"/>
  <c r="DH1" i="3"/>
  <c r="DI1" i="3"/>
  <c r="DF119" i="3"/>
  <c r="DJ119" i="3" s="1"/>
  <c r="DG119" i="3"/>
  <c r="DH119" i="3"/>
  <c r="DI119" i="3"/>
  <c r="DF87" i="3"/>
  <c r="DJ87" i="3" s="1"/>
  <c r="DG87" i="3"/>
  <c r="DH87" i="3"/>
  <c r="DI87" i="3"/>
  <c r="DF8" i="3"/>
  <c r="DG8" i="3"/>
  <c r="DH8" i="3"/>
  <c r="DI8" i="3"/>
  <c r="T98" i="1"/>
  <c r="AB92" i="1"/>
  <c r="S78" i="1"/>
  <c r="DF34" i="3"/>
  <c r="DG34" i="3"/>
  <c r="DH34" i="3"/>
  <c r="DI34" i="3"/>
  <c r="U73" i="1"/>
  <c r="CU15" i="3"/>
  <c r="CX18" i="3"/>
  <c r="CX24" i="3"/>
  <c r="CX29" i="3"/>
  <c r="CX17" i="3"/>
  <c r="CW20" i="3"/>
  <c r="CX23" i="3"/>
  <c r="CX20" i="3"/>
  <c r="CW19" i="3"/>
  <c r="V72" i="1" s="1"/>
  <c r="CX25" i="3"/>
  <c r="CX19" i="3"/>
  <c r="AB32" i="1"/>
  <c r="W29" i="1"/>
  <c r="DF86" i="3"/>
  <c r="DJ86" i="3" s="1"/>
  <c r="DG86" i="3"/>
  <c r="DH86" i="3"/>
  <c r="DI86" i="3"/>
  <c r="CW105" i="3"/>
  <c r="BD132" i="1"/>
  <c r="T73" i="1"/>
  <c r="Q78" i="1"/>
  <c r="DF89" i="3"/>
  <c r="DJ89" i="3" s="1"/>
  <c r="DG89" i="3"/>
  <c r="DH89" i="3"/>
  <c r="DI89" i="3"/>
  <c r="DF78" i="3"/>
  <c r="DG78" i="3"/>
  <c r="DH78" i="3"/>
  <c r="DI78" i="3"/>
  <c r="DJ78" i="3" s="1"/>
  <c r="DF61" i="3"/>
  <c r="DJ61" i="3" s="1"/>
  <c r="DG61" i="3"/>
  <c r="DH61" i="3"/>
  <c r="DI61" i="3"/>
  <c r="DF44" i="3"/>
  <c r="DJ44" i="3" s="1"/>
  <c r="DG44" i="3"/>
  <c r="DH44" i="3"/>
  <c r="DI44" i="3"/>
  <c r="CX16" i="3"/>
  <c r="DG10" i="3"/>
  <c r="Q33" i="1" s="1"/>
  <c r="DH10" i="3"/>
  <c r="R33" i="1" s="1"/>
  <c r="DI10" i="3"/>
  <c r="DF10" i="3"/>
  <c r="P33" i="1" s="1"/>
  <c r="P78" i="1"/>
  <c r="CP78" i="1" s="1"/>
  <c r="O78" i="1" s="1"/>
  <c r="T29" i="1"/>
  <c r="DF132" i="3"/>
  <c r="DG132" i="3"/>
  <c r="DH132" i="3"/>
  <c r="DI132" i="3"/>
  <c r="DF94" i="3"/>
  <c r="DG94" i="3"/>
  <c r="DH94" i="3"/>
  <c r="DI94" i="3"/>
  <c r="DJ94" i="3" s="1"/>
  <c r="CX22" i="3"/>
  <c r="BC35" i="1"/>
  <c r="CL26" i="1"/>
  <c r="AT35" i="1"/>
  <c r="CC26" i="1"/>
  <c r="CW123" i="3"/>
  <c r="V98" i="1" s="1"/>
  <c r="DF99" i="3"/>
  <c r="P88" i="1" s="1"/>
  <c r="DG99" i="3"/>
  <c r="Q88" i="1" s="1"/>
  <c r="DH99" i="3"/>
  <c r="DI99" i="3"/>
  <c r="DI97" i="3"/>
  <c r="DF97" i="3"/>
  <c r="DJ97" i="3" s="1"/>
  <c r="DG97" i="3"/>
  <c r="DH97" i="3"/>
  <c r="DF72" i="3"/>
  <c r="DJ72" i="3" s="1"/>
  <c r="DG72" i="3"/>
  <c r="DH72" i="3"/>
  <c r="DI72" i="3"/>
  <c r="DF52" i="3"/>
  <c r="DJ52" i="3" s="1"/>
  <c r="DG52" i="3"/>
  <c r="DH52" i="3"/>
  <c r="DI52" i="3"/>
  <c r="DF50" i="3"/>
  <c r="DG50" i="3"/>
  <c r="DH50" i="3"/>
  <c r="DI50" i="3"/>
  <c r="AB73" i="1"/>
  <c r="AB71" i="1"/>
  <c r="CX104" i="3"/>
  <c r="I31" i="1"/>
  <c r="P31" i="1" s="1"/>
  <c r="CU4" i="3"/>
  <c r="CV4" i="3"/>
  <c r="U30" i="1" s="1"/>
  <c r="CX4" i="3"/>
  <c r="CX7" i="3"/>
  <c r="CW110" i="3"/>
  <c r="CX28" i="3"/>
  <c r="DI26" i="3"/>
  <c r="DF26" i="3"/>
  <c r="DJ26" i="3" s="1"/>
  <c r="DG26" i="3"/>
  <c r="DH26" i="3"/>
  <c r="T78" i="1"/>
  <c r="DI85" i="3"/>
  <c r="DF85" i="3"/>
  <c r="DJ85" i="3" s="1"/>
  <c r="DG85" i="3"/>
  <c r="DH85" i="3"/>
  <c r="DF49" i="3"/>
  <c r="DG49" i="3"/>
  <c r="DH49" i="3"/>
  <c r="DI49" i="3"/>
  <c r="CW6" i="3"/>
  <c r="V30" i="1" s="1"/>
  <c r="CX125" i="3"/>
  <c r="DI67" i="3"/>
  <c r="CX56" i="3"/>
  <c r="DI51" i="3"/>
  <c r="CX109" i="3"/>
  <c r="CX96" i="3"/>
  <c r="DI91" i="3"/>
  <c r="DI76" i="3"/>
  <c r="CX69" i="3"/>
  <c r="DH67" i="3"/>
  <c r="DJ67" i="3" s="1"/>
  <c r="DH51" i="3"/>
  <c r="CX31" i="3"/>
  <c r="CX9" i="3"/>
  <c r="CX6" i="3"/>
  <c r="DH91" i="3"/>
  <c r="DH76" i="3"/>
  <c r="DG91" i="3"/>
  <c r="DG76" i="3"/>
  <c r="CX41" i="3"/>
  <c r="CX38" i="3"/>
  <c r="CX60" i="3"/>
  <c r="DH98" i="3"/>
  <c r="R88" i="1" s="1"/>
  <c r="DI83" i="3"/>
  <c r="DI80" i="3"/>
  <c r="CX63" i="3"/>
  <c r="CW60" i="3"/>
  <c r="CX47" i="3"/>
  <c r="CX35" i="3"/>
  <c r="DH83" i="3"/>
  <c r="DH80" i="3"/>
  <c r="CX57" i="3"/>
  <c r="CX110" i="3"/>
  <c r="DG83" i="3"/>
  <c r="DG80" i="3"/>
  <c r="DJ80" i="3" s="1"/>
  <c r="CW57" i="3"/>
  <c r="V79" i="1" s="1"/>
  <c r="CX32" i="3"/>
  <c r="CV10" i="3"/>
  <c r="U33" i="1" s="1"/>
  <c r="DI92" i="3"/>
  <c r="CX79" i="3"/>
  <c r="DI65" i="3"/>
  <c r="DJ65" i="3" s="1"/>
  <c r="CX54" i="3"/>
  <c r="DH92" i="3"/>
  <c r="DH65" i="3"/>
  <c r="CV54" i="3"/>
  <c r="CX39" i="3"/>
  <c r="DG65" i="3"/>
  <c r="CX64" i="3"/>
  <c r="CU54" i="3"/>
  <c r="CX48" i="3"/>
  <c r="CX42" i="3"/>
  <c r="CW39" i="3"/>
  <c r="DI81" i="3"/>
  <c r="CX11" i="3"/>
  <c r="DI84" i="3"/>
  <c r="DH81" i="3"/>
  <c r="CX58" i="3"/>
  <c r="CW36" i="3"/>
  <c r="DH84" i="3"/>
  <c r="DG81" i="3"/>
  <c r="DJ81" i="3" s="1"/>
  <c r="CX55" i="3"/>
  <c r="CX33" i="3"/>
  <c r="DI90" i="3"/>
  <c r="DG84" i="3"/>
  <c r="DI75" i="3"/>
  <c r="DI66" i="3"/>
  <c r="CV55" i="3"/>
  <c r="DI53" i="3"/>
  <c r="CW33" i="3"/>
  <c r="CX30" i="3"/>
  <c r="CX95" i="3"/>
  <c r="DH90" i="3"/>
  <c r="CX77" i="3"/>
  <c r="DH75" i="3"/>
  <c r="CX68" i="3"/>
  <c r="DH66" i="3"/>
  <c r="CU55" i="3"/>
  <c r="DH53" i="3"/>
  <c r="CX15" i="3"/>
  <c r="I76" i="1"/>
  <c r="I75" i="1"/>
  <c r="U75" i="1" s="1"/>
  <c r="DG90" i="3"/>
  <c r="DG75" i="3"/>
  <c r="DG66" i="3"/>
  <c r="DG53" i="3"/>
  <c r="CU30" i="3"/>
  <c r="CX121" i="3"/>
  <c r="CX43" i="3"/>
  <c r="CX37" i="3"/>
  <c r="CX12" i="3"/>
  <c r="DI129" i="3"/>
  <c r="DI126" i="3"/>
  <c r="DJ126" i="3" s="1"/>
  <c r="CX118" i="3"/>
  <c r="DH116" i="3"/>
  <c r="DH100" i="3"/>
  <c r="DJ100" i="3" s="1"/>
  <c r="DI82" i="3"/>
  <c r="CX2" i="3"/>
  <c r="AN399" i="9" l="1"/>
  <c r="K399" i="9"/>
  <c r="I399" i="9" s="1"/>
  <c r="AO399" i="9"/>
  <c r="L501" i="9"/>
  <c r="L499" i="9" s="1"/>
  <c r="L206" i="9"/>
  <c r="L106" i="9"/>
  <c r="L104" i="9" s="1"/>
  <c r="L101" i="9" s="1"/>
  <c r="L125" i="9" s="1"/>
  <c r="L450" i="9"/>
  <c r="L448" i="9" s="1"/>
  <c r="L445" i="9" s="1"/>
  <c r="L469" i="9" s="1"/>
  <c r="L486" i="9"/>
  <c r="L484" i="9" s="1"/>
  <c r="L481" i="9" s="1"/>
  <c r="L479" i="9" s="1"/>
  <c r="L550" i="9" s="1"/>
  <c r="L557" i="9"/>
  <c r="L555" i="9" s="1"/>
  <c r="L552" i="9" s="1"/>
  <c r="AU35" i="1"/>
  <c r="R100" i="1"/>
  <c r="V76" i="1"/>
  <c r="S76" i="1"/>
  <c r="DJ49" i="3"/>
  <c r="DI17" i="3"/>
  <c r="DF17" i="3"/>
  <c r="DG17" i="3"/>
  <c r="DH17" i="3"/>
  <c r="CY73" i="1"/>
  <c r="X73" i="1" s="1"/>
  <c r="CZ73" i="1"/>
  <c r="Y73" i="1" s="1"/>
  <c r="R31" i="1"/>
  <c r="V31" i="1"/>
  <c r="AI35" i="1" s="1"/>
  <c r="DF2" i="3"/>
  <c r="P28" i="1" s="1"/>
  <c r="DG2" i="3"/>
  <c r="DH2" i="3"/>
  <c r="DI2" i="3"/>
  <c r="DF58" i="3"/>
  <c r="DG58" i="3"/>
  <c r="DH58" i="3"/>
  <c r="DI58" i="3"/>
  <c r="DH32" i="3"/>
  <c r="DI32" i="3"/>
  <c r="DF32" i="3"/>
  <c r="DG32" i="3"/>
  <c r="DJ32" i="3" s="1"/>
  <c r="DF29" i="3"/>
  <c r="DJ29" i="3" s="1"/>
  <c r="DG29" i="3"/>
  <c r="DH29" i="3"/>
  <c r="DI29" i="3"/>
  <c r="P75" i="1"/>
  <c r="DJ133" i="3"/>
  <c r="DF14" i="3"/>
  <c r="DJ14" i="3" s="1"/>
  <c r="DG14" i="3"/>
  <c r="DH14" i="3"/>
  <c r="DI14" i="3"/>
  <c r="DJ131" i="3"/>
  <c r="S100" i="1"/>
  <c r="DH23" i="3"/>
  <c r="DI23" i="3"/>
  <c r="DF23" i="3"/>
  <c r="DJ23" i="3" s="1"/>
  <c r="DG23" i="3"/>
  <c r="GX76" i="1"/>
  <c r="DF106" i="3"/>
  <c r="DG106" i="3"/>
  <c r="DH106" i="3"/>
  <c r="DI106" i="3"/>
  <c r="DF18" i="3"/>
  <c r="DG18" i="3"/>
  <c r="DH18" i="3"/>
  <c r="DI18" i="3"/>
  <c r="S75" i="1"/>
  <c r="BZ67" i="1"/>
  <c r="CI102" i="1"/>
  <c r="AQ102" i="1"/>
  <c r="DF77" i="3"/>
  <c r="P83" i="1" s="1"/>
  <c r="DG77" i="3"/>
  <c r="Q83" i="1" s="1"/>
  <c r="DH77" i="3"/>
  <c r="DI77" i="3"/>
  <c r="DF105" i="3"/>
  <c r="DG105" i="3"/>
  <c r="DJ105" i="3" s="1"/>
  <c r="DH105" i="3"/>
  <c r="DI105" i="3"/>
  <c r="Q31" i="1"/>
  <c r="CP31" i="1" s="1"/>
  <c r="O31" i="1" s="1"/>
  <c r="BC26" i="1"/>
  <c r="BC132" i="1"/>
  <c r="F51" i="1"/>
  <c r="V91" i="1"/>
  <c r="DH113" i="3"/>
  <c r="DI113" i="3"/>
  <c r="DF113" i="3"/>
  <c r="DJ113" i="3" s="1"/>
  <c r="DG113" i="3"/>
  <c r="Q85" i="1"/>
  <c r="CJ102" i="1"/>
  <c r="Q32" i="1"/>
  <c r="U31" i="1"/>
  <c r="AH35" i="1" s="1"/>
  <c r="AQ26" i="1"/>
  <c r="F45" i="1"/>
  <c r="T31" i="1"/>
  <c r="AG35" i="1" s="1"/>
  <c r="DF16" i="3"/>
  <c r="DG16" i="3"/>
  <c r="DH16" i="3"/>
  <c r="DI16" i="3"/>
  <c r="DJ16" i="3" s="1"/>
  <c r="DF12" i="3"/>
  <c r="DG12" i="3"/>
  <c r="DH12" i="3"/>
  <c r="DI12" i="3"/>
  <c r="DF30" i="3"/>
  <c r="DG30" i="3"/>
  <c r="DH30" i="3"/>
  <c r="R74" i="1" s="1"/>
  <c r="DI30" i="3"/>
  <c r="DF48" i="3"/>
  <c r="P77" i="1" s="1"/>
  <c r="DG48" i="3"/>
  <c r="Q77" i="1" s="1"/>
  <c r="DH48" i="3"/>
  <c r="R77" i="1" s="1"/>
  <c r="DI48" i="3"/>
  <c r="DF69" i="3"/>
  <c r="DG69" i="3"/>
  <c r="DH69" i="3"/>
  <c r="DI69" i="3"/>
  <c r="P76" i="1"/>
  <c r="DJ34" i="3"/>
  <c r="DI107" i="3"/>
  <c r="DF107" i="3"/>
  <c r="DG107" i="3"/>
  <c r="DH107" i="3"/>
  <c r="R75" i="1"/>
  <c r="W31" i="1"/>
  <c r="AJ35" i="1" s="1"/>
  <c r="P85" i="1"/>
  <c r="T76" i="1"/>
  <c r="DJ132" i="3"/>
  <c r="Q75" i="1"/>
  <c r="P100" i="1"/>
  <c r="DF104" i="3"/>
  <c r="DG104" i="3"/>
  <c r="DH104" i="3"/>
  <c r="DI104" i="3"/>
  <c r="DJ104" i="3" s="1"/>
  <c r="V75" i="1"/>
  <c r="AP26" i="1"/>
  <c r="AP132" i="1"/>
  <c r="F44" i="1"/>
  <c r="DJ50" i="3"/>
  <c r="GX31" i="1"/>
  <c r="CJ35" i="1" s="1"/>
  <c r="CP73" i="1"/>
  <c r="O73" i="1" s="1"/>
  <c r="DF35" i="3"/>
  <c r="DG35" i="3"/>
  <c r="DJ35" i="3" s="1"/>
  <c r="DH35" i="3"/>
  <c r="DI35" i="3"/>
  <c r="DF22" i="3"/>
  <c r="DJ22" i="3" s="1"/>
  <c r="DG22" i="3"/>
  <c r="DH22" i="3"/>
  <c r="DI22" i="3"/>
  <c r="AO18" i="1"/>
  <c r="F166" i="1"/>
  <c r="DF60" i="3"/>
  <c r="DG60" i="3"/>
  <c r="DH60" i="3"/>
  <c r="DI60" i="3"/>
  <c r="DJ10" i="3"/>
  <c r="S33" i="1"/>
  <c r="CP33" i="1" s="1"/>
  <c r="O33" i="1" s="1"/>
  <c r="CY78" i="1"/>
  <c r="X78" i="1" s="1"/>
  <c r="GM78" i="1" s="1"/>
  <c r="GN78" i="1" s="1"/>
  <c r="CZ78" i="1"/>
  <c r="Y78" i="1" s="1"/>
  <c r="S31" i="1"/>
  <c r="CG102" i="1"/>
  <c r="DF122" i="3"/>
  <c r="DG122" i="3"/>
  <c r="DH122" i="3"/>
  <c r="DI122" i="3"/>
  <c r="DJ122" i="3" s="1"/>
  <c r="DF3" i="3"/>
  <c r="P29" i="1" s="1"/>
  <c r="DG3" i="3"/>
  <c r="Q29" i="1" s="1"/>
  <c r="DH3" i="3"/>
  <c r="R29" i="1" s="1"/>
  <c r="DI3" i="3"/>
  <c r="V69" i="1"/>
  <c r="AI102" i="1" s="1"/>
  <c r="F121" i="1"/>
  <c r="AU67" i="1"/>
  <c r="DI54" i="3"/>
  <c r="DF54" i="3"/>
  <c r="DG54" i="3"/>
  <c r="DH54" i="3"/>
  <c r="DF24" i="3"/>
  <c r="DJ24" i="3" s="1"/>
  <c r="DG24" i="3"/>
  <c r="DH24" i="3"/>
  <c r="DI24" i="3"/>
  <c r="DF68" i="3"/>
  <c r="DG68" i="3"/>
  <c r="DJ68" i="3" s="1"/>
  <c r="DH68" i="3"/>
  <c r="DI68" i="3"/>
  <c r="DF11" i="3"/>
  <c r="P69" i="1" s="1"/>
  <c r="DG11" i="3"/>
  <c r="Q69" i="1" s="1"/>
  <c r="DH11" i="3"/>
  <c r="R69" i="1" s="1"/>
  <c r="DI11" i="3"/>
  <c r="DH110" i="3"/>
  <c r="DI110" i="3"/>
  <c r="DF110" i="3"/>
  <c r="DG110" i="3"/>
  <c r="DJ93" i="3"/>
  <c r="DG57" i="3"/>
  <c r="DJ57" i="3" s="1"/>
  <c r="DH57" i="3"/>
  <c r="DI57" i="3"/>
  <c r="DF57" i="3"/>
  <c r="BD22" i="1"/>
  <c r="BD162" i="1"/>
  <c r="F157" i="1"/>
  <c r="V74" i="1"/>
  <c r="DF121" i="3"/>
  <c r="DG121" i="3"/>
  <c r="DH121" i="3"/>
  <c r="R98" i="1" s="1"/>
  <c r="DI121" i="3"/>
  <c r="DF111" i="3"/>
  <c r="DG111" i="3"/>
  <c r="DH111" i="3"/>
  <c r="DI111" i="3"/>
  <c r="DF123" i="3"/>
  <c r="DG123" i="3"/>
  <c r="DJ123" i="3" s="1"/>
  <c r="DH123" i="3"/>
  <c r="DI123" i="3"/>
  <c r="AX35" i="1"/>
  <c r="CG26" i="1"/>
  <c r="T75" i="1"/>
  <c r="AG102" i="1" s="1"/>
  <c r="DF103" i="3"/>
  <c r="DG103" i="3"/>
  <c r="Q91" i="1" s="1"/>
  <c r="DH103" i="3"/>
  <c r="R91" i="1" s="1"/>
  <c r="DI103" i="3"/>
  <c r="U76" i="1"/>
  <c r="R85" i="1"/>
  <c r="DF47" i="3"/>
  <c r="DJ47" i="3" s="1"/>
  <c r="DG47" i="3"/>
  <c r="DH47" i="3"/>
  <c r="DI47" i="3"/>
  <c r="DF109" i="3"/>
  <c r="DG109" i="3"/>
  <c r="DH109" i="3"/>
  <c r="DI109" i="3"/>
  <c r="P95" i="1"/>
  <c r="CP95" i="1" s="1"/>
  <c r="O95" i="1" s="1"/>
  <c r="T95" i="1"/>
  <c r="DF114" i="3"/>
  <c r="DJ114" i="3" s="1"/>
  <c r="DG114" i="3"/>
  <c r="DH114" i="3"/>
  <c r="DI114" i="3"/>
  <c r="DF33" i="3"/>
  <c r="DG33" i="3"/>
  <c r="DJ33" i="3" s="1"/>
  <c r="DH33" i="3"/>
  <c r="DI33" i="3"/>
  <c r="Q100" i="1"/>
  <c r="DF55" i="3"/>
  <c r="DG55" i="3"/>
  <c r="DH55" i="3"/>
  <c r="DI55" i="3"/>
  <c r="DJ55" i="3" s="1"/>
  <c r="DF41" i="3"/>
  <c r="DJ41" i="3" s="1"/>
  <c r="DG41" i="3"/>
  <c r="DH41" i="3"/>
  <c r="DI41" i="3"/>
  <c r="DJ99" i="3"/>
  <c r="S88" i="1"/>
  <c r="DF13" i="3"/>
  <c r="DG13" i="3"/>
  <c r="DH13" i="3"/>
  <c r="DI13" i="3"/>
  <c r="DF6" i="3"/>
  <c r="DG6" i="3"/>
  <c r="DH6" i="3"/>
  <c r="DI6" i="3"/>
  <c r="W75" i="1"/>
  <c r="AJ102" i="1" s="1"/>
  <c r="DF118" i="3"/>
  <c r="P96" i="1" s="1"/>
  <c r="DG118" i="3"/>
  <c r="DH118" i="3"/>
  <c r="R96" i="1" s="1"/>
  <c r="DI118" i="3"/>
  <c r="S96" i="1" s="1"/>
  <c r="R28" i="1"/>
  <c r="AZ35" i="1"/>
  <c r="CI26" i="1"/>
  <c r="DF95" i="3"/>
  <c r="DG95" i="3"/>
  <c r="DJ95" i="3" s="1"/>
  <c r="DH95" i="3"/>
  <c r="DI95" i="3"/>
  <c r="S85" i="1" s="1"/>
  <c r="GX75" i="1"/>
  <c r="F54" i="1"/>
  <c r="AU26" i="1"/>
  <c r="AU132" i="1"/>
  <c r="U95" i="1"/>
  <c r="DI4" i="3"/>
  <c r="DF4" i="3"/>
  <c r="P30" i="1" s="1"/>
  <c r="DG4" i="3"/>
  <c r="DH4" i="3"/>
  <c r="DF25" i="3"/>
  <c r="DJ25" i="3" s="1"/>
  <c r="DG25" i="3"/>
  <c r="DH25" i="3"/>
  <c r="DI25" i="3"/>
  <c r="DF125" i="3"/>
  <c r="P99" i="1" s="1"/>
  <c r="DG125" i="3"/>
  <c r="Q99" i="1" s="1"/>
  <c r="DH125" i="3"/>
  <c r="R99" i="1" s="1"/>
  <c r="DI125" i="3"/>
  <c r="DF38" i="3"/>
  <c r="DG38" i="3"/>
  <c r="DJ38" i="3" s="1"/>
  <c r="DH38" i="3"/>
  <c r="DI38" i="3"/>
  <c r="DG20" i="3"/>
  <c r="DH20" i="3"/>
  <c r="DI20" i="3"/>
  <c r="DF20" i="3"/>
  <c r="DJ59" i="3"/>
  <c r="DI79" i="3"/>
  <c r="DF79" i="3"/>
  <c r="DG79" i="3"/>
  <c r="DH79" i="3"/>
  <c r="DF15" i="3"/>
  <c r="P72" i="1" s="1"/>
  <c r="DG15" i="3"/>
  <c r="Q72" i="1" s="1"/>
  <c r="DH15" i="3"/>
  <c r="R72" i="1" s="1"/>
  <c r="DI15" i="3"/>
  <c r="W76" i="1"/>
  <c r="Q76" i="1"/>
  <c r="R76" i="1"/>
  <c r="GM97" i="1"/>
  <c r="GN97" i="1" s="1"/>
  <c r="DF9" i="3"/>
  <c r="P32" i="1" s="1"/>
  <c r="DG9" i="3"/>
  <c r="DH9" i="3"/>
  <c r="DI9" i="3"/>
  <c r="CY95" i="1"/>
  <c r="X95" i="1" s="1"/>
  <c r="CZ95" i="1"/>
  <c r="Y95" i="1" s="1"/>
  <c r="DF31" i="3"/>
  <c r="DG31" i="3"/>
  <c r="DH31" i="3"/>
  <c r="DI31" i="3"/>
  <c r="DJ31" i="3" s="1"/>
  <c r="F53" i="1"/>
  <c r="AT26" i="1"/>
  <c r="S28" i="1"/>
  <c r="DJ1" i="3"/>
  <c r="BB22" i="1"/>
  <c r="BB162" i="1"/>
  <c r="F145" i="1"/>
  <c r="DF42" i="3"/>
  <c r="DJ42" i="3" s="1"/>
  <c r="DG42" i="3"/>
  <c r="DH42" i="3"/>
  <c r="DI42" i="3"/>
  <c r="DF37" i="3"/>
  <c r="DG37" i="3"/>
  <c r="DH37" i="3"/>
  <c r="DI37" i="3"/>
  <c r="DF43" i="3"/>
  <c r="DJ43" i="3" s="1"/>
  <c r="DG43" i="3"/>
  <c r="DH43" i="3"/>
  <c r="DI43" i="3"/>
  <c r="DF64" i="3"/>
  <c r="P81" i="1" s="1"/>
  <c r="DG64" i="3"/>
  <c r="Q81" i="1" s="1"/>
  <c r="DH64" i="3"/>
  <c r="R81" i="1" s="1"/>
  <c r="DI64" i="3"/>
  <c r="DF96" i="3"/>
  <c r="DG96" i="3"/>
  <c r="DH96" i="3"/>
  <c r="DI96" i="3"/>
  <c r="DF39" i="3"/>
  <c r="DG39" i="3"/>
  <c r="DJ39" i="3" s="1"/>
  <c r="DH39" i="3"/>
  <c r="DI39" i="3"/>
  <c r="DF63" i="3"/>
  <c r="DJ63" i="3" s="1"/>
  <c r="DG63" i="3"/>
  <c r="DH63" i="3"/>
  <c r="DI63" i="3"/>
  <c r="DF28" i="3"/>
  <c r="DJ28" i="3" s="1"/>
  <c r="DG28" i="3"/>
  <c r="DH28" i="3"/>
  <c r="DI28" i="3"/>
  <c r="U79" i="1"/>
  <c r="DJ8" i="3"/>
  <c r="S32" i="1"/>
  <c r="DJ66" i="3"/>
  <c r="DF56" i="3"/>
  <c r="DG56" i="3"/>
  <c r="DH56" i="3"/>
  <c r="DI56" i="3"/>
  <c r="DJ56" i="3" s="1"/>
  <c r="DI7" i="3"/>
  <c r="DF7" i="3"/>
  <c r="DJ7" i="3" s="1"/>
  <c r="DG7" i="3"/>
  <c r="DH7" i="3"/>
  <c r="DF19" i="3"/>
  <c r="DG19" i="3"/>
  <c r="DH19" i="3"/>
  <c r="DI19" i="3"/>
  <c r="R32" i="1"/>
  <c r="DF108" i="3"/>
  <c r="DG108" i="3"/>
  <c r="DH108" i="3"/>
  <c r="DI108" i="3"/>
  <c r="DJ108" i="3" s="1"/>
  <c r="CP32" i="1" l="1"/>
  <c r="O32" i="1" s="1"/>
  <c r="CP100" i="1"/>
  <c r="O100" i="1" s="1"/>
  <c r="AH102" i="1"/>
  <c r="AG26" i="1"/>
  <c r="T35" i="1"/>
  <c r="AG67" i="1"/>
  <c r="T102" i="1"/>
  <c r="U35" i="1"/>
  <c r="AH26" i="1"/>
  <c r="V35" i="1"/>
  <c r="AI26" i="1"/>
  <c r="CY85" i="1"/>
  <c r="X85" i="1" s="1"/>
  <c r="CZ85" i="1"/>
  <c r="Y85" i="1" s="1"/>
  <c r="AJ26" i="1"/>
  <c r="W35" i="1"/>
  <c r="AC35" i="1"/>
  <c r="GM31" i="1"/>
  <c r="GN31" i="1" s="1"/>
  <c r="AH67" i="1"/>
  <c r="U102" i="1"/>
  <c r="AJ67" i="1"/>
  <c r="W102" i="1"/>
  <c r="DJ64" i="3"/>
  <c r="S81" i="1"/>
  <c r="CP81" i="1" s="1"/>
  <c r="O81" i="1" s="1"/>
  <c r="DJ111" i="3"/>
  <c r="DJ118" i="3"/>
  <c r="Q96" i="1"/>
  <c r="CP96" i="1" s="1"/>
  <c r="O96" i="1" s="1"/>
  <c r="R30" i="1"/>
  <c r="Q98" i="1"/>
  <c r="CP85" i="1"/>
  <c r="O85" i="1" s="1"/>
  <c r="Q74" i="1"/>
  <c r="CZ75" i="1"/>
  <c r="Y75" i="1" s="1"/>
  <c r="CY75" i="1"/>
  <c r="X75" i="1" s="1"/>
  <c r="Q30" i="1"/>
  <c r="DJ103" i="3"/>
  <c r="S91" i="1"/>
  <c r="P98" i="1"/>
  <c r="P74" i="1"/>
  <c r="CP75" i="1"/>
  <c r="O75" i="1" s="1"/>
  <c r="GM75" i="1" s="1"/>
  <c r="GN75" i="1" s="1"/>
  <c r="CP99" i="1"/>
  <c r="O99" i="1" s="1"/>
  <c r="CY32" i="1"/>
  <c r="X32" i="1" s="1"/>
  <c r="CZ32" i="1"/>
  <c r="Y32" i="1" s="1"/>
  <c r="DJ11" i="3"/>
  <c r="S69" i="1"/>
  <c r="AZ102" i="1"/>
  <c r="CI67" i="1"/>
  <c r="AX102" i="1"/>
  <c r="CG67" i="1"/>
  <c r="DJ37" i="3"/>
  <c r="DJ9" i="3"/>
  <c r="DJ13" i="3"/>
  <c r="DJ106" i="3"/>
  <c r="DJ121" i="3"/>
  <c r="S98" i="1"/>
  <c r="DJ4" i="3"/>
  <c r="S30" i="1"/>
  <c r="AU22" i="1"/>
  <c r="F151" i="1"/>
  <c r="AU162" i="1"/>
  <c r="CY31" i="1"/>
  <c r="X31" i="1" s="1"/>
  <c r="CZ31" i="1"/>
  <c r="Y31" i="1" s="1"/>
  <c r="BC22" i="1"/>
  <c r="BC162" i="1"/>
  <c r="F148" i="1"/>
  <c r="AX26" i="1"/>
  <c r="AX132" i="1"/>
  <c r="F42" i="1"/>
  <c r="CZ33" i="1"/>
  <c r="Y33" i="1" s="1"/>
  <c r="CY33" i="1"/>
  <c r="X33" i="1" s="1"/>
  <c r="AP22" i="1"/>
  <c r="F141" i="1"/>
  <c r="G16" i="2" s="1"/>
  <c r="AP162" i="1"/>
  <c r="AE35" i="1"/>
  <c r="DJ2" i="3"/>
  <c r="P91" i="1"/>
  <c r="CY88" i="1"/>
  <c r="X88" i="1" s="1"/>
  <c r="CZ88" i="1"/>
  <c r="Y88" i="1" s="1"/>
  <c r="GM95" i="1"/>
  <c r="GN95" i="1" s="1"/>
  <c r="R79" i="1"/>
  <c r="CP76" i="1"/>
  <c r="O76" i="1" s="1"/>
  <c r="CY76" i="1"/>
  <c r="X76" i="1" s="1"/>
  <c r="CZ76" i="1"/>
  <c r="Y76" i="1" s="1"/>
  <c r="CY28" i="1"/>
  <c r="X28" i="1" s="1"/>
  <c r="CZ28" i="1"/>
  <c r="Y28" i="1" s="1"/>
  <c r="DJ6" i="3"/>
  <c r="Q94" i="1"/>
  <c r="BA35" i="1"/>
  <c r="CJ26" i="1"/>
  <c r="DJ20" i="3"/>
  <c r="Q79" i="1"/>
  <c r="AD102" i="1" s="1"/>
  <c r="CP69" i="1"/>
  <c r="O69" i="1" s="1"/>
  <c r="R94" i="1"/>
  <c r="CP88" i="1"/>
  <c r="O88" i="1" s="1"/>
  <c r="P79" i="1"/>
  <c r="V102" i="1"/>
  <c r="AI67" i="1"/>
  <c r="DJ79" i="3"/>
  <c r="Q28" i="1"/>
  <c r="CP28" i="1" s="1"/>
  <c r="O28" i="1" s="1"/>
  <c r="DJ12" i="3"/>
  <c r="DJ107" i="3"/>
  <c r="S94" i="1"/>
  <c r="DJ110" i="3"/>
  <c r="DJ54" i="3"/>
  <c r="S79" i="1"/>
  <c r="DJ60" i="3"/>
  <c r="DJ69" i="3"/>
  <c r="DJ3" i="3"/>
  <c r="S29" i="1"/>
  <c r="CP29" i="1" s="1"/>
  <c r="O29" i="1" s="1"/>
  <c r="AQ67" i="1"/>
  <c r="F112" i="1"/>
  <c r="DJ30" i="3"/>
  <c r="S74" i="1"/>
  <c r="DJ18" i="3"/>
  <c r="GM73" i="1"/>
  <c r="GN73" i="1" s="1"/>
  <c r="DJ19" i="3"/>
  <c r="AQ132" i="1"/>
  <c r="DJ77" i="3"/>
  <c r="S83" i="1"/>
  <c r="DJ58" i="3"/>
  <c r="CY96" i="1"/>
  <c r="X96" i="1" s="1"/>
  <c r="CZ96" i="1"/>
  <c r="Y96" i="1" s="1"/>
  <c r="BA102" i="1"/>
  <c r="CJ67" i="1"/>
  <c r="BD18" i="1"/>
  <c r="F187" i="1"/>
  <c r="DJ17" i="3"/>
  <c r="P94" i="1"/>
  <c r="BB18" i="1"/>
  <c r="F175" i="1"/>
  <c r="S99" i="1"/>
  <c r="DJ125" i="3"/>
  <c r="DJ96" i="3"/>
  <c r="DJ109" i="3"/>
  <c r="S72" i="1"/>
  <c r="DJ15" i="3"/>
  <c r="AZ26" i="1"/>
  <c r="AZ132" i="1"/>
  <c r="F46" i="1"/>
  <c r="S77" i="1"/>
  <c r="CP77" i="1" s="1"/>
  <c r="O77" i="1" s="1"/>
  <c r="DJ48" i="3"/>
  <c r="R83" i="1"/>
  <c r="CZ100" i="1"/>
  <c r="Y100" i="1" s="1"/>
  <c r="CY100" i="1"/>
  <c r="X100" i="1" s="1"/>
  <c r="GM33" i="1" l="1"/>
  <c r="GN33" i="1" s="1"/>
  <c r="GM96" i="1"/>
  <c r="GN96" i="1" s="1"/>
  <c r="CP91" i="1"/>
  <c r="O91" i="1" s="1"/>
  <c r="AE102" i="1"/>
  <c r="R102" i="1" s="1"/>
  <c r="CP30" i="1"/>
  <c r="O30" i="1" s="1"/>
  <c r="CP79" i="1"/>
  <c r="O79" i="1" s="1"/>
  <c r="GM100" i="1"/>
  <c r="GN100" i="1" s="1"/>
  <c r="CP94" i="1"/>
  <c r="O94" i="1" s="1"/>
  <c r="GM32" i="1"/>
  <c r="GN32" i="1" s="1"/>
  <c r="AE67" i="1"/>
  <c r="Q102" i="1"/>
  <c r="AD67" i="1"/>
  <c r="CY74" i="1"/>
  <c r="X74" i="1" s="1"/>
  <c r="CZ74" i="1"/>
  <c r="Y74" i="1" s="1"/>
  <c r="AB35" i="1"/>
  <c r="GM28" i="1"/>
  <c r="CY94" i="1"/>
  <c r="X94" i="1" s="1"/>
  <c r="CZ94" i="1"/>
  <c r="Y94" i="1" s="1"/>
  <c r="AF35" i="1"/>
  <c r="F109" i="1"/>
  <c r="AX67" i="1"/>
  <c r="GM88" i="1"/>
  <c r="GO88" i="1" s="1"/>
  <c r="CP98" i="1"/>
  <c r="O98" i="1" s="1"/>
  <c r="AP18" i="1"/>
  <c r="F171" i="1"/>
  <c r="W26" i="1"/>
  <c r="F59" i="1"/>
  <c r="W132" i="1"/>
  <c r="V26" i="1"/>
  <c r="V132" i="1"/>
  <c r="F58" i="1"/>
  <c r="AE26" i="1"/>
  <c r="R35" i="1"/>
  <c r="BA67" i="1"/>
  <c r="F122" i="1"/>
  <c r="GM85" i="1"/>
  <c r="GO85" i="1" s="1"/>
  <c r="AK35" i="1"/>
  <c r="BC18" i="1"/>
  <c r="F178" i="1"/>
  <c r="CZ98" i="1"/>
  <c r="Y98" i="1" s="1"/>
  <c r="CY98" i="1"/>
  <c r="X98" i="1" s="1"/>
  <c r="CY79" i="1"/>
  <c r="X79" i="1" s="1"/>
  <c r="CZ79" i="1"/>
  <c r="Y79" i="1" s="1"/>
  <c r="AX22" i="1"/>
  <c r="F139" i="1"/>
  <c r="AX162" i="1"/>
  <c r="CY72" i="1"/>
  <c r="X72" i="1" s="1"/>
  <c r="CZ72" i="1"/>
  <c r="Y72" i="1" s="1"/>
  <c r="AZ67" i="1"/>
  <c r="F113" i="1"/>
  <c r="U26" i="1"/>
  <c r="F57" i="1"/>
  <c r="U132" i="1"/>
  <c r="U67" i="1"/>
  <c r="F124" i="1"/>
  <c r="CY91" i="1"/>
  <c r="X91" i="1" s="1"/>
  <c r="CZ91" i="1"/>
  <c r="Y91" i="1" s="1"/>
  <c r="BA26" i="1"/>
  <c r="BA132" i="1"/>
  <c r="F55" i="1"/>
  <c r="CP72" i="1"/>
  <c r="O72" i="1" s="1"/>
  <c r="T67" i="1"/>
  <c r="F123" i="1"/>
  <c r="CY29" i="1"/>
  <c r="X29" i="1" s="1"/>
  <c r="CZ29" i="1"/>
  <c r="Y29" i="1" s="1"/>
  <c r="CY83" i="1"/>
  <c r="X83" i="1" s="1"/>
  <c r="CZ83" i="1"/>
  <c r="Y83" i="1" s="1"/>
  <c r="CY69" i="1"/>
  <c r="X69" i="1" s="1"/>
  <c r="CZ69" i="1"/>
  <c r="Y69" i="1" s="1"/>
  <c r="AF102" i="1"/>
  <c r="GM99" i="1"/>
  <c r="GN99" i="1" s="1"/>
  <c r="AZ22" i="1"/>
  <c r="AZ162" i="1"/>
  <c r="F143" i="1"/>
  <c r="AU18" i="1"/>
  <c r="F181" i="1"/>
  <c r="CY81" i="1"/>
  <c r="X81" i="1" s="1"/>
  <c r="CZ81" i="1"/>
  <c r="Y81" i="1" s="1"/>
  <c r="T26" i="1"/>
  <c r="F56" i="1"/>
  <c r="T132" i="1"/>
  <c r="W67" i="1"/>
  <c r="F126" i="1"/>
  <c r="CY30" i="1"/>
  <c r="X30" i="1" s="1"/>
  <c r="CZ30" i="1"/>
  <c r="Y30" i="1" s="1"/>
  <c r="AL35" i="1" s="1"/>
  <c r="CP74" i="1"/>
  <c r="O74" i="1" s="1"/>
  <c r="AC102" i="1"/>
  <c r="CF35" i="1"/>
  <c r="P35" i="1"/>
  <c r="AC26" i="1"/>
  <c r="CE35" i="1"/>
  <c r="CH35" i="1"/>
  <c r="CY77" i="1"/>
  <c r="X77" i="1" s="1"/>
  <c r="CZ77" i="1"/>
  <c r="Y77" i="1" s="1"/>
  <c r="AD35" i="1"/>
  <c r="AQ22" i="1"/>
  <c r="AQ162" i="1"/>
  <c r="F142" i="1"/>
  <c r="CP83" i="1"/>
  <c r="O83" i="1" s="1"/>
  <c r="GM76" i="1"/>
  <c r="GN76" i="1" s="1"/>
  <c r="CZ99" i="1"/>
  <c r="Y99" i="1" s="1"/>
  <c r="CY99" i="1"/>
  <c r="X99" i="1" s="1"/>
  <c r="V67" i="1"/>
  <c r="F125" i="1"/>
  <c r="GM77" i="1" l="1"/>
  <c r="GN77" i="1" s="1"/>
  <c r="GM94" i="1"/>
  <c r="GN94" i="1" s="1"/>
  <c r="GM79" i="1"/>
  <c r="GN79" i="1" s="1"/>
  <c r="GM69" i="1"/>
  <c r="GM81" i="1"/>
  <c r="GN81" i="1" s="1"/>
  <c r="GM91" i="1"/>
  <c r="GN91" i="1" s="1"/>
  <c r="GM74" i="1"/>
  <c r="GN74" i="1" s="1"/>
  <c r="GM30" i="1"/>
  <c r="GN30" i="1" s="1"/>
  <c r="GM29" i="1"/>
  <c r="GN29" i="1" s="1"/>
  <c r="GM72" i="1"/>
  <c r="GN72" i="1" s="1"/>
  <c r="Y35" i="1"/>
  <c r="AL26" i="1"/>
  <c r="CC102" i="1"/>
  <c r="S35" i="1"/>
  <c r="AF26" i="1"/>
  <c r="CH26" i="1"/>
  <c r="AY35" i="1"/>
  <c r="AZ18" i="1"/>
  <c r="F173" i="1"/>
  <c r="AV35" i="1"/>
  <c r="CE26" i="1"/>
  <c r="GN28" i="1"/>
  <c r="AK102" i="1"/>
  <c r="AB102" i="1"/>
  <c r="X35" i="1"/>
  <c r="AK26" i="1"/>
  <c r="F49" i="1"/>
  <c r="R26" i="1"/>
  <c r="R132" i="1"/>
  <c r="AD26" i="1"/>
  <c r="Q35" i="1"/>
  <c r="CF102" i="1"/>
  <c r="CH102" i="1"/>
  <c r="P102" i="1"/>
  <c r="P132" i="1" s="1"/>
  <c r="CE102" i="1"/>
  <c r="AC67" i="1"/>
  <c r="W22" i="1"/>
  <c r="W162" i="1"/>
  <c r="F156" i="1"/>
  <c r="AL102" i="1"/>
  <c r="AX18" i="1"/>
  <c r="F169" i="1"/>
  <c r="Q67" i="1"/>
  <c r="F114" i="1"/>
  <c r="U22" i="1"/>
  <c r="U162" i="1"/>
  <c r="F154" i="1"/>
  <c r="P26" i="1"/>
  <c r="F38" i="1"/>
  <c r="AW35" i="1"/>
  <c r="CF26" i="1"/>
  <c r="GN69" i="1"/>
  <c r="AB26" i="1"/>
  <c r="O35" i="1"/>
  <c r="S102" i="1"/>
  <c r="AF67" i="1"/>
  <c r="V22" i="1"/>
  <c r="F155" i="1"/>
  <c r="V162" i="1"/>
  <c r="T22" i="1"/>
  <c r="T162" i="1"/>
  <c r="F153" i="1"/>
  <c r="R67" i="1"/>
  <c r="F116" i="1"/>
  <c r="AQ18" i="1"/>
  <c r="F172" i="1"/>
  <c r="BA22" i="1"/>
  <c r="F152" i="1"/>
  <c r="H16" i="2" s="1"/>
  <c r="BA162" i="1"/>
  <c r="GM83" i="1"/>
  <c r="GN83" i="1" s="1"/>
  <c r="GM98" i="1"/>
  <c r="GN98" i="1" s="1"/>
  <c r="CA102" i="1" l="1"/>
  <c r="CA35" i="1"/>
  <c r="CB35" i="1"/>
  <c r="AB67" i="1"/>
  <c r="O102" i="1"/>
  <c r="AL67" i="1"/>
  <c r="Y102" i="1"/>
  <c r="Y132" i="1" s="1"/>
  <c r="O26" i="1"/>
  <c r="F37" i="1"/>
  <c r="O132" i="1"/>
  <c r="AY26" i="1"/>
  <c r="F43" i="1"/>
  <c r="R22" i="1"/>
  <c r="R162" i="1"/>
  <c r="F146" i="1"/>
  <c r="CA26" i="1"/>
  <c r="AR35" i="1"/>
  <c r="F117" i="1"/>
  <c r="S67" i="1"/>
  <c r="CE67" i="1"/>
  <c r="AV102" i="1"/>
  <c r="X26" i="1"/>
  <c r="F61" i="1"/>
  <c r="CA67" i="1"/>
  <c r="AR102" i="1"/>
  <c r="P67" i="1"/>
  <c r="F105" i="1"/>
  <c r="AK67" i="1"/>
  <c r="X102" i="1"/>
  <c r="V18" i="1"/>
  <c r="F185" i="1"/>
  <c r="AY102" i="1"/>
  <c r="CH67" i="1"/>
  <c r="F50" i="1"/>
  <c r="S26" i="1"/>
  <c r="S132" i="1"/>
  <c r="U18" i="1"/>
  <c r="F184" i="1"/>
  <c r="CC67" i="1"/>
  <c r="AT102" i="1"/>
  <c r="T18" i="1"/>
  <c r="F183" i="1"/>
  <c r="Q26" i="1"/>
  <c r="Q132" i="1"/>
  <c r="F47" i="1"/>
  <c r="P22" i="1"/>
  <c r="P162" i="1"/>
  <c r="F135" i="1"/>
  <c r="AS35" i="1"/>
  <c r="CB26" i="1"/>
  <c r="AV26" i="1"/>
  <c r="F40" i="1"/>
  <c r="W18" i="1"/>
  <c r="F186" i="1"/>
  <c r="CB102" i="1"/>
  <c r="AW102" i="1"/>
  <c r="CF67" i="1"/>
  <c r="BA18" i="1"/>
  <c r="F182" i="1"/>
  <c r="AW26" i="1"/>
  <c r="F41" i="1"/>
  <c r="Y26" i="1"/>
  <c r="F62" i="1"/>
  <c r="AV67" i="1" l="1"/>
  <c r="F107" i="1"/>
  <c r="X67" i="1"/>
  <c r="F128" i="1"/>
  <c r="AV132" i="1"/>
  <c r="O22" i="1"/>
  <c r="F134" i="1"/>
  <c r="O162" i="1"/>
  <c r="F120" i="1"/>
  <c r="AT67" i="1"/>
  <c r="AT132" i="1"/>
  <c r="AW67" i="1"/>
  <c r="F108" i="1"/>
  <c r="F129" i="1"/>
  <c r="Y67" i="1"/>
  <c r="CB67" i="1"/>
  <c r="AS102" i="1"/>
  <c r="F110" i="1"/>
  <c r="AY67" i="1"/>
  <c r="AR26" i="1"/>
  <c r="F63" i="1"/>
  <c r="AR132" i="1"/>
  <c r="F52" i="1"/>
  <c r="AS26" i="1"/>
  <c r="P18" i="1"/>
  <c r="F165" i="1"/>
  <c r="F104" i="1"/>
  <c r="O67" i="1"/>
  <c r="S22" i="1"/>
  <c r="F147" i="1"/>
  <c r="J16" i="2" s="1"/>
  <c r="S162" i="1"/>
  <c r="R18" i="1"/>
  <c r="F176" i="1"/>
  <c r="AY132" i="1"/>
  <c r="Y22" i="1"/>
  <c r="F159" i="1"/>
  <c r="Y162" i="1"/>
  <c r="AR67" i="1"/>
  <c r="F130" i="1"/>
  <c r="Q22" i="1"/>
  <c r="Q162" i="1"/>
  <c r="F144" i="1"/>
  <c r="AW132" i="1"/>
  <c r="X132" i="1"/>
  <c r="O18" i="1" l="1"/>
  <c r="F164" i="1"/>
  <c r="F191" i="1" s="1"/>
  <c r="F119" i="1"/>
  <c r="AS67" i="1"/>
  <c r="Y18" i="1"/>
  <c r="F189" i="1"/>
  <c r="F193" i="1" s="1"/>
  <c r="AT22" i="1"/>
  <c r="F150" i="1"/>
  <c r="F16" i="2" s="1"/>
  <c r="AT162" i="1"/>
  <c r="S18" i="1"/>
  <c r="F177" i="1"/>
  <c r="X22" i="1"/>
  <c r="X162" i="1"/>
  <c r="F158" i="1"/>
  <c r="AS132" i="1"/>
  <c r="AV22" i="1"/>
  <c r="AV162" i="1"/>
  <c r="F137" i="1"/>
  <c r="AW22" i="1"/>
  <c r="F138" i="1"/>
  <c r="AW162" i="1"/>
  <c r="AR22" i="1"/>
  <c r="F160" i="1"/>
  <c r="AR162" i="1"/>
  <c r="AY22" i="1"/>
  <c r="AY162" i="1"/>
  <c r="F140" i="1"/>
  <c r="Q18" i="1"/>
  <c r="F174" i="1"/>
  <c r="AS22" i="1" l="1"/>
  <c r="F149" i="1"/>
  <c r="E16" i="2" s="1"/>
  <c r="I16" i="2" s="1"/>
  <c r="N16" i="2" s="1"/>
  <c r="AS162" i="1"/>
  <c r="X18" i="1"/>
  <c r="F188" i="1"/>
  <c r="F192" i="1" s="1"/>
  <c r="AT18" i="1"/>
  <c r="F180" i="1"/>
  <c r="AY18" i="1"/>
  <c r="F170" i="1"/>
  <c r="AR18" i="1"/>
  <c r="F190" i="1"/>
  <c r="AV18" i="1"/>
  <c r="F167" i="1"/>
  <c r="F194" i="1"/>
  <c r="AW18" i="1"/>
  <c r="F168" i="1"/>
  <c r="F195" i="1" l="1"/>
  <c r="F196" i="1" s="1"/>
  <c r="AS18" i="1"/>
  <c r="F179" i="1"/>
  <c r="F197" i="1" l="1"/>
  <c r="F198" i="1" s="1"/>
</calcChain>
</file>

<file path=xl/sharedStrings.xml><?xml version="1.0" encoding="utf-8"?>
<sst xmlns="http://schemas.openxmlformats.org/spreadsheetml/2006/main" count="5891" uniqueCount="734">
  <si>
    <t>Smeta.RU  (495) 974-1589</t>
  </si>
  <si>
    <t>_PS_</t>
  </si>
  <si>
    <t>Smeta.RU</t>
  </si>
  <si>
    <t/>
  </si>
  <si>
    <t>Новый объект_(Копия)_(Копия)_(Копия)_(Копия)_(Копия)_(Копия)</t>
  </si>
  <si>
    <t>Газопровод низкого давления к жилому дому,расположенному по адресу: Пензенская область,Лопатинский район,Старовершаутский сельсовет</t>
  </si>
  <si>
    <t>Сметные нормы списания</t>
  </si>
  <si>
    <t>Коды ценников</t>
  </si>
  <si>
    <t>ФСНБ-2022_И19</t>
  </si>
  <si>
    <t>Версия 1.19.0 для ФСНБ-2022 И19</t>
  </si>
  <si>
    <t>ФСНБ-2022 - Изменения И19</t>
  </si>
  <si>
    <t>Поправки для ФСНБ-2022 от 21.08.2026 г И19 (55/пр) Строительство</t>
  </si>
  <si>
    <t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t>
  </si>
  <si>
    <t>ГСН</t>
  </si>
  <si>
    <t>Новая локальная смета</t>
  </si>
  <si>
    <t>Газопровод  низкого давленияя</t>
  </si>
  <si>
    <t>Новый раздел</t>
  </si>
  <si>
    <t>Земляные работы</t>
  </si>
  <si>
    <t>1</t>
  </si>
  <si>
    <t>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</si>
  <si>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</si>
  <si>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</si>
  <si>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ГЭСН-2022, 01-01-009-14, приказ Минстроя России от 18.05.2022 г. № 378/пр</t>
  </si>
  <si>
    <t>Общестроительные работы</t>
  </si>
  <si>
    <t>Земляные работы, выполняемые: механизированным способом</t>
  </si>
  <si>
    <t>ФЕР-01</t>
  </si>
  <si>
    <t>Пр/812-001.1-1</t>
  </si>
  <si>
    <t>Пр/774-001.1</t>
  </si>
  <si>
    <t>2</t>
  </si>
  <si>
    <t>01-02-057-02</t>
  </si>
  <si>
    <t>Добор  грунта вручную в траншеях глубиной до 2 м без креплений с откосами, группа грунтов: 2</t>
  </si>
  <si>
    <t>100 м3</t>
  </si>
  <si>
    <t>ГЭСН-2022, 01-02-057-02, приказ Минстроя России от 18.05.2022 г. № 378/пр</t>
  </si>
  <si>
    <t>Земляные работы, выполняемые: ручным способом</t>
  </si>
  <si>
    <t>Пр/812-001.2-1</t>
  </si>
  <si>
    <t>Пр/774-001.2</t>
  </si>
  <si>
    <t>3</t>
  </si>
  <si>
    <t>23-01-001-01</t>
  </si>
  <si>
    <t>Устройство основания под трубопроводы: песчаного</t>
  </si>
  <si>
    <t>10 м3</t>
  </si>
  <si>
    <t>ГЭСН-2022 доп.18, 23-01-001-01, приказ Минстроя России от 15.05.2026 г. № 301/пр</t>
  </si>
  <si>
    <t>Наружные сети водопровода, канализации, теплоснабжения, газопроводы</t>
  </si>
  <si>
    <t>ФЕР-23</t>
  </si>
  <si>
    <t>Пр/812-018.0-1</t>
  </si>
  <si>
    <t>Пр/774-018.0</t>
  </si>
  <si>
    <t>3,1</t>
  </si>
  <si>
    <t>02.3.01.02-1104</t>
  </si>
  <si>
    <t>Песок природный для строительных работ I класс, средний</t>
  </si>
  <si>
    <t>м3</t>
  </si>
  <si>
    <t>ФСБЦ-2022, 02.3.01.02-1104, приказ Минстроя России от 18.05.2022 г. № 378/пр</t>
  </si>
  <si>
    <t>4</t>
  </si>
  <si>
    <t>01-01-033-02</t>
  </si>
  <si>
    <t>Засыпка траншей и котлованов с перемещением грунта до 5 м бульдозерами мощностью: 59 кВт (80 л.с.), группа грунтов 2</t>
  </si>
  <si>
    <t>ГЭСН-2022, 01-01-033-02, приказ Минстроя России от 18.05.2022 г. № 378/пр</t>
  </si>
  <si>
    <t>5</t>
  </si>
  <si>
    <t>01-02-061-02</t>
  </si>
  <si>
    <t>Засыпка вручную траншей, пазух котлованов и ям, группа грунтов: 2</t>
  </si>
  <si>
    <t>ГЭСН-2022, 01-02-061-02, приказ Минстроя России от 18.05.2022 г. № 378/пр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</si>
  <si>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</si>
  <si>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</si>
  <si>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</si>
  <si>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</si>
  <si>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</si>
  <si>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</si>
  <si>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</si>
  <si>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</si>
  <si>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</si>
  <si>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</si>
  <si>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</si>
  <si>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</si>
  <si>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</si>
  <si>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</si>
  <si>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</si>
  <si>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</si>
  <si>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</si>
  <si>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</si>
  <si>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</si>
  <si>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</si>
  <si>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</si>
  <si>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</si>
  <si>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</si>
  <si>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</si>
  <si>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</si>
  <si>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</si>
  <si>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</si>
  <si>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</si>
  <si>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</si>
  <si>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</si>
  <si>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</si>
  <si>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</si>
  <si>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</si>
  <si>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</si>
  <si>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</si>
  <si>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</si>
  <si>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</si>
  <si>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</si>
  <si>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</si>
  <si>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</si>
  <si>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</si>
  <si>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</si>
  <si>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</si>
  <si>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</si>
  <si>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</si>
  <si>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</si>
  <si>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</si>
  <si>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</si>
  <si>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</si>
  <si>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</si>
  <si>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</si>
  <si>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</si>
  <si>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</si>
  <si>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</si>
  <si>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Укладка трубы</t>
  </si>
  <si>
    <t>6</t>
  </si>
  <si>
    <t>24-02-031-01</t>
  </si>
  <si>
    <t>Укладка полиэтиленовых труб газопроводов в траншею со стационарно установленного барабана, диаметр труб: до 63 мм</t>
  </si>
  <si>
    <t>100 м</t>
  </si>
  <si>
    <t>ГЭСН-2022, 24-02-031-01, приказ Минстроя России от 18.05.2022 г. № 378/пр</t>
  </si>
  <si>
    <t>ФЕР-24</t>
  </si>
  <si>
    <t>7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</si>
  <si>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</si>
  <si>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</si>
  <si>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м</t>
  </si>
  <si>
    <t>ФСБЦ-2022, 24.3.03.11-0071, приказ Минстроя России от 18.05.2022 г. № 378/пр</t>
  </si>
  <si>
    <t>Материалы строительные</t>
  </si>
  <si>
    <t>Материалы и конструкции ( строительные ) по ценникам и каталогом</t>
  </si>
  <si>
    <t>ФССЦст</t>
  </si>
  <si>
    <t>8</t>
  </si>
  <si>
    <t>24.3.05.02-0133</t>
  </si>
  <si>
    <t>Заглушка полиэтиленовая электросварная для газо- и водоснабжения, ПЭ100, стандартное размерное отношение SDR11, диаметр 63 мм</t>
  </si>
  <si>
    <t>ШТ</t>
  </si>
  <si>
    <t>ФСБЦ-2022, 24.3.05.02-0133, приказ Минстроя России от 18.05.2022 г. № 378/пр</t>
  </si>
  <si>
    <t>9</t>
  </si>
  <si>
    <t>24-02-041-01</t>
  </si>
  <si>
    <t>Надземная прокладка стальных газопроводов, диаметр газопровода: 50 мм</t>
  </si>
  <si>
    <t>ГЭСН-2022 доп.4, 24-02-041-01, приказ Минстроя России от 27.12.2022 г. № 1133/пр</t>
  </si>
  <si>
    <t>9,1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</si>
  <si>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</si>
  <si>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</si>
  <si>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ФСБЦ-2022, 23.5.02.02-0033, приказ Минстроя России от 18.05.2022 г. № 378/пр</t>
  </si>
  <si>
    <t>10</t>
  </si>
  <si>
    <t>24-02-040-09</t>
  </si>
  <si>
    <t>Монтаж металлических опор высотой: свыше 1 до 2,2 м для надземной прокладки стальных газопроводов диаметром 50 мм</t>
  </si>
  <si>
    <t>ГЭСН-2022 доп.17, 24-02-040-09, приказ Минстроя России от 17.02.2026 г. № 91/пр</t>
  </si>
  <si>
    <t>10,1</t>
  </si>
  <si>
    <t>04.1.02.05-0264</t>
  </si>
  <si>
    <t>Смеси бетонные тяжелого бетона (БСТ) на щебне из гравия, класс В15, F(1)200, W6</t>
  </si>
  <si>
    <t>ФСБЦ-2022 доп.14, 04.1.02.05-0264, приказ Минстроя России от 19.05.2025 г. № 299/пр</t>
  </si>
  <si>
    <t>10,2</t>
  </si>
  <si>
    <t>23.5.02.02-0029</t>
  </si>
  <si>
    <t>Трубы стальные электросварные прямошовные из стали марок Ст2, 10, наружный диаметр 40 мм, толщина стенки 3 мм</t>
  </si>
  <si>
    <t>ФСБЦ-2022, 23.5.02.02-0029, приказ Минстроя России от 18.05.2022 г. № 378/пр</t>
  </si>
  <si>
    <t>11</t>
  </si>
  <si>
    <t>24-02-002-02</t>
  </si>
  <si>
    <t>Сварка полиэтиленовых труб при помощи соединительных деталей с закладными электронагревателями, диаметр труб: свыше 32 до 63 мм</t>
  </si>
  <si>
    <t>соединение</t>
  </si>
  <si>
    <t>ГЭСН-2022, 24-02-002-02, приказ Минстроя России от 18.05.2022 г. № 378/пр</t>
  </si>
  <si>
    <t>11,1</t>
  </si>
  <si>
    <t>24.3.05.07-0603</t>
  </si>
  <si>
    <t>Муфта полиэтиленовая электросварная, ПЭ100, SDR11, диаметр 63 мм</t>
  </si>
  <si>
    <t>ФСБЦ-2022, 24.3.05.07-0603, приказ Минстроя России от 18.05.2022 г. № 378/пр</t>
  </si>
  <si>
    <t>12</t>
  </si>
  <si>
    <t>24-02-063-03</t>
  </si>
  <si>
    <t>Устройство цокольного газового ввода на наружных сетях полиэтиленовых газопроводов с соединением "сталь-полиэтилен", диаметр газопровода: 63 мм</t>
  </si>
  <si>
    <t>10 узлов</t>
  </si>
  <si>
    <t>ГЭСН-2022 доп.7, 24-02-063-03, приказ Минстроя России от 02.08.2023 г. № 551/пр</t>
  </si>
  <si>
    <t>13</t>
  </si>
  <si>
    <t>18.4.01.09-0116</t>
  </si>
  <si>
    <t>ФСБЦ-2022 доп.17, 18.4.01.09-0116, приказ Минстроя России от 17.02.2026 г. № 91/пр</t>
  </si>
  <si>
    <t>14</t>
  </si>
  <si>
    <t>24-02-081-01</t>
  </si>
  <si>
    <t>Устройство  ковера для вывода провода-спутника</t>
  </si>
  <si>
    <t>установка</t>
  </si>
  <si>
    <t>ГЭСН-2022 доп.14, 24-02-081-01, приказ Минстроя России от 19.05.2025 г. № 299/пр</t>
  </si>
  <si>
    <t>14,1</t>
  </si>
  <si>
    <t>18.5.08.04-0008</t>
  </si>
  <si>
    <t>Ковер полимерный, диаметр основания 270 мм, диаметр люка 196 мм, высота 295 мм</t>
  </si>
  <si>
    <t>ФСБЦ-2022 доп.8, 18.5.08.04-0008, приказ Минстроя России от 14.11.2023 г. № 817/пр</t>
  </si>
  <si>
    <t>15</t>
  </si>
  <si>
    <t>24-02-051-01</t>
  </si>
  <si>
    <t>Монтаж крана стального фланцевого  для надземной установки на стальных газопроводах диаметром: 50 мм</t>
  </si>
  <si>
    <t>ГЭСН-2022 доп.12, 24-02-051-01, приказ Минстроя России от 07.11.2024 г. № 747/пр</t>
  </si>
  <si>
    <t>16</t>
  </si>
  <si>
    <t>18.1.09.04-0001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</si>
  <si>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t>
  </si>
  <si>
    <t>ФСБЦ-2022 доп.3, 18.1.09.04-0001, приказ Минстроя России от 26.10.2022 г. № 905/пр</t>
  </si>
  <si>
    <t>17</t>
  </si>
  <si>
    <t>м10-06-003-01</t>
  </si>
  <si>
    <t>Прокладка ленты сигнальной желтого цвета в траншее</t>
  </si>
  <si>
    <t>км кабеля</t>
  </si>
  <si>
    <t>ГЭСНм-2022, м10-06-003-01, приказ Минстроя России от 18.05.2022 г. № 378/пр</t>
  </si>
  <si>
    <t>Монтажные работы</t>
  </si>
  <si>
    <t>Оборудование связи: прокладка и монтаж междугородных линий связи</t>
  </si>
  <si>
    <t>мФЕР-10</t>
  </si>
  <si>
    <t>Пр/812-051.3-1</t>
  </si>
  <si>
    <t>Пр/774-051.3</t>
  </si>
  <si>
    <t>17,1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</si>
  <si>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</si>
  <si>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</si>
  <si>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</si>
  <si>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18</t>
  </si>
  <si>
    <t>01.7.06.08-0007</t>
  </si>
  <si>
    <t>Ленты сигнальные из полиэтилена высокого давления «ГАЗ», фон желтый, надпись красная, ширина 200 мм, толщина 0,05 мм</t>
  </si>
  <si>
    <t>ФСБЦ-2022, 01.7.06.08-0007, приказ Минстроя России от 18.05.2022 г. № 378/пр</t>
  </si>
  <si>
    <t>19</t>
  </si>
  <si>
    <t>Кабель, прокладываемый в траншее, масса 1м кабеля: до 0,6 кг</t>
  </si>
  <si>
    <t>19,1</t>
  </si>
  <si>
    <t>20</t>
  </si>
  <si>
    <t>21.2.03.05-0002</t>
  </si>
  <si>
    <t>Провод  АПВ 1х2,5-450/750</t>
  </si>
  <si>
    <t>1000 м</t>
  </si>
  <si>
    <t>ФСБЦ-2022 доп.18, 21.2.03.05-0002, приказ Минстроя России от 15.05.2026 г. № 301/пр</t>
  </si>
  <si>
    <t>1000 М</t>
  </si>
  <si>
    <t>Материалы монтажные</t>
  </si>
  <si>
    <t>Материалы и конструкции ( монтажные )  по ценникам и каталогам</t>
  </si>
  <si>
    <t>ФССЦм</t>
  </si>
  <si>
    <t>21</t>
  </si>
  <si>
    <t>27-09-004-02</t>
  </si>
  <si>
    <t>Установка столбиков сигнальных: пластиковых</t>
  </si>
  <si>
    <t>100 ШТ</t>
  </si>
  <si>
    <t>ГЭСН-2022 доп.19, 27-09-004-02, приказ Минстроя России от 12.08.2026 г. № 527/пр</t>
  </si>
  <si>
    <t>Автомобильные дороги</t>
  </si>
  <si>
    <t>ФЕР-27</t>
  </si>
  <si>
    <t>Пр/812-021.0-1</t>
  </si>
  <si>
    <t>Пр/774-021.0</t>
  </si>
  <si>
    <t>22</t>
  </si>
  <si>
    <t>22.2.02.23-0302</t>
  </si>
  <si>
    <t>Таблички-указатели кабельных трасс пластиковые односторонние, размеры 300х400х5 мм</t>
  </si>
  <si>
    <t>ФСБЦ-2022, 22.2.02.23-0302, приказ Минстроя России от 18.05.2022 г. № 378/пр</t>
  </si>
  <si>
    <t>23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</si>
  <si>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</si>
  <si>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</si>
  <si>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ФСБЦ-2022, 20.1.02.23-0174, приказ Минстроя России от 18.05.2022 г. № 378/пр</t>
  </si>
  <si>
    <t>24</t>
  </si>
  <si>
    <t>06-01-001-01</t>
  </si>
  <si>
    <t>Устройство бетонной подготовки</t>
  </si>
  <si>
    <t>ГЭСН-2022 доп.18, 06-01-001-01, приказ Минстроя России от 15.05.2026 г. № 301/пр</t>
  </si>
  <si>
    <t>Бетонные и железобетонные монолитные конструкции и работы в строительстве</t>
  </si>
  <si>
    <t>ФЕР-06</t>
  </si>
  <si>
    <t>Пр/812-006.0-1</t>
  </si>
  <si>
    <t>Пр/774-006.0</t>
  </si>
  <si>
    <t>24,1</t>
  </si>
  <si>
    <t>04.1.02.05-0110</t>
  </si>
  <si>
    <t>Смеси бетонные тяжелого бетона (БСТ) на щебне из гравия, класс В7,5, F(1)50, W2</t>
  </si>
  <si>
    <t>ФСБЦ-2022 доп.14, 04.1.02.05-0110, приказ Минстроя России от 19.05.2025 г. № 299/пр</t>
  </si>
  <si>
    <t>25</t>
  </si>
  <si>
    <t>06-03-004-01</t>
  </si>
  <si>
    <t>Установка анкерных болтов: в готовые гнезда с заделкой длиной до 1 м</t>
  </si>
  <si>
    <t>т</t>
  </si>
  <si>
    <t>ГЭСН-2022 доп.16, 06-03-004-01, приказ Минстроя России от 12.11.2025 г. № 696/пр</t>
  </si>
  <si>
    <t>25,1</t>
  </si>
  <si>
    <t>08.4.01.01-0025</t>
  </si>
  <si>
    <t>Болты анкерные фундаментные стальные в комплекте с двумя гайками М12 и шайбами М12, тип 1, диаметр М12</t>
  </si>
  <si>
    <t>ФСБЦ-2022 доп.2, 08.4.01.01-0025, приказ Минстроя России от 26.08.2022 г. № 703/пр</t>
  </si>
  <si>
    <t>26</t>
  </si>
  <si>
    <t>24-02-120-01</t>
  </si>
  <si>
    <t>Очистка полости трубопровода продувкой воздухом, номинальный диаметр газопровода: 50 мм</t>
  </si>
  <si>
    <t>ГЭСН-2022, 24-02-120-01, приказ Минстроя России от 18.05.2022 г. № 378/пр</t>
  </si>
  <si>
    <t>27</t>
  </si>
  <si>
    <t>24-02-035-03</t>
  </si>
  <si>
    <t>Опрессовка газопровода из полиэтиленовых труб, диаметром: 63 мм</t>
  </si>
  <si>
    <t>км</t>
  </si>
  <si>
    <t>ГЭСН-2022 доп.7, 24-02-035-03, приказ Минстроя России от 02.08.2023 г. № 551/пр</t>
  </si>
  <si>
    <t>28</t>
  </si>
  <si>
    <t>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</si>
  <si>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</si>
  <si>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</si>
  <si>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ГЭСН-2022, 24-02-124-01, приказ Минстроя России от 18.05.2022 г. № 378/пр</t>
  </si>
  <si>
    <t>Итог1</t>
  </si>
  <si>
    <t>Итого прямые затраты</t>
  </si>
  <si>
    <t>Итог2</t>
  </si>
  <si>
    <t>Итог3</t>
  </si>
  <si>
    <t>Итог4</t>
  </si>
  <si>
    <t>Итого</t>
  </si>
  <si>
    <t>Итог5</t>
  </si>
  <si>
    <t>Зимнее удорожание 1,5%</t>
  </si>
  <si>
    <t>Итог6</t>
  </si>
  <si>
    <t>Итог7</t>
  </si>
  <si>
    <t>НДС 20%</t>
  </si>
  <si>
    <t>Итог8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</si>
  <si>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</si>
  <si>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</si>
  <si>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</si>
  <si>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</si>
  <si>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</si>
  <si>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</si>
  <si>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</si>
  <si>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</si>
  <si>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</si>
  <si>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</si>
  <si>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</si>
  <si>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</si>
  <si>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</si>
  <si>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</si>
  <si>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</si>
  <si>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</si>
  <si>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</si>
  <si>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</si>
  <si>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</si>
  <si>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</si>
  <si>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</si>
  <si>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</si>
  <si>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</si>
  <si>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</si>
  <si>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</si>
  <si>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</si>
  <si>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</si>
  <si>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</si>
  <si>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</si>
  <si>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</si>
  <si>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</si>
  <si>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</si>
  <si>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</si>
  <si>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</si>
  <si>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</si>
  <si>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</si>
  <si>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</si>
  <si>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</si>
  <si>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</si>
  <si>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</si>
  <si>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АВТО_ДРГ</t>
  </si>
  <si>
    <t>{вкл} - НР и СП по п.021.0 "Автомобильные дороги" (раздел 2 нормы 27-02-010-01:07)  {выкл} - НР и СП по п.021.1 Устройство покрытий дорожек, тротуаров, мостовых и площадок и прочее (раздел 2 нормы 27-02-010-01:07)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</si>
  <si>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</si>
  <si>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</si>
  <si>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</si>
  <si>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</si>
  <si>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</si>
  <si>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</si>
  <si>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</si>
  <si>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</si>
  <si>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</si>
  <si>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</si>
  <si>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</si>
  <si>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</si>
  <si>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</si>
  <si>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</si>
  <si>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</si>
  <si>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</si>
  <si>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</si>
  <si>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</si>
  <si>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</si>
  <si>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</si>
  <si>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</si>
  <si>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</si>
  <si>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</si>
  <si>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</si>
  <si>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</si>
  <si>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Вид цен</t>
  </si>
  <si>
    <t>Пензенская область, КТЦ к ФСНБ-2022, 3 квартал 2026 г</t>
  </si>
  <si>
    <t>Сборник индексов</t>
  </si>
  <si>
    <t>Пензенская область к ФСНБ-2022 ФГИС ЦС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</si>
  <si>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III квартал 2026 года»</t>
  </si>
  <si>
    <t>Справочная информация</t>
  </si>
  <si>
    <t>Письмо Минстроя России от 24.08.2026 № 52419-ИФ/09</t>
  </si>
  <si>
    <t>Приказ Министерства градостроительства и архитектуры Пензенской области</t>
  </si>
  <si>
    <t>Приказ Министерства градостроительства и архитектуры Пензенской области от 06.03.2026 г. № 250/оп</t>
  </si>
  <si>
    <t>_OBSM_</t>
  </si>
  <si>
    <t>4-100-00</t>
  </si>
  <si>
    <t>Затраты труда машинистов</t>
  </si>
  <si>
    <t>чел.-ч.</t>
  </si>
  <si>
    <t>91.01.05-085</t>
  </si>
  <si>
    <t>ФСЭМ-2022, 91.01.05-085, приказ Минстроя России от 18.05.2022 г. № 378/пр</t>
  </si>
  <si>
    <t>Экскаваторы одноковшовые дизельные на гусеничном ходу, объем ковша 0,5 м3</t>
  </si>
  <si>
    <t>маш.-ч</t>
  </si>
  <si>
    <t>4-100-060</t>
  </si>
  <si>
    <t>1-100-20</t>
  </si>
  <si>
    <t>Средний разряд работы 2,0</t>
  </si>
  <si>
    <t>1-100-25</t>
  </si>
  <si>
    <t>Средний разряд работы 2,5</t>
  </si>
  <si>
    <t>91.06.05-011</t>
  </si>
  <si>
    <t>ФСЭМ-2022, 91.06.05-011, приказ Минстроя России от 18.05.2022 г. № 378/пр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</si>
  <si>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</si>
  <si>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</si>
  <si>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91.01.01-034</t>
  </si>
  <si>
    <t>ФСЭМ-2022, 91.01.01-034, приказ Минстроя России от 18.05.2022 г. № 378/пр</t>
  </si>
  <si>
    <t>Бульдозеры, мощность 59 кВт (80 л.с.)</t>
  </si>
  <si>
    <t>1-100-15</t>
  </si>
  <si>
    <t>Средний разряд работы 1,5</t>
  </si>
  <si>
    <t>1-100-47</t>
  </si>
  <si>
    <t>Средний разряд работы 4,7</t>
  </si>
  <si>
    <t>91.06.03-001</t>
  </si>
  <si>
    <t>ФСЭМ-2022, 91.06.03-001, приказ Минстроя России от 18.05.2022 г. № 378/пр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</si>
  <si>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10 т</t>
  </si>
  <si>
    <t>91.14.05-021</t>
  </si>
  <si>
    <t>ФСЭМ-2022, 91.14.05-021, приказ Минстроя России от 18.05.2022 г. № 378/пр</t>
  </si>
  <si>
    <t>Прицепы для барабанов полиэтиленовых труб, грузоподъемность до 4 т</t>
  </si>
  <si>
    <t>24.3.05.02-0211</t>
  </si>
  <si>
    <t>ФСБЦ-2022, 24.3.05.02-0211,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</si>
  <si>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63 мм</t>
  </si>
  <si>
    <t>1-100-34</t>
  </si>
  <si>
    <t>Средний разряд работы 3,4</t>
  </si>
  <si>
    <t>91.10.05-004</t>
  </si>
  <si>
    <t>ФСЭМ-2022, 91.10.05-004, приказ Минстроя России от 18.05.2022 г. № 378/пр</t>
  </si>
  <si>
    <t>Трубоукладчики, номинальная грузоподъемность 6,3 т</t>
  </si>
  <si>
    <t>91.17.04-233</t>
  </si>
  <si>
    <t>ФСЭМ-2022, 91.17.04-233, приказ Минстроя России от 18.05.2022 г. № 378/пр</t>
  </si>
  <si>
    <t>Аппараты сварочные для ручной дуговой сварки, сварочный ток до 350 А</t>
  </si>
  <si>
    <t>91.18.01-007</t>
  </si>
  <si>
    <t>ФСЭМ-2022 доп.13, 91.18.01-007, приказ Минстроя России от 07.02.2025 г. № 69/пр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</si>
  <si>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</si>
  <si>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</si>
  <si>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91.21.01-012</t>
  </si>
  <si>
    <t>ФСЭМ-2022 доп.11, 91.21.01-012, приказ Минстроя России от 09.08.2024 г. № 524/пр</t>
  </si>
  <si>
    <t>Агрегаты окрасочные высокого давления для окраски поверхностей конструкций, мощность 1 кВт</t>
  </si>
  <si>
    <t>01.7.03.04-0001</t>
  </si>
  <si>
    <t>ФСБЦ-2022, 01.7.03.04-0001, приказ Минстроя России от 18.05.2022 г. № 378/пр</t>
  </si>
  <si>
    <t>Электроэнергия</t>
  </si>
  <si>
    <t>КВТ-Ч</t>
  </si>
  <si>
    <t>01.7.11.07-0227</t>
  </si>
  <si>
    <t>ФСБЦ-2022, 01.7.11.07-0227, приказ Минстроя России от 18.05.2022 г. № 378/пр</t>
  </si>
  <si>
    <t>Электроды сварочные для сварки низколегированных и углеродистых сталей УОНИ 13/45, Э42А, диаметр 4-5 мм</t>
  </si>
  <si>
    <t>кг</t>
  </si>
  <si>
    <t>01.7.15.05-0012</t>
  </si>
  <si>
    <t>ФСБЦ-2022, 01.7.15.05-0012, приказ Минстроя России от 18.05.2022 г. № 378/пр</t>
  </si>
  <si>
    <t>Гайки стальные шестигранные, диаметр резьбы М8 (М10)</t>
  </si>
  <si>
    <t>07.2.07.13-0221</t>
  </si>
  <si>
    <t>ФСБЦ-2022, 07.2.07.13-0221, приказ Минстроя России от 18.05.2022 г. № 378/пр</t>
  </si>
  <si>
    <t>Хомуты стальные</t>
  </si>
  <si>
    <t>14.4.01.18-0002</t>
  </si>
  <si>
    <t>ФСБЦ-2022 доп.9, 14.4.01.18-0002, приказ Минстроя России от 16.02.2024 г. № 102/пр</t>
  </si>
  <si>
    <t>Грунтовка ФЛ-03К</t>
  </si>
  <si>
    <t>14.4.04.04-0010</t>
  </si>
  <si>
    <t>ФСБЦ-2022 доп.4, 14.4.04.04-0010, приказ Минстроя России от 27.12.2022 г. № 1133/пр</t>
  </si>
  <si>
    <t>Эмаль кремнийорганическая КО-811, КО-811К, цветная</t>
  </si>
  <si>
    <t>14.5.09.02-0002</t>
  </si>
  <si>
    <t>ФСБЦ-2022, 14.5.09.02-0002, приказ Минстроя России от 18.05.2022 г. № 378/пр</t>
  </si>
  <si>
    <t>Ксилол нефтяной, марка А</t>
  </si>
  <si>
    <t>14.5.09.07-0030</t>
  </si>
  <si>
    <t>ФСБЦ-2022, 14.5.09.07-0030, приказ Минстроя России от 18.05.2022 г. № 378/пр</t>
  </si>
  <si>
    <t>Растворитель Р-4</t>
  </si>
  <si>
    <t>1-100-38</t>
  </si>
  <si>
    <t>Средний разряд работы 3,8</t>
  </si>
  <si>
    <t>91.04.01-031</t>
  </si>
  <si>
    <t>ФСЭМ-2022 доп.11, 91.04.01-031, приказ Минстроя России от 07.11.2024 г. № 747/пр</t>
  </si>
  <si>
    <t>Машины бурильно-крановые на автомобильном ходу, диаметр бурения до 800 мм, глубина бурения до 5 м</t>
  </si>
  <si>
    <t>91.05.05-015</t>
  </si>
  <si>
    <t>ФСЭМ-2022, 91.05.05-015, приказ Минстроя России от 18.05.2022 г. № 378/пр</t>
  </si>
  <si>
    <t>Краны на автомобильном ходу, грузоподъемность 16 т</t>
  </si>
  <si>
    <t>91.07.04-001</t>
  </si>
  <si>
    <t>ФСЭМ-2022 доп.4, 91.07.04-001, приказ Минстроя России от 27.12.2022 г. № 1133/пр</t>
  </si>
  <si>
    <t>Вибраторы глубинные</t>
  </si>
  <si>
    <t>91.14.02-001</t>
  </si>
  <si>
    <t>ФСЭМ-2022 доп.7, 91.14.02-001, приказ Минстроя России от 02.08.2023 г. № 551/пр</t>
  </si>
  <si>
    <t>Автомобили бортовые, грузоподъемность до 5 т</t>
  </si>
  <si>
    <t>91.17.04-042</t>
  </si>
  <si>
    <t>ФСЭМ-2022, 91.17.04-042, приказ Минстроя России от 18.05.2022 г. № 378/пр</t>
  </si>
  <si>
    <t>Аппараты для газовой сварки и резки</t>
  </si>
  <si>
    <t>91.21.12-002</t>
  </si>
  <si>
    <t>ФСЭМ-2022 доп.15, 91.21.12-002, приказ Минстроя России от 14.08.2025 г. № 490/пр</t>
  </si>
  <si>
    <t>Ножницы листовые кривошипные гильотинные</t>
  </si>
  <si>
    <t>01.3.02.08-0001</t>
  </si>
  <si>
    <t>ФСБЦ-2022 доп.3, 01.3.02.08-0001, приказ Минстроя России от 26.10.2022 г. № 905/пр</t>
  </si>
  <si>
    <t>Кислород газообразный технический</t>
  </si>
  <si>
    <t>01.3.02.09-0022</t>
  </si>
  <si>
    <t>ФСБЦ-2022 доп.3, 01.3.02.09-0022, приказ Минстроя России от 26.10.2022 г. № 905/пр</t>
  </si>
  <si>
    <t>Пропан-бутан смесь техническая</t>
  </si>
  <si>
    <t>08.3.05.02-0102</t>
  </si>
  <si>
    <t>ФСБЦ-2022, 08.3.05.02-0102, приказ Минстроя России от 18.05.2022 г. № 378/пр</t>
  </si>
  <si>
    <t>Прокат листовой горячекатаный, марки стали Ст3сп, Ст3пс, ширина 1200-3000 мм, толщина 14-24 мм</t>
  </si>
  <si>
    <t>14.4.02.04-0182</t>
  </si>
  <si>
    <t>ФСБЦ-2022 доп.17, 14.4.02.04-0182, приказ Минстроя России от 17.02.2026 г. № 91/пр</t>
  </si>
  <si>
    <t>Краска масляная МА-15, цветная</t>
  </si>
  <si>
    <t>1-100-37</t>
  </si>
  <si>
    <t>Средний разряд работы 3,7</t>
  </si>
  <si>
    <t>91.17.04-039</t>
  </si>
  <si>
    <t>ФСЭМ-2022 доп.15, 91.17.04-039, приказ Минстроя России от 14.08.2025 г. № 490/пр</t>
  </si>
  <si>
    <t>Аппараты для муфтовой сварки пластмассовых труб диаметром до 200 мм</t>
  </si>
  <si>
    <t>91.17.04-152</t>
  </si>
  <si>
    <t>ФСЭМ-2022, 91.17.04-152, приказ Минстроя России от 18.05.2022 г. № 378/пр</t>
  </si>
  <si>
    <t>Позиционеры-центраторы для сборки и сварки полиэтиленовых труб диаметром до 63 мм</t>
  </si>
  <si>
    <t>01.3.01.07-0009</t>
  </si>
  <si>
    <t>ФСБЦ-2022, 01.3.01.07-0009, приказ Минстроя России от 18.05.2022 г. № 378/пр</t>
  </si>
  <si>
    <t>Спирт этиловый ректификованный технический, сорт I</t>
  </si>
  <si>
    <t>01.7.20.08-0051</t>
  </si>
  <si>
    <t>ФСБЦ-2022 доп.8, 01.7.20.08-0051, приказ Минстроя России от 14.11.2023 г. № 817/пр</t>
  </si>
  <si>
    <t>Ветошь хлопчатобумажная цветная</t>
  </si>
  <si>
    <t>2-100-02</t>
  </si>
  <si>
    <t>Рабочий 2 разряда</t>
  </si>
  <si>
    <t>чел.-ч</t>
  </si>
  <si>
    <t>2-100-04</t>
  </si>
  <si>
    <t>Рабочий 4 разряда</t>
  </si>
  <si>
    <t>14.5.09.11-0102</t>
  </si>
  <si>
    <t>ФСБЦ-2022, 14.5.09.11-0102, приказ Минстроя России от 18.05.2022 г. № 378/пр</t>
  </si>
  <si>
    <t>Уайт-спирит</t>
  </si>
  <si>
    <t>02.3.01.02-1118</t>
  </si>
  <si>
    <t>ФСБЦ-2022, 02.3.01.02-1118, приказ Минстроя России от 18.05.2022 г. № 378/пр</t>
  </si>
  <si>
    <t>Песок природный для строительных работ II класс, средний</t>
  </si>
  <si>
    <t>04.1.02.05-0122</t>
  </si>
  <si>
    <t>ФСБЦ-2022 доп.14, 04.1.02.05-0122, приказ Минстроя России от 19.05.2025 г. № 299/пр</t>
  </si>
  <si>
    <t>Смеси бетонные тяжелого бетона (БСТ) на щебне из гравия, класс В12,5, F(1)75, W2</t>
  </si>
  <si>
    <t>1-100-45</t>
  </si>
  <si>
    <t>Средний разряд работы 4,5</t>
  </si>
  <si>
    <t>01.7.15.03-0042</t>
  </si>
  <si>
    <t>ФСБЦ-2022, 01.7.15.03-0042, приказ Минстроя России от 18.05.2022 г. № 378/пр</t>
  </si>
  <si>
    <t>Болты с гайками и шайбами строительные</t>
  </si>
  <si>
    <t>14.4.03.05-0019</t>
  </si>
  <si>
    <t>ФСБЦ-2022 доп.12, 14.4.03.05-0019, приказ Минстроя России от 07.11.2024 г. № 747/пр</t>
  </si>
  <si>
    <t>Лак ПФ-170</t>
  </si>
  <si>
    <t>14.5.07.01-0011</t>
  </si>
  <si>
    <t>ФСБЦ-2022, 14.5.07.01-0011, приказ Минстроя России от 18.05.2022 г. № 378/пр</t>
  </si>
  <si>
    <t>Пудра алюминиевая ПАП-1</t>
  </si>
  <si>
    <t>23.8.03.11-0197</t>
  </si>
  <si>
    <t>ФСБЦ-2022, 23.8.03.11-0197, приказ Минстроя России от 18.05.2022 г. № 378/пр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</si>
  <si>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50 мм</t>
  </si>
  <si>
    <t>23.8.04.06-0063</t>
  </si>
  <si>
    <t>ФСБЦ-2022, 23.8.04.06-0063, приказ Минстроя России от 18.05.2022 г. № 378/пр</t>
  </si>
  <si>
    <t>Отвод 90° с радиусом кривизны R=1,5 Ду на давление до 16 МПа, номинальный диаметр 50 мм, наружный диаметр 57 мм, толщина стенки 3 мм</t>
  </si>
  <si>
    <t>1-100-35</t>
  </si>
  <si>
    <t>Средний разряд работы 3,5</t>
  </si>
  <si>
    <t>91.11.01-012</t>
  </si>
  <si>
    <t>ФСЭМ-2022, 91.11.01-012, приказ Минстроя России от 18.05.2022 г. № 378/пр</t>
  </si>
  <si>
    <t>Машины монтажные для выполнения работ при прокладке и монтаже кабеля на базе автомобиля</t>
  </si>
  <si>
    <t>91.14.05-041</t>
  </si>
  <si>
    <t>ФСЭМ-2022, 91.14.05-041, приказ Минстроя России от 18.05.2022 г. № 378/пр</t>
  </si>
  <si>
    <t>Транспортеры прицепные кабельные, грузоподъемность до 7 т</t>
  </si>
  <si>
    <t>1-100-24</t>
  </si>
  <si>
    <t>Средний разряд работы 2,4</t>
  </si>
  <si>
    <t>91.13.01-032</t>
  </si>
  <si>
    <t>ФСЭМ-2022, 91.13.01-032, приказ Минстроя России от 18.05.2022 г. № 378/пр</t>
  </si>
  <si>
    <t>Машины дорожной службы (машина дорожного мастера), мощность двигателя 80 кВт (109 л.с.)</t>
  </si>
  <si>
    <t>91.21.11-001</t>
  </si>
  <si>
    <t>ФСЭМ-2022 доп.11, 91.21.11-001, приказ Минстроя России от 09.08.2024 г. № 524/пр</t>
  </si>
  <si>
    <t>Мотобуры бензиновые ручные, диаметр бура до 200 мм, мощность двигателя до 1,6 кВт (2,2 л.с.)</t>
  </si>
  <si>
    <t>91.05.01-017</t>
  </si>
  <si>
    <t>ФСЭМ-2022 доп.3, 91.05.01-017, приказ Минстроя России от 26.10.2022 г. № 905/пр</t>
  </si>
  <si>
    <t>Краны башенные, грузоподъемность 8 т</t>
  </si>
  <si>
    <t>91.07.04-002</t>
  </si>
  <si>
    <t>ФСЭМ-2022 доп.4, 91.07.04-002, приказ Минстроя России от 27.12.2022 г. № 1133/пр</t>
  </si>
  <si>
    <t>Вибраторы поверхностные</t>
  </si>
  <si>
    <t>01.7.03.01-0001</t>
  </si>
  <si>
    <t>ФСБЦ-2022, 01.7.03.01-0001, приказ Минстроя России от 18.05.2022 г. № 378/пр</t>
  </si>
  <si>
    <t>Вода</t>
  </si>
  <si>
    <t>01.7.07.12-0024</t>
  </si>
  <si>
    <t>ФСБЦ-2022, 01.7.07.12-0024, приказ Минстроя России от 18.05.2022 г. № 378/пр</t>
  </si>
  <si>
    <t>Пленка полиэтиленовая, толщина 0,15 мм</t>
  </si>
  <si>
    <t>м2</t>
  </si>
  <si>
    <t>1-100-33</t>
  </si>
  <si>
    <t>Средний разряд работы 3,3</t>
  </si>
  <si>
    <t>07.2.07.02-0001</t>
  </si>
  <si>
    <t>ФСБЦ-2022, 07.2.07.02-0001, приказ Минстроя России от 18.05.2022 г. № 378/пр</t>
  </si>
  <si>
    <t>Кондуктор инвентарный металлический</t>
  </si>
  <si>
    <t>1-100-40</t>
  </si>
  <si>
    <t>Средний разряд работы 4,0</t>
  </si>
  <si>
    <t>2-100-05</t>
  </si>
  <si>
    <t>Рабочий 5 разряда</t>
  </si>
  <si>
    <t>91.18.01-006</t>
  </si>
  <si>
    <t>ФСЭМ-2022, 91.18.01-006, приказ Минстроя России от 18.05.2022 г. № 378/пр</t>
  </si>
  <si>
    <t>Компрессоры с двигателем внутреннего сгорания на шасси автомобильного типа, давление до 21,57 МПа (220 атм), производительность до 5 м3/мин</t>
  </si>
  <si>
    <t>01.7.07.08-0004</t>
  </si>
  <si>
    <t>ФСБЦ-2022 доп.8, 01.7.07.08-0004, приказ Минстроя России от 14.11.2023 г. № 817/пр</t>
  </si>
  <si>
    <t>Мыло хозяйственное жидкое</t>
  </si>
  <si>
    <t>91.13.03-111</t>
  </si>
  <si>
    <t>ФСЭМ-2022, 91.13.03-111, приказ Минстроя России от 18.05.2022 г. № 378/пр</t>
  </si>
  <si>
    <t>Спецавтомобили-вездеходы, грузоподъемность до 8 т</t>
  </si>
  <si>
    <t>02.3.01.02</t>
  </si>
  <si>
    <t>Песок для строительных работ природный</t>
  </si>
  <si>
    <t>24.3.03.11</t>
  </si>
  <si>
    <t>Трубы полиэтиленовые для газопроводов</t>
  </si>
  <si>
    <t>23.5.02.02</t>
  </si>
  <si>
    <t>Трубы стальные электросварные прямошовные</t>
  </si>
  <si>
    <t>04.1.02.05</t>
  </si>
  <si>
    <t>Смеси бетонные тяжелого бетона</t>
  </si>
  <si>
    <t>Трубы стальные</t>
  </si>
  <si>
    <t>24.3.05.07</t>
  </si>
  <si>
    <t>Муфты полиэтиленовые с закладными электронагревателями</t>
  </si>
  <si>
    <t>23.3.06.05</t>
  </si>
  <si>
    <t>23.8.04.08</t>
  </si>
  <si>
    <t>Переходы</t>
  </si>
  <si>
    <t>24.3.03.05</t>
  </si>
  <si>
    <t>Трубы гофрированные из ПНД</t>
  </si>
  <si>
    <t>Трубы напорные из полиэтилена</t>
  </si>
  <si>
    <t>Муфта полиэтиленовая с закладными нагревателями</t>
  </si>
  <si>
    <t>24.3.05.08</t>
  </si>
  <si>
    <t>Отводы полиэтиленовые</t>
  </si>
  <si>
    <t>05.1.01.13</t>
  </si>
  <si>
    <t>Плиты сборные железобетонные под ковер</t>
  </si>
  <si>
    <t>18.5.08.04</t>
  </si>
  <si>
    <t>Ковер</t>
  </si>
  <si>
    <t>18.5.08.13</t>
  </si>
  <si>
    <t>Трубка контрольная</t>
  </si>
  <si>
    <t>КОМПЛ</t>
  </si>
  <si>
    <t>18.1.02.01</t>
  </si>
  <si>
    <t>Задвижки стальные клиновые для газа и нефтепродуктов фланцевые на давление Ру=1,6 МПа</t>
  </si>
  <si>
    <t>01.5.03.06</t>
  </si>
  <si>
    <t>Столбик сигнальный дорожный пластиковый</t>
  </si>
  <si>
    <t>08.4.01.01</t>
  </si>
  <si>
    <t>Анкеры стальные фундаментные</t>
  </si>
  <si>
    <t>24.3.05.02</t>
  </si>
  <si>
    <t>Заглушки полиэтиленовые</t>
  </si>
  <si>
    <t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</si>
  <si>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t>
  </si>
  <si>
    <t>Наименование редакции сметных нормативов</t>
  </si>
  <si>
    <t>Реквизиты приказа Минстроя России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</si>
  <si>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</si>
  <si>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</si>
  <si>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Обоснование принятых текущих цен на строительные ресурсы</t>
  </si>
  <si>
    <t>Наименование субъекта Российской Федерации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</si>
  <si>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</si>
  <si>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</si>
  <si>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</si>
  <si>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</si>
  <si>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</si>
  <si>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</si>
  <si>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</si>
  <si>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</si>
  <si>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Сметная стоимость</t>
  </si>
  <si>
    <t>тыс. руб.</t>
  </si>
  <si>
    <t>Средства на оплату труда рабочих</t>
  </si>
  <si>
    <t>в том числе:</t>
  </si>
  <si>
    <t>Средства на оплату труда машинистов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</si>
  <si>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</si>
  <si>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</si>
  <si>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</si>
  <si>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</si>
  <si>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</si>
  <si>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</si>
  <si>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</si>
  <si>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</si>
  <si>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</si>
  <si>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</si>
  <si>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</si>
  <si>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</si>
  <si>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</si>
  <si>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</si>
  <si>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</si>
  <si>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</si>
  <si>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</si>
  <si>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</si>
  <si>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</si>
  <si>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ФГИС ЦС, конъюнктурный анализ</t>
  </si>
  <si>
    <t>Ресурсно-индексным</t>
  </si>
  <si>
    <t>Составлен(а) в текущем уровне цен на сентябрь 2026 года</t>
  </si>
  <si>
    <t>Раздел: Земляные работы</t>
  </si>
  <si>
    <t>ГЭСН 01-01-009-14</t>
  </si>
  <si>
    <t>ЭМ</t>
  </si>
  <si>
    <t>ОТм(ЗТм) Средний разряд машинистов 6</t>
  </si>
  <si>
    <t>ОТм(ЗТм)</t>
  </si>
  <si>
    <t>ФОТ</t>
  </si>
  <si>
    <t>НР Земляные работы, выполняемые: механизированным способом</t>
  </si>
  <si>
    <t>СП Земляные работы, выполняемые: механизированным способом</t>
  </si>
  <si>
    <t>Всего по позиции</t>
  </si>
  <si>
    <t>=</t>
  </si>
  <si>
    <t>ГЭСН 01-02-057-02</t>
  </si>
  <si>
    <t>ОТ (ЗТ)</t>
  </si>
  <si>
    <t>НР Земляные работы, выполняемые: ручным способом</t>
  </si>
  <si>
    <t>СП Земляные работы, выполняемые: ручным способом</t>
  </si>
  <si>
    <t>ГЭСН 23-01-001-01</t>
  </si>
  <si>
    <t>ОТм(ЗТм) Средний разряд машинистов 5</t>
  </si>
  <si>
    <t>3.1</t>
  </si>
  <si>
    <t>НР Наружные сети водопровода, канализации, теплоснабжения, газопроводы</t>
  </si>
  <si>
    <t>СП Наружные сети водопровода, канализации, теплоснабжения, газопроводы</t>
  </si>
  <si>
    <t>ГЭСН 01-01-033-02</t>
  </si>
  <si>
    <t>ГЭСН 01-02-061-02</t>
  </si>
  <si>
    <t>Итого прямые затраты по разделу</t>
  </si>
  <si>
    <t>в том числе</t>
  </si>
  <si>
    <t xml:space="preserve">  оплата труда</t>
  </si>
  <si>
    <t xml:space="preserve">  эксплуатация машин и механизмов</t>
  </si>
  <si>
    <t xml:space="preserve">  в том числе</t>
  </si>
  <si>
    <t xml:space="preserve">    в том числе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</si>
  <si>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</si>
  <si>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</si>
  <si>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</si>
  <si>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</si>
  <si>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</si>
  <si>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Всего ФОТ (справочно)</t>
  </si>
  <si>
    <t>Всего накладные расходы</t>
  </si>
  <si>
    <t>Всего сметная прибыль</t>
  </si>
  <si>
    <t>Итого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</si>
  <si>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</si>
  <si>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</si>
  <si>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Итого прочие затраты</t>
  </si>
  <si>
    <t>Итого хозяйственный инвентарь</t>
  </si>
  <si>
    <t>Итого по разделу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</si>
  <si>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</si>
  <si>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</si>
  <si>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</si>
  <si>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</si>
  <si>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</si>
  <si>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 xml:space="preserve">  оплата труда машинистов (ОТм)</t>
  </si>
  <si>
    <t>Раздел: Укладка трубы</t>
  </si>
  <si>
    <t>ГЭСН 24-02-031-01</t>
  </si>
  <si>
    <t>М</t>
  </si>
  <si>
    <t>ГЭСН 24-02-041-01</t>
  </si>
  <si>
    <t>ОТм(ЗТм) Средний разряд машинистов 4</t>
  </si>
  <si>
    <t>9.1</t>
  </si>
  <si>
    <t>ГЭСН 24-02-040-09</t>
  </si>
  <si>
    <t>10.1</t>
  </si>
  <si>
    <t>10.2</t>
  </si>
  <si>
    <t>ГЭСН 24-02-002-02</t>
  </si>
  <si>
    <t>11.1</t>
  </si>
  <si>
    <t>ГЭСН 24-02-063-03</t>
  </si>
  <si>
    <t>ГЭСН 24-02-081-01</t>
  </si>
  <si>
    <t>14.1</t>
  </si>
  <si>
    <t>ГЭСН 24-02-051-01</t>
  </si>
  <si>
    <t>ГЭСНм 10-06-003-01</t>
  </si>
  <si>
    <t>17.1</t>
  </si>
  <si>
    <t>НР Оборудование связи: прокладка и монтаж междугородных линий связи</t>
  </si>
  <si>
    <t>СП Оборудование связи: прокладка и монтаж междугородных линий связи</t>
  </si>
  <si>
    <t>19.1</t>
  </si>
  <si>
    <t>ГЭСН 27-09-004-02</t>
  </si>
  <si>
    <t>НР Автомобильные дороги</t>
  </si>
  <si>
    <t>СП Автомобильные дороги</t>
  </si>
  <si>
    <t>ГЭСН 06-01-001-01</t>
  </si>
  <si>
    <t>24.1</t>
  </si>
  <si>
    <t>НР Бетонные и железобетонные монолитные конструкции и работы в строительстве</t>
  </si>
  <si>
    <t>СП Бетонные и железобетонные монолитные конструкции и работы в строительстве</t>
  </si>
  <si>
    <t>ГЭСН 06-03-004-01</t>
  </si>
  <si>
    <t>25.1</t>
  </si>
  <si>
    <t>ГЭСН 24-02-120-01</t>
  </si>
  <si>
    <t>ГЭСН 24-02-035-03</t>
  </si>
  <si>
    <t>ГЭСН 24-02-124-01</t>
  </si>
  <si>
    <t>ИТОГИ ПО СМЕТЕ</t>
  </si>
  <si>
    <t>ВСЕГО строительные работы</t>
  </si>
  <si>
    <t>Всего прямые затраты</t>
  </si>
  <si>
    <t xml:space="preserve">  оплата труда (ОТ)</t>
  </si>
  <si>
    <t>ФОТ (справочно)</t>
  </si>
  <si>
    <t>накладные расходы</t>
  </si>
  <si>
    <t>сметная прибыль</t>
  </si>
  <si>
    <t>ВСЕГО монтажные работы</t>
  </si>
  <si>
    <t>ВСЕГО оборудование</t>
  </si>
  <si>
    <t>ВСЕГО прочие затраты</t>
  </si>
  <si>
    <t xml:space="preserve">   прочие затраты</t>
  </si>
  <si>
    <t xml:space="preserve">   прочие перевозки</t>
  </si>
  <si>
    <t xml:space="preserve">   Хозяйственный инвентарь</t>
  </si>
  <si>
    <t>Пусконаладочные работы</t>
  </si>
  <si>
    <t>ВСЕГО по смете</t>
  </si>
  <si>
    <t>Всего оборудование</t>
  </si>
  <si>
    <t>Всего прочие затраты</t>
  </si>
  <si>
    <t xml:space="preserve">Составил   </t>
  </si>
  <si>
    <t>[должность,подпись(инициалы,фамилия)]</t>
  </si>
  <si>
    <t xml:space="preserve">Проверил   </t>
  </si>
  <si>
    <t>Пензенская область</t>
  </si>
  <si>
    <t>ЛОКАЛЬНАЯ СМЕТА №ЛС-01-01-01</t>
  </si>
  <si>
    <t>шифр 09/02-2026-ГСН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</si>
</sst>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.0000"/>
    <numFmt numFmtId="166" formatCode="#,##0.00;[Red]\-\ #,##0.00"/>
    <numFmt numFmtId="167" formatCode="#,##0.00#####;[Red]\-\ #,##0.00#####"/>
  </numFmts>
  <fonts count="20" x14ac:knownFonts="1">
    <font>
      <sz val="10"/>
      <name val="Arial"/>
      <charset val="204"/>
    </font>
    <font>
      <b/>
      <sz val="10"/>
      <color indexed="12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 Cyr"/>
      <charset val="204"/>
    </font>
    <font>
      <b/>
      <i/>
      <sz val="11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rgb="FF000000"/>
      <name val="Arial Cyr"/>
      <charset val="204"/>
    </font>
    <font>
      <i/>
      <sz val="9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12" fillId="0" borderId="2" xfId="0" applyNumberFormat="1" applyFont="1" applyBorder="1" applyAlignment="1">
      <alignment horizontal="center" vertical="top" wrapText="1"/>
    </xf>
    <xf numFmtId="0" fontId="11" fillId="0" borderId="0" xfId="0" applyNumberFormat="1" applyFont="1" applyAlignment="1"/>
    <xf numFmtId="0" fontId="8" fillId="0" borderId="1" xfId="0" applyNumberFormat="1" applyFont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center" wrapText="1"/>
    </xf>
    <xf numFmtId="166" fontId="0" fillId="0" borderId="0" xfId="0" applyNumberFormat="1"/>
    <xf numFmtId="0" fontId="13" fillId="0" borderId="0" xfId="0" applyFont="1"/>
    <xf numFmtId="0" fontId="14" fillId="0" borderId="0" xfId="0" applyNumberFormat="1" applyFont="1" applyAlignment="1"/>
    <xf numFmtId="0" fontId="11" fillId="0" borderId="0" xfId="0" applyNumberFormat="1" applyFont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1" fillId="0" borderId="0" xfId="0" applyNumberFormat="1" applyFont="1" applyAlignment="1">
      <alignment vertical="top" wrapText="1"/>
    </xf>
    <xf numFmtId="0" fontId="11" fillId="0" borderId="2" xfId="0" applyNumberFormat="1" applyFont="1" applyBorder="1" applyAlignment="1">
      <alignment vertical="top"/>
    </xf>
    <xf numFmtId="0" fontId="11" fillId="0" borderId="0" xfId="0" applyNumberFormat="1" applyFont="1" applyAlignment="1">
      <alignment horizontal="left"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14" fillId="0" borderId="2" xfId="0" applyNumberFormat="1" applyFont="1" applyBorder="1" applyAlignment="1"/>
    <xf numFmtId="0" fontId="11" fillId="0" borderId="1" xfId="0" applyNumberFormat="1" applyFont="1" applyBorder="1" applyAlignment="1">
      <alignment horizontal="center"/>
    </xf>
    <xf numFmtId="0" fontId="11" fillId="0" borderId="2" xfId="0" applyNumberFormat="1" applyFont="1" applyBorder="1" applyAlignment="1"/>
    <xf numFmtId="0" fontId="11" fillId="0" borderId="1" xfId="0" applyNumberFormat="1" applyFont="1" applyBorder="1" applyAlignment="1">
      <alignment horizontal="left" wrapText="1"/>
    </xf>
    <xf numFmtId="0" fontId="11" fillId="0" borderId="0" xfId="0" applyNumberFormat="1" applyFont="1" applyAlignment="1">
      <alignment horizontal="left" wrapText="1"/>
    </xf>
    <xf numFmtId="0" fontId="11" fillId="0" borderId="0" xfId="0" applyNumberFormat="1" applyFont="1" applyAlignment="1">
      <alignment wrapText="1"/>
    </xf>
    <xf numFmtId="0" fontId="16" fillId="0" borderId="0" xfId="0" applyNumberFormat="1" applyFont="1" applyAlignment="1"/>
    <xf numFmtId="166" fontId="11" fillId="0" borderId="0" xfId="0" applyNumberFormat="1" applyFont="1" applyAlignment="1">
      <alignment horizontal="right"/>
    </xf>
    <xf numFmtId="0" fontId="11" fillId="0" borderId="0" xfId="0" applyNumberFormat="1" applyFont="1" applyAlignment="1">
      <alignment horizontal="right"/>
    </xf>
    <xf numFmtId="166" fontId="11" fillId="0" borderId="0" xfId="0" applyNumberFormat="1" applyFont="1" applyAlignment="1"/>
    <xf numFmtId="0" fontId="11" fillId="0" borderId="5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2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/>
    <xf numFmtId="0" fontId="13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left" vertical="top" wrapText="1"/>
    </xf>
    <xf numFmtId="0" fontId="14" fillId="0" borderId="0" xfId="0" applyNumberFormat="1" applyFont="1" applyAlignment="1">
      <alignment horizontal="right"/>
    </xf>
    <xf numFmtId="0" fontId="11" fillId="0" borderId="0" xfId="0" applyNumberFormat="1" applyFont="1" applyAlignment="1">
      <alignment horizontal="right" vertical="center"/>
    </xf>
    <xf numFmtId="0" fontId="11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left"/>
    </xf>
    <xf numFmtId="0" fontId="16" fillId="0" borderId="1" xfId="0" applyNumberFormat="1" applyFont="1" applyBorder="1" applyAlignment="1">
      <alignment horizontal="center" wrapText="1"/>
    </xf>
    <xf numFmtId="0" fontId="11" fillId="0" borderId="2" xfId="0" applyNumberFormat="1" applyFont="1" applyBorder="1" applyAlignment="1">
      <alignment horizontal="center" vertical="top" wrapText="1"/>
    </xf>
    <xf numFmtId="14" fontId="11" fillId="0" borderId="0" xfId="0" applyNumberFormat="1" applyFont="1" applyAlignment="1"/>
    <xf numFmtId="0" fontId="11" fillId="0" borderId="1" xfId="0" applyNumberFormat="1" applyFont="1" applyBorder="1" applyAlignment="1"/>
    <xf numFmtId="0" fontId="17" fillId="0" borderId="0" xfId="0" applyFont="1" applyAlignment="1">
      <alignment horizontal="left" vertical="top" wrapText="1"/>
    </xf>
    <xf numFmtId="0" fontId="13" fillId="0" borderId="0" xfId="0" quotePrefix="1" applyFont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/>
    </xf>
    <xf numFmtId="166" fontId="13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left" vertical="top"/>
    </xf>
    <xf numFmtId="167" fontId="13" fillId="0" borderId="0" xfId="0" applyNumberFormat="1" applyFont="1" applyAlignment="1">
      <alignment horizontal="right" vertical="top"/>
    </xf>
    <xf numFmtId="166" fontId="17" fillId="0" borderId="0" xfId="0" applyNumberFormat="1" applyFont="1" applyAlignment="1">
      <alignment horizontal="righ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right" vertical="top"/>
    </xf>
    <xf numFmtId="166" fontId="13" fillId="0" borderId="1" xfId="0" applyNumberFormat="1" applyFont="1" applyBorder="1" applyAlignment="1">
      <alignment horizontal="right" vertical="top"/>
    </xf>
    <xf numFmtId="166" fontId="17" fillId="0" borderId="0" xfId="0" applyNumberFormat="1" applyFont="1" applyAlignment="1">
      <alignment horizontal="left" vertical="top"/>
    </xf>
    <xf numFmtId="166" fontId="17" fillId="0" borderId="2" xfId="0" applyNumberFormat="1" applyFont="1" applyBorder="1" applyAlignment="1">
      <alignment horizontal="right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13" fillId="0" borderId="1" xfId="0" quotePrefix="1" applyFont="1" applyBorder="1" applyAlignment="1">
      <alignment horizontal="left" vertical="top" wrapText="1"/>
    </xf>
    <xf numFmtId="0" fontId="17" fillId="0" borderId="2" xfId="0" applyFont="1" applyBorder="1" applyAlignment="1">
      <alignment vertical="top"/>
    </xf>
    <xf numFmtId="0" fontId="17" fillId="0" borderId="2" xfId="0" applyFont="1" applyBorder="1" applyAlignment="1">
      <alignment horizontal="left" vertical="top" wrapText="1"/>
    </xf>
    <xf numFmtId="166" fontId="17" fillId="0" borderId="2" xfId="0" applyNumberFormat="1" applyFont="1" applyBorder="1" applyAlignment="1">
      <alignment horizontal="right" vertical="top"/>
    </xf>
    <xf numFmtId="0" fontId="17" fillId="0" borderId="2" xfId="0" applyFont="1" applyBorder="1" applyAlignment="1">
      <alignment horizontal="right" vertical="top"/>
    </xf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left" vertical="top" wrapText="1"/>
    </xf>
    <xf numFmtId="0" fontId="1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15" fillId="0" borderId="0" xfId="0" applyNumberFormat="1" applyFont="1" applyAlignment="1">
      <alignment horizontal="center" wrapText="1"/>
    </xf>
    <xf numFmtId="166" fontId="16" fillId="0" borderId="0" xfId="0" applyNumberFormat="1" applyFont="1" applyAlignment="1">
      <alignment horizontal="right"/>
    </xf>
    <xf numFmtId="0" fontId="16" fillId="0" borderId="0" xfId="0" applyNumberFormat="1" applyFont="1" applyAlignment="1">
      <alignment horizontal="right"/>
    </xf>
    <xf numFmtId="0" fontId="12" fillId="0" borderId="0" xfId="0" applyNumberFormat="1" applyFont="1" applyAlignment="1"/>
    <xf numFmtId="166" fontId="19" fillId="0" borderId="0" xfId="0" applyNumberFormat="1" applyFont="1" applyAlignment="1"/>
    <xf numFmtId="0" fontId="12" fillId="0" borderId="0" xfId="0" applyNumberFormat="1" applyFont="1" applyAlignment="1">
      <alignment horizontal="right"/>
    </xf>
    <xf numFmtId="167" fontId="19" fillId="0" borderId="0" xfId="0" applyNumberFormat="1" applyFont="1" applyAlignment="1"/>
    <xf numFmtId="165" fontId="12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01"/>
  <sheetViews>
    <sheetView tabSelected="1" topLeftCell="A495" zoomScaleNormal="100" workbookViewId="0">
      <selection activeCell="B299" sqref="B299:G299"/>
    </sheetView>
  </sheetViews>
  <sheetFormatPr defaultRowHeight="12.75" x14ac:dyDescent="0.2"/>
  <cols>
    <col min="1" max="1" width="5.7109375" customWidth="1"/>
    <col min="2" max="2" width="20.7109375" customWidth="1"/>
    <col min="3" max="3" width="40.7109375" customWidth="1"/>
    <col min="4" max="4" width="10.7109375" customWidth="1"/>
    <col min="5" max="12" width="15.7109375" customWidth="1"/>
    <col min="15" max="91" width="0" hidden="1" customWidth="1"/>
    <col min="92" max="92" width="198.7109375" hidden="1" customWidth="1"/>
    <col min="93" max="93" width="108.7109375" hidden="1" customWidth="1"/>
    <col min="94" max="101" width="0" hidden="1" customWidth="1"/>
  </cols>
  <sheetData>
    <row r="1" spans="1:93" ht="25.5" x14ac:dyDescent="0.2">
      <c r="A1" s="20" t="s">
        <v>591</v>
      </c>
      <c r="B1" s="20"/>
      <c r="C1" s="20"/>
      <c r="D1" s="20"/>
      <c r="E1" s="20"/>
      <c r="F1" s="21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  <c r="G1" s="21"/>
      <c r="H1" s="21"/>
      <c r="I1" s="21"/>
      <c r="J1" s="21"/>
      <c r="K1" s="21"/>
      <c r="L1" s="21"/>
      <c r="CO1" s="15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</row>
    <row r="2" spans="1:93" ht="12.75" customHeight="1" x14ac:dyDescent="0.2">
      <c r="A2" s="22"/>
      <c r="B2" s="22"/>
      <c r="C2" s="22"/>
      <c r="D2" s="22"/>
      <c r="E2" s="22"/>
      <c r="F2" s="23"/>
      <c r="G2" s="23"/>
      <c r="H2" s="23"/>
      <c r="I2" s="23"/>
      <c r="J2" s="23"/>
      <c r="K2" s="23"/>
      <c r="L2" s="23"/>
    </row>
    <row r="3" spans="1:93" ht="132" customHeight="1" x14ac:dyDescent="0.2">
      <c r="A3" s="20" t="s">
        <v>592</v>
      </c>
      <c r="B3" s="20"/>
      <c r="C3" s="20"/>
      <c r="D3" s="20"/>
      <c r="E3" s="20"/>
      <c r="F3" s="91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  <c r="G3" s="91"/>
      <c r="H3" s="91"/>
      <c r="I3" s="91"/>
      <c r="J3" s="91"/>
      <c r="K3" s="91"/>
      <c r="L3" s="91"/>
      <c r="CO3" s="15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</row>
    <row r="4" spans="1:93" ht="12.75" customHeight="1" x14ac:dyDescent="0.2">
      <c r="A4" s="22"/>
      <c r="B4" s="22"/>
      <c r="C4" s="22"/>
      <c r="D4" s="22"/>
      <c r="E4" s="22"/>
      <c r="F4" s="23"/>
      <c r="G4" s="23"/>
      <c r="H4" s="23"/>
      <c r="I4" s="23"/>
      <c r="J4" s="23"/>
      <c r="K4" s="23"/>
      <c r="L4" s="23"/>
    </row>
    <row r="5" spans="1:93" ht="76.5" customHeight="1" x14ac:dyDescent="0.2">
      <c r="A5" s="20" t="s">
        <v>593</v>
      </c>
      <c r="B5" s="20"/>
      <c r="C5" s="20"/>
      <c r="D5" s="20"/>
      <c r="E5" s="20"/>
      <c r="F5" s="21" t="s">
        <v>353</v>
      </c>
      <c r="G5" s="21"/>
      <c r="H5" s="21"/>
      <c r="I5" s="21"/>
      <c r="J5" s="21"/>
      <c r="K5" s="21"/>
      <c r="L5" s="21"/>
    </row>
    <row r="6" spans="1:93" ht="12.75" customHeight="1" x14ac:dyDescent="0.2">
      <c r="A6" s="22"/>
      <c r="B6" s="22"/>
      <c r="C6" s="22"/>
      <c r="D6" s="22"/>
      <c r="E6" s="22"/>
      <c r="F6" s="23"/>
      <c r="G6" s="23"/>
      <c r="H6" s="23"/>
      <c r="I6" s="23"/>
      <c r="J6" s="23"/>
      <c r="K6" s="23"/>
      <c r="L6" s="23"/>
    </row>
    <row r="7" spans="1:93" ht="38.25" customHeight="1" x14ac:dyDescent="0.2">
      <c r="A7" s="20" t="s">
        <v>594</v>
      </c>
      <c r="B7" s="20"/>
      <c r="C7" s="20"/>
      <c r="D7" s="20"/>
      <c r="E7" s="20"/>
      <c r="F7" s="21" t="s">
        <v>355</v>
      </c>
      <c r="G7" s="21"/>
      <c r="H7" s="21"/>
      <c r="I7" s="21"/>
      <c r="J7" s="21"/>
      <c r="K7" s="21"/>
      <c r="L7" s="21"/>
    </row>
    <row r="8" spans="1:93" ht="12.75" customHeight="1" x14ac:dyDescent="0.2">
      <c r="A8" s="24"/>
      <c r="B8" s="24"/>
      <c r="C8" s="24"/>
      <c r="D8" s="24"/>
      <c r="E8" s="24"/>
      <c r="F8" s="25"/>
      <c r="G8" s="25"/>
      <c r="H8" s="25"/>
      <c r="I8" s="25"/>
      <c r="J8" s="25"/>
      <c r="K8" s="25"/>
      <c r="L8" s="25"/>
    </row>
    <row r="9" spans="1:93" ht="12.75" customHeight="1" x14ac:dyDescent="0.2">
      <c r="A9" s="20" t="s">
        <v>595</v>
      </c>
      <c r="B9" s="20"/>
      <c r="C9" s="20"/>
      <c r="D9" s="20"/>
      <c r="E9" s="20"/>
      <c r="F9" s="21" t="s">
        <v>629</v>
      </c>
      <c r="G9" s="21"/>
      <c r="H9" s="21"/>
      <c r="I9" s="21"/>
      <c r="J9" s="21"/>
      <c r="K9" s="21"/>
      <c r="L9" s="21"/>
    </row>
    <row r="10" spans="1:93" ht="12.75" customHeight="1" x14ac:dyDescent="0.2">
      <c r="A10" s="24"/>
      <c r="B10" s="24"/>
      <c r="C10" s="24"/>
      <c r="D10" s="24"/>
      <c r="E10" s="24"/>
      <c r="F10" s="25"/>
      <c r="G10" s="25"/>
      <c r="H10" s="25"/>
      <c r="I10" s="25"/>
      <c r="J10" s="25"/>
      <c r="K10" s="25"/>
      <c r="L10" s="25"/>
    </row>
    <row r="11" spans="1:93" ht="12.75" customHeight="1" x14ac:dyDescent="0.2">
      <c r="A11" s="20" t="s">
        <v>596</v>
      </c>
      <c r="B11" s="20"/>
      <c r="C11" s="20"/>
      <c r="D11" s="20"/>
      <c r="E11" s="20"/>
      <c r="F11" s="21" t="s">
        <v>731</v>
      </c>
      <c r="G11" s="21"/>
      <c r="H11" s="21"/>
      <c r="I11" s="21"/>
      <c r="J11" s="21"/>
      <c r="K11" s="21"/>
      <c r="L11" s="21"/>
    </row>
    <row r="12" spans="1:93" ht="12.75" customHeight="1" x14ac:dyDescent="0.2">
      <c r="A12" s="20" t="s">
        <v>597</v>
      </c>
      <c r="B12" s="20"/>
      <c r="C12" s="20"/>
      <c r="D12" s="20"/>
      <c r="E12" s="20"/>
      <c r="F12" s="21" t="s">
        <v>731</v>
      </c>
      <c r="G12" s="21"/>
      <c r="H12" s="21"/>
      <c r="I12" s="21"/>
      <c r="J12" s="21"/>
      <c r="K12" s="21"/>
      <c r="L12" s="21"/>
    </row>
    <row r="13" spans="1:93" ht="12.75" customHeight="1" x14ac:dyDescent="0.2">
      <c r="A13" s="19"/>
      <c r="B13" s="19"/>
      <c r="C13" s="19"/>
      <c r="D13" s="19"/>
      <c r="E13" s="19"/>
      <c r="F13" s="26"/>
      <c r="G13" s="26"/>
      <c r="H13" s="26"/>
      <c r="I13" s="26"/>
      <c r="J13" s="26"/>
      <c r="K13" s="26"/>
      <c r="L13" s="26"/>
    </row>
    <row r="14" spans="1:93" ht="12.75" customHeight="1" x14ac:dyDescent="0.2">
      <c r="A14" s="92" t="s">
        <v>5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</row>
    <row r="15" spans="1:93" ht="4.5" customHeight="1" x14ac:dyDescent="0.2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</row>
    <row r="16" spans="1:93" ht="14.25" customHeight="1" x14ac:dyDescent="0.2">
      <c r="A16" s="62" t="s">
        <v>598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  <row r="17" spans="1:92" ht="14.2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92" ht="15.75" x14ac:dyDescent="0.25">
      <c r="A18" s="95" t="str">
        <f>IF(Source!G12&lt;&gt;"Новый объект", Source!G12, "")</f>
        <v>Газопровод низкого давления к жилому дому,расположенному по адресу: Пензенская область,Лопатинский район,Старовершаутский сельсовет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CN18" s="16" t="str">
        <f>IF(Source!G12&lt;&gt;"Новый объект", Source!G12, "")</f>
        <v>Газопровод низкого давления к жилому дому,расположенному по адресу: Пензенская область,Лопатинский район,Старовершаутский сельсовет</v>
      </c>
    </row>
    <row r="19" spans="1:92" ht="14.25" customHeight="1" x14ac:dyDescent="0.2">
      <c r="A19" s="62" t="s">
        <v>599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</row>
    <row r="20" spans="1:92" ht="14.25" customHeight="1" x14ac:dyDescent="0.2">
      <c r="A20" s="14"/>
      <c r="B20" s="14"/>
      <c r="C20" s="14"/>
      <c r="D20" s="14"/>
      <c r="E20" s="14"/>
      <c r="F20" s="31"/>
      <c r="G20" s="31"/>
      <c r="H20" s="31"/>
      <c r="I20" s="31"/>
      <c r="J20" s="31"/>
      <c r="K20" s="31"/>
      <c r="L20" s="31"/>
    </row>
    <row r="21" spans="1:92" ht="15.75" customHeight="1" x14ac:dyDescent="0.2">
      <c r="A21" s="96" t="s">
        <v>732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</row>
    <row r="22" spans="1:92" ht="18" customHeight="1" x14ac:dyDescent="0.2">
      <c r="A22" s="61" t="str">
        <f>IF(Source!G20&lt;&gt;"Новая локальная смета", Source!G20, "")</f>
        <v>Газопровод  низкого давленияя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</row>
    <row r="23" spans="1:92" ht="14.25" customHeight="1" x14ac:dyDescent="0.2">
      <c r="A23" s="13" t="s">
        <v>600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92" ht="12.75" customHeight="1" x14ac:dyDescent="0.2">
      <c r="A24" s="14" t="s">
        <v>601</v>
      </c>
      <c r="B24" s="14"/>
      <c r="C24" s="27" t="s">
        <v>630</v>
      </c>
      <c r="D24" s="14" t="s">
        <v>602</v>
      </c>
      <c r="E24" s="14"/>
      <c r="F24" s="14"/>
      <c r="G24" s="14"/>
      <c r="H24" s="14"/>
      <c r="I24" s="14"/>
      <c r="J24" s="14"/>
      <c r="K24" s="14"/>
      <c r="L24" s="14"/>
    </row>
    <row r="25" spans="1:92" ht="12.75" customHeight="1" x14ac:dyDescent="0.2">
      <c r="A25" s="14"/>
      <c r="B25" s="14"/>
      <c r="C25" s="28"/>
      <c r="D25" s="14"/>
      <c r="E25" s="14"/>
      <c r="F25" s="14"/>
      <c r="G25" s="14"/>
      <c r="H25" s="14"/>
      <c r="I25" s="14"/>
      <c r="J25" s="14"/>
      <c r="K25" s="14"/>
      <c r="L25" s="14"/>
    </row>
    <row r="26" spans="1:92" ht="12.75" customHeight="1" x14ac:dyDescent="0.2">
      <c r="A26" s="14" t="s">
        <v>603</v>
      </c>
      <c r="B26" s="14"/>
      <c r="C26" s="29" t="s">
        <v>733</v>
      </c>
      <c r="D26" s="29"/>
      <c r="E26" s="29"/>
      <c r="F26" s="29"/>
      <c r="G26" s="29"/>
      <c r="H26" s="29"/>
      <c r="I26" s="29"/>
      <c r="J26" s="29"/>
      <c r="K26" s="29"/>
      <c r="L26" s="29"/>
    </row>
    <row r="27" spans="1:92" ht="12.75" customHeight="1" x14ac:dyDescent="0.2">
      <c r="A27" s="30"/>
      <c r="B27" s="31"/>
      <c r="C27" s="62" t="s">
        <v>604</v>
      </c>
      <c r="D27" s="62"/>
      <c r="E27" s="62"/>
      <c r="F27" s="62"/>
      <c r="G27" s="62"/>
      <c r="H27" s="62"/>
      <c r="I27" s="62"/>
      <c r="J27" s="62"/>
      <c r="K27" s="62"/>
      <c r="L27" s="62"/>
    </row>
    <row r="28" spans="1:92" ht="14.25" customHeight="1" x14ac:dyDescent="0.2">
      <c r="A28" s="32" t="s">
        <v>631</v>
      </c>
      <c r="B28" s="14"/>
      <c r="C28" s="14"/>
      <c r="D28" s="63"/>
      <c r="E28" s="14"/>
      <c r="F28" s="14"/>
      <c r="G28" s="14"/>
      <c r="H28" s="14"/>
      <c r="I28" s="14"/>
      <c r="J28" s="14"/>
      <c r="K28" s="14"/>
      <c r="L28" s="14"/>
    </row>
    <row r="29" spans="1:92" ht="14.25" customHeight="1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92" ht="14.25" customHeight="1" x14ac:dyDescent="0.2">
      <c r="A30" s="32" t="s">
        <v>605</v>
      </c>
      <c r="B30" s="14"/>
      <c r="C30" s="97">
        <f>C33+C34+C35+C36</f>
        <v>425.41999999999996</v>
      </c>
      <c r="D30" s="98"/>
      <c r="E30" s="32" t="s">
        <v>606</v>
      </c>
      <c r="F30" s="19"/>
      <c r="G30" s="19"/>
      <c r="H30" s="19"/>
      <c r="I30" s="19"/>
      <c r="J30" s="19"/>
      <c r="K30" s="19"/>
      <c r="L30" s="14"/>
    </row>
    <row r="31" spans="1:92" ht="14.25" customHeight="1" x14ac:dyDescent="0.2">
      <c r="A31" s="32"/>
      <c r="B31" s="14"/>
      <c r="C31" s="33"/>
      <c r="D31" s="34"/>
      <c r="E31" s="14"/>
      <c r="F31" s="19"/>
      <c r="G31" s="99" t="s">
        <v>607</v>
      </c>
      <c r="H31" s="99"/>
      <c r="I31" s="99"/>
      <c r="J31" s="99"/>
      <c r="K31" s="100">
        <f>ROUND(SUM(AR43:AR579)/1000, 2)</f>
        <v>46.6</v>
      </c>
      <c r="L31" s="99" t="s">
        <v>606</v>
      </c>
    </row>
    <row r="32" spans="1:92" ht="14.25" customHeight="1" x14ac:dyDescent="0.2">
      <c r="A32" s="14"/>
      <c r="B32" s="14" t="s">
        <v>608</v>
      </c>
      <c r="C32" s="35"/>
      <c r="D32" s="14"/>
      <c r="E32" s="14"/>
      <c r="F32" s="19"/>
      <c r="G32" s="99" t="s">
        <v>609</v>
      </c>
      <c r="H32" s="99"/>
      <c r="I32" s="99"/>
      <c r="J32" s="99"/>
      <c r="K32" s="100">
        <f>ROUND(SUM(AT43:AT579)/1000, 2)</f>
        <v>12.6</v>
      </c>
      <c r="L32" s="99" t="s">
        <v>606</v>
      </c>
    </row>
    <row r="33" spans="1:83" ht="14.25" customHeight="1" x14ac:dyDescent="0.2">
      <c r="A33" s="14"/>
      <c r="B33" s="99" t="s">
        <v>610</v>
      </c>
      <c r="C33" s="104">
        <f>ROUND((Source!F149)/1000, 2)</f>
        <v>394.08</v>
      </c>
      <c r="D33" s="105"/>
      <c r="E33" s="99" t="s">
        <v>606</v>
      </c>
      <c r="F33" s="19"/>
      <c r="G33" s="99" t="s">
        <v>611</v>
      </c>
      <c r="H33" s="99"/>
      <c r="I33" s="99"/>
      <c r="J33" s="101"/>
      <c r="K33" s="102">
        <f>Source!F154</f>
        <v>123.9438</v>
      </c>
      <c r="L33" s="99" t="s">
        <v>359</v>
      </c>
    </row>
    <row r="34" spans="1:83" ht="14.25" customHeight="1" x14ac:dyDescent="0.2">
      <c r="A34" s="14"/>
      <c r="B34" s="99" t="s">
        <v>612</v>
      </c>
      <c r="C34" s="104">
        <f>ROUND((Source!F150)/1000, 2)</f>
        <v>31.34</v>
      </c>
      <c r="D34" s="105"/>
      <c r="E34" s="99" t="s">
        <v>606</v>
      </c>
      <c r="F34" s="19"/>
      <c r="G34" s="99" t="s">
        <v>613</v>
      </c>
      <c r="H34" s="99"/>
      <c r="I34" s="99"/>
      <c r="J34" s="103"/>
      <c r="K34" s="102">
        <f>Source!F155</f>
        <v>26.642112399999998</v>
      </c>
      <c r="L34" s="99" t="s">
        <v>359</v>
      </c>
    </row>
    <row r="35" spans="1:83" ht="14.25" customHeight="1" x14ac:dyDescent="0.2">
      <c r="A35" s="14"/>
      <c r="B35" s="99" t="s">
        <v>614</v>
      </c>
      <c r="C35" s="104">
        <f>ROUND((Source!F141)/1000, 2)</f>
        <v>0</v>
      </c>
      <c r="D35" s="105"/>
      <c r="E35" s="99" t="s">
        <v>606</v>
      </c>
      <c r="F35" s="19"/>
      <c r="G35" s="14"/>
      <c r="H35" s="14"/>
      <c r="I35" s="14"/>
      <c r="J35" s="14"/>
      <c r="K35" s="19"/>
      <c r="L35" s="14"/>
    </row>
    <row r="36" spans="1:83" ht="14.25" customHeight="1" x14ac:dyDescent="0.2">
      <c r="A36" s="14"/>
      <c r="B36" s="99" t="s">
        <v>615</v>
      </c>
      <c r="C36" s="104">
        <f>ROUND((Source!F151)/1000, 2)</f>
        <v>0</v>
      </c>
      <c r="D36" s="105"/>
      <c r="E36" s="99" t="s">
        <v>606</v>
      </c>
      <c r="F36" s="19"/>
      <c r="G36" s="14"/>
      <c r="H36" s="14"/>
      <c r="I36" s="14"/>
      <c r="J36" s="14"/>
      <c r="K36" s="19"/>
      <c r="L36" s="14"/>
    </row>
    <row r="37" spans="1:83" ht="12.75" customHeight="1" x14ac:dyDescent="0.2">
      <c r="A37" s="36" t="s">
        <v>616</v>
      </c>
      <c r="B37" s="36" t="s">
        <v>617</v>
      </c>
      <c r="C37" s="36" t="s">
        <v>618</v>
      </c>
      <c r="D37" s="36" t="s">
        <v>619</v>
      </c>
      <c r="E37" s="37" t="s">
        <v>620</v>
      </c>
      <c r="F37" s="38"/>
      <c r="G37" s="39"/>
      <c r="H37" s="37" t="s">
        <v>621</v>
      </c>
      <c r="I37" s="38"/>
      <c r="J37" s="38"/>
      <c r="K37" s="38"/>
      <c r="L37" s="39"/>
    </row>
    <row r="38" spans="1:83" ht="12.75" customHeight="1" x14ac:dyDescent="0.2">
      <c r="A38" s="40"/>
      <c r="B38" s="40"/>
      <c r="C38" s="40"/>
      <c r="D38" s="40"/>
      <c r="E38" s="41"/>
      <c r="F38" s="42"/>
      <c r="G38" s="43"/>
      <c r="H38" s="41"/>
      <c r="I38" s="42"/>
      <c r="J38" s="42"/>
      <c r="K38" s="42"/>
      <c r="L38" s="43"/>
    </row>
    <row r="39" spans="1:83" ht="12.75" customHeight="1" x14ac:dyDescent="0.2">
      <c r="A39" s="40"/>
      <c r="B39" s="40"/>
      <c r="C39" s="40"/>
      <c r="D39" s="40"/>
      <c r="E39" s="41"/>
      <c r="F39" s="42"/>
      <c r="G39" s="43"/>
      <c r="H39" s="41"/>
      <c r="I39" s="42"/>
      <c r="J39" s="42"/>
      <c r="K39" s="42"/>
      <c r="L39" s="43"/>
    </row>
    <row r="40" spans="1:83" ht="12.75" customHeight="1" x14ac:dyDescent="0.2">
      <c r="A40" s="40"/>
      <c r="B40" s="40"/>
      <c r="C40" s="40"/>
      <c r="D40" s="40"/>
      <c r="E40" s="44"/>
      <c r="F40" s="45"/>
      <c r="G40" s="46"/>
      <c r="H40" s="44"/>
      <c r="I40" s="45"/>
      <c r="J40" s="45"/>
      <c r="K40" s="45"/>
      <c r="L40" s="46"/>
    </row>
    <row r="41" spans="1:83" ht="51" customHeight="1" x14ac:dyDescent="0.2">
      <c r="A41" s="47"/>
      <c r="B41" s="47"/>
      <c r="C41" s="47"/>
      <c r="D41" s="47"/>
      <c r="E41" s="48" t="s">
        <v>622</v>
      </c>
      <c r="F41" s="48" t="s">
        <v>623</v>
      </c>
      <c r="G41" s="49" t="s">
        <v>624</v>
      </c>
      <c r="H41" s="48" t="s">
        <v>625</v>
      </c>
      <c r="I41" s="48" t="s">
        <v>626</v>
      </c>
      <c r="J41" s="48" t="s">
        <v>627</v>
      </c>
      <c r="K41" s="48" t="s">
        <v>623</v>
      </c>
      <c r="L41" s="48" t="s">
        <v>628</v>
      </c>
    </row>
    <row r="42" spans="1:83" ht="14.25" customHeight="1" x14ac:dyDescent="0.2">
      <c r="A42" s="50">
        <v>1</v>
      </c>
      <c r="B42" s="50">
        <v>2</v>
      </c>
      <c r="C42" s="50">
        <v>3</v>
      </c>
      <c r="D42" s="50">
        <v>4</v>
      </c>
      <c r="E42" s="50">
        <v>5</v>
      </c>
      <c r="F42" s="50">
        <v>6</v>
      </c>
      <c r="G42" s="50">
        <v>7</v>
      </c>
      <c r="H42" s="50">
        <v>8</v>
      </c>
      <c r="I42" s="50">
        <v>9</v>
      </c>
      <c r="J42" s="50">
        <v>10</v>
      </c>
      <c r="K42" s="50">
        <v>11</v>
      </c>
      <c r="L42" s="50">
        <v>12</v>
      </c>
    </row>
    <row r="43" spans="1:83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83" x14ac:dyDescent="0.2">
      <c r="A44" s="65" t="s">
        <v>632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83" ht="51" x14ac:dyDescent="0.2">
      <c r="A45" s="66" t="s">
        <v>18</v>
      </c>
      <c r="B45" s="53" t="s">
        <v>633</v>
      </c>
      <c r="C45" s="53" t="str">
        <f>Source!G28</f>
        <v>Разработка грунта в траншеях экскаватором «обратная лопата» с ковшом вместимостью 0,5 (0,5-0,63) м3, в отвал группа грунтов: 2</v>
      </c>
      <c r="D45" s="67" t="str">
        <f>Source!H28</f>
        <v>1000 м3</v>
      </c>
      <c r="E45" s="68">
        <f>Source!K28</f>
        <v>0.26200000000000001</v>
      </c>
      <c r="F45" s="68"/>
      <c r="G45" s="68">
        <f>Source!I28</f>
        <v>0.26200000000000001</v>
      </c>
      <c r="H45" s="69"/>
      <c r="I45" s="67"/>
      <c r="J45" s="69"/>
      <c r="K45" s="67"/>
      <c r="L45" s="69"/>
    </row>
    <row r="46" spans="1:83" x14ac:dyDescent="0.2">
      <c r="A46" s="18"/>
      <c r="B46" s="18"/>
      <c r="C46" s="51" t="str">
        <f>"Объем: "&amp;Source!I28&amp;"=262/"&amp;"1000"</f>
        <v>Объем: 0,262=262/1000</v>
      </c>
      <c r="D46" s="18"/>
      <c r="E46" s="18"/>
      <c r="F46" s="18"/>
      <c r="G46" s="18"/>
      <c r="H46" s="18"/>
      <c r="I46" s="18"/>
      <c r="J46" s="18"/>
      <c r="K46" s="18"/>
      <c r="L46" s="18"/>
    </row>
    <row r="47" spans="1:83" x14ac:dyDescent="0.2">
      <c r="A47" s="70"/>
      <c r="B47" s="68">
        <v>2</v>
      </c>
      <c r="C47" s="70" t="s">
        <v>634</v>
      </c>
      <c r="D47" s="67"/>
      <c r="E47" s="71"/>
      <c r="F47" s="68"/>
      <c r="G47" s="68"/>
      <c r="H47" s="68"/>
      <c r="I47" s="68"/>
      <c r="J47" s="68"/>
      <c r="K47" s="68"/>
      <c r="L47" s="72">
        <f>SUM(L48:L50)-SUMIF(CE48:CE50, 1, L48:L50)</f>
        <v>9577.0800000000017</v>
      </c>
    </row>
    <row r="48" spans="1:83" x14ac:dyDescent="0.2">
      <c r="A48" s="70"/>
      <c r="B48" s="68"/>
      <c r="C48" s="70" t="s">
        <v>636</v>
      </c>
      <c r="D48" s="67" t="s">
        <v>359</v>
      </c>
      <c r="E48" s="71"/>
      <c r="F48" s="68"/>
      <c r="G48" s="68">
        <f>Source!V28</f>
        <v>6.681</v>
      </c>
      <c r="H48" s="68"/>
      <c r="I48" s="68"/>
      <c r="J48" s="68"/>
      <c r="K48" s="68"/>
      <c r="L48" s="72">
        <f>SUMIF(CE49:CE50, 1, L49:L50)</f>
        <v>3591.97</v>
      </c>
      <c r="CE48">
        <v>1</v>
      </c>
    </row>
    <row r="49" spans="1:83" ht="25.5" x14ac:dyDescent="0.2">
      <c r="A49" s="53"/>
      <c r="B49" s="53" t="s">
        <v>360</v>
      </c>
      <c r="C49" s="53" t="s">
        <v>362</v>
      </c>
      <c r="D49" s="67" t="s">
        <v>363</v>
      </c>
      <c r="E49" s="68">
        <v>25.5</v>
      </c>
      <c r="F49" s="68"/>
      <c r="G49" s="68">
        <f>SmtRes!CX2</f>
        <v>6.681</v>
      </c>
      <c r="H49" s="69">
        <f>SmtRes!CZ2</f>
        <v>1054.03</v>
      </c>
      <c r="I49" s="67">
        <f>SmtRes!AJ2</f>
        <v>1.36</v>
      </c>
      <c r="J49" s="69">
        <f>ROUND(H49*I49, 2)</f>
        <v>1433.48</v>
      </c>
      <c r="K49" s="67"/>
      <c r="L49" s="69">
        <f>SmtRes!DG2</f>
        <v>9577.08</v>
      </c>
    </row>
    <row r="50" spans="1:83" x14ac:dyDescent="0.2">
      <c r="A50" s="53"/>
      <c r="B50" s="53" t="s">
        <v>364</v>
      </c>
      <c r="C50" s="73" t="s">
        <v>635</v>
      </c>
      <c r="D50" s="74" t="s">
        <v>359</v>
      </c>
      <c r="E50" s="75">
        <f>SmtRes!DO2*SmtRes!AT2</f>
        <v>25.5</v>
      </c>
      <c r="F50" s="75"/>
      <c r="G50" s="75">
        <f>ROUND(E50*G45, 7)</f>
        <v>6.681</v>
      </c>
      <c r="H50" s="76"/>
      <c r="I50" s="74"/>
      <c r="J50" s="76">
        <f>ROUND(SmtRes!AG2/SmtRes!DO2, 2)</f>
        <v>537.64</v>
      </c>
      <c r="K50" s="74"/>
      <c r="L50" s="76">
        <f>SmtRes!DH2</f>
        <v>3591.97</v>
      </c>
      <c r="CE50">
        <v>1</v>
      </c>
    </row>
    <row r="51" spans="1:83" x14ac:dyDescent="0.2">
      <c r="A51" s="53"/>
      <c r="B51" s="53"/>
      <c r="C51" s="52" t="s">
        <v>269</v>
      </c>
      <c r="D51" s="67"/>
      <c r="E51" s="68"/>
      <c r="F51" s="68"/>
      <c r="G51" s="68"/>
      <c r="H51" s="69"/>
      <c r="I51" s="67"/>
      <c r="J51" s="69"/>
      <c r="K51" s="67"/>
      <c r="L51" s="69">
        <f>L47+L48</f>
        <v>13169.050000000001</v>
      </c>
    </row>
    <row r="52" spans="1:83" x14ac:dyDescent="0.2">
      <c r="A52" s="53"/>
      <c r="B52" s="53"/>
      <c r="C52" s="53" t="s">
        <v>637</v>
      </c>
      <c r="D52" s="67"/>
      <c r="E52" s="68"/>
      <c r="F52" s="68"/>
      <c r="G52" s="68"/>
      <c r="H52" s="69"/>
      <c r="I52" s="67"/>
      <c r="J52" s="69"/>
      <c r="K52" s="67"/>
      <c r="L52" s="69">
        <f>SUM(AR45:AR55)+SUM(AS45:AS55)+SUM(AT45:AT55)+SUM(AU45:AU55)+SUM(AV45:AV55)</f>
        <v>3591.97</v>
      </c>
    </row>
    <row r="53" spans="1:83" ht="25.5" x14ac:dyDescent="0.2">
      <c r="A53" s="53"/>
      <c r="B53" s="53" t="s">
        <v>26</v>
      </c>
      <c r="C53" s="53" t="s">
        <v>638</v>
      </c>
      <c r="D53" s="67" t="s">
        <v>199</v>
      </c>
      <c r="E53" s="68">
        <f>Source!BZ28</f>
        <v>92</v>
      </c>
      <c r="F53" s="68"/>
      <c r="G53" s="68">
        <f>Source!AT28</f>
        <v>92</v>
      </c>
      <c r="H53" s="69"/>
      <c r="I53" s="67"/>
      <c r="J53" s="69"/>
      <c r="K53" s="67"/>
      <c r="L53" s="69">
        <f>SUM(AZ45:AZ55)</f>
        <v>3304.61</v>
      </c>
    </row>
    <row r="54" spans="1:83" ht="25.5" x14ac:dyDescent="0.2">
      <c r="A54" s="73"/>
      <c r="B54" s="73" t="s">
        <v>27</v>
      </c>
      <c r="C54" s="73" t="s">
        <v>639</v>
      </c>
      <c r="D54" s="74" t="s">
        <v>199</v>
      </c>
      <c r="E54" s="75">
        <f>Source!CA28</f>
        <v>46</v>
      </c>
      <c r="F54" s="75"/>
      <c r="G54" s="75">
        <f>Source!AU28</f>
        <v>46</v>
      </c>
      <c r="H54" s="76"/>
      <c r="I54" s="74"/>
      <c r="J54" s="76"/>
      <c r="K54" s="74"/>
      <c r="L54" s="76">
        <f>SUM(BA45:BA55)</f>
        <v>1652.31</v>
      </c>
    </row>
    <row r="55" spans="1:83" x14ac:dyDescent="0.2">
      <c r="A55" s="18"/>
      <c r="B55" s="18"/>
      <c r="C55" s="77" t="s">
        <v>640</v>
      </c>
      <c r="D55" s="77"/>
      <c r="E55" s="77"/>
      <c r="F55" s="77"/>
      <c r="G55" s="77"/>
      <c r="H55" s="77"/>
      <c r="I55" s="78">
        <f>IF(E45&lt;&gt;0,K55/E45, 0)</f>
        <v>69183.091603053443</v>
      </c>
      <c r="J55" s="78"/>
      <c r="K55" s="78">
        <f>L47+L53+L54+L48</f>
        <v>18125.97</v>
      </c>
      <c r="L55" s="78"/>
      <c r="AD55">
        <f>ROUND((Source!AT28/100)*((ROUND(SUMIF(SmtRes!AQ1:'SmtRes'!AQ2,"=1",SmtRes!AD1:'SmtRes'!AD2)*Source!I28, 2)+ROUND(SUMIF(SmtRes!AQ1:'SmtRes'!AQ2,"=1",SmtRes!AC1:'SmtRes'!AC2)*Source!I28, 2))), 2)</f>
        <v>129.59</v>
      </c>
      <c r="AE55">
        <f>ROUND((Source!AU28/100)*((ROUND(SUMIF(SmtRes!AQ1:'SmtRes'!AQ2,"=1",SmtRes!AD1:'SmtRes'!AD2)*Source!I28, 2)+ROUND(SUMIF(SmtRes!AQ1:'SmtRes'!AQ2,"=1",SmtRes!AC1:'SmtRes'!AC2)*Source!I28, 2))), 2)</f>
        <v>64.8</v>
      </c>
      <c r="AN55" s="17">
        <f>L47+L53+L54+L48</f>
        <v>18125.97</v>
      </c>
      <c r="AO55" s="17">
        <f>L47</f>
        <v>9577.0800000000017</v>
      </c>
      <c r="AQ55" t="s">
        <v>641</v>
      </c>
      <c r="AR55">
        <f>0</f>
        <v>0</v>
      </c>
      <c r="AT55" s="17">
        <f>L48</f>
        <v>3591.97</v>
      </c>
      <c r="AV55" t="s">
        <v>641</v>
      </c>
      <c r="AW55">
        <f>0</f>
        <v>0</v>
      </c>
      <c r="AZ55">
        <f>Source!X28</f>
        <v>3304.61</v>
      </c>
      <c r="BA55">
        <f>Source!Y28</f>
        <v>1652.31</v>
      </c>
      <c r="CD55">
        <v>1</v>
      </c>
    </row>
    <row r="56" spans="1:83" ht="38.25" x14ac:dyDescent="0.2">
      <c r="A56" s="66" t="s">
        <v>28</v>
      </c>
      <c r="B56" s="53" t="s">
        <v>642</v>
      </c>
      <c r="C56" s="53" t="str">
        <f>Source!G29</f>
        <v>Добор  грунта вручную в траншеях глубиной до 2 м без креплений с откосами, группа грунтов: 2</v>
      </c>
      <c r="D56" s="67" t="str">
        <f>Source!H29</f>
        <v>100 м3</v>
      </c>
      <c r="E56" s="68">
        <f>Source!K29</f>
        <v>0.08</v>
      </c>
      <c r="F56" s="68"/>
      <c r="G56" s="68">
        <f>Source!I29</f>
        <v>0.08</v>
      </c>
      <c r="H56" s="69"/>
      <c r="I56" s="67"/>
      <c r="J56" s="69"/>
      <c r="K56" s="67"/>
      <c r="L56" s="69"/>
    </row>
    <row r="57" spans="1:83" x14ac:dyDescent="0.2">
      <c r="A57" s="18"/>
      <c r="B57" s="18"/>
      <c r="C57" s="51" t="str">
        <f>"Объем: "&amp;Source!I29&amp;"=8/"&amp;"100"</f>
        <v>Объем: 0,08=8/100</v>
      </c>
      <c r="D57" s="18"/>
      <c r="E57" s="18"/>
      <c r="F57" s="18"/>
      <c r="G57" s="18"/>
      <c r="H57" s="18"/>
      <c r="I57" s="18"/>
      <c r="J57" s="18"/>
      <c r="K57" s="18"/>
      <c r="L57" s="18"/>
    </row>
    <row r="58" spans="1:83" x14ac:dyDescent="0.2">
      <c r="A58" s="70"/>
      <c r="B58" s="68">
        <v>1</v>
      </c>
      <c r="C58" s="70" t="s">
        <v>643</v>
      </c>
      <c r="D58" s="67" t="s">
        <v>359</v>
      </c>
      <c r="E58" s="71"/>
      <c r="F58" s="68"/>
      <c r="G58" s="68">
        <f>Source!U29</f>
        <v>12.32</v>
      </c>
      <c r="H58" s="68"/>
      <c r="I58" s="68"/>
      <c r="J58" s="68"/>
      <c r="K58" s="68"/>
      <c r="L58" s="72">
        <f>SUM(L59:L59)-SUMIF(CE59:CE59, 1, L59:L59)</f>
        <v>4011.02</v>
      </c>
    </row>
    <row r="59" spans="1:83" x14ac:dyDescent="0.2">
      <c r="A59" s="53"/>
      <c r="B59" s="53" t="s">
        <v>365</v>
      </c>
      <c r="C59" s="73" t="s">
        <v>366</v>
      </c>
      <c r="D59" s="74" t="s">
        <v>359</v>
      </c>
      <c r="E59" s="75">
        <v>154</v>
      </c>
      <c r="F59" s="75"/>
      <c r="G59" s="75">
        <f>SmtRes!CX3</f>
        <v>12.32</v>
      </c>
      <c r="H59" s="76"/>
      <c r="I59" s="74"/>
      <c r="J59" s="76">
        <f>SmtRes!CZ3</f>
        <v>325.57</v>
      </c>
      <c r="K59" s="74"/>
      <c r="L59" s="76">
        <f>SmtRes!DI3</f>
        <v>4011.02</v>
      </c>
    </row>
    <row r="60" spans="1:83" x14ac:dyDescent="0.2">
      <c r="A60" s="53"/>
      <c r="B60" s="53"/>
      <c r="C60" s="52" t="s">
        <v>269</v>
      </c>
      <c r="D60" s="67"/>
      <c r="E60" s="68"/>
      <c r="F60" s="68"/>
      <c r="G60" s="68"/>
      <c r="H60" s="69"/>
      <c r="I60" s="67"/>
      <c r="J60" s="69"/>
      <c r="K60" s="67"/>
      <c r="L60" s="69">
        <f>L58</f>
        <v>4011.02</v>
      </c>
    </row>
    <row r="61" spans="1:83" x14ac:dyDescent="0.2">
      <c r="A61" s="53"/>
      <c r="B61" s="53"/>
      <c r="C61" s="53" t="s">
        <v>637</v>
      </c>
      <c r="D61" s="67"/>
      <c r="E61" s="68"/>
      <c r="F61" s="68"/>
      <c r="G61" s="68"/>
      <c r="H61" s="69"/>
      <c r="I61" s="67"/>
      <c r="J61" s="69"/>
      <c r="K61" s="67"/>
      <c r="L61" s="69">
        <f>SUM(AR56:AR64)+SUM(AS56:AS64)+SUM(AT56:AT64)+SUM(AU56:AU64)+SUM(AV56:AV64)</f>
        <v>4011.02</v>
      </c>
    </row>
    <row r="62" spans="1:83" ht="25.5" x14ac:dyDescent="0.2">
      <c r="A62" s="53"/>
      <c r="B62" s="53" t="s">
        <v>34</v>
      </c>
      <c r="C62" s="53" t="s">
        <v>644</v>
      </c>
      <c r="D62" s="67" t="s">
        <v>199</v>
      </c>
      <c r="E62" s="68">
        <f>Source!BZ29</f>
        <v>89</v>
      </c>
      <c r="F62" s="68"/>
      <c r="G62" s="68">
        <f>Source!AT29</f>
        <v>89</v>
      </c>
      <c r="H62" s="69"/>
      <c r="I62" s="67"/>
      <c r="J62" s="69"/>
      <c r="K62" s="67"/>
      <c r="L62" s="69">
        <f>SUM(AZ56:AZ64)</f>
        <v>3569.81</v>
      </c>
    </row>
    <row r="63" spans="1:83" ht="25.5" x14ac:dyDescent="0.2">
      <c r="A63" s="73"/>
      <c r="B63" s="73" t="s">
        <v>35</v>
      </c>
      <c r="C63" s="73" t="s">
        <v>645</v>
      </c>
      <c r="D63" s="74" t="s">
        <v>199</v>
      </c>
      <c r="E63" s="75">
        <f>Source!CA29</f>
        <v>40</v>
      </c>
      <c r="F63" s="75"/>
      <c r="G63" s="75">
        <f>Source!AU29</f>
        <v>40</v>
      </c>
      <c r="H63" s="76"/>
      <c r="I63" s="74"/>
      <c r="J63" s="76"/>
      <c r="K63" s="74"/>
      <c r="L63" s="76">
        <f>SUM(BA56:BA64)</f>
        <v>1604.41</v>
      </c>
    </row>
    <row r="64" spans="1:83" x14ac:dyDescent="0.2">
      <c r="A64" s="18"/>
      <c r="B64" s="18"/>
      <c r="C64" s="77" t="s">
        <v>640</v>
      </c>
      <c r="D64" s="77"/>
      <c r="E64" s="77"/>
      <c r="F64" s="77"/>
      <c r="G64" s="77"/>
      <c r="H64" s="77"/>
      <c r="I64" s="78">
        <f>IF(E56&lt;&gt;0,K64/E56, 0)</f>
        <v>114815.5</v>
      </c>
      <c r="J64" s="78"/>
      <c r="K64" s="78">
        <f>L58+L62+L63</f>
        <v>9185.24</v>
      </c>
      <c r="L64" s="78"/>
      <c r="AD64">
        <f>ROUND((Source!AT29/100)*((ROUND(SUMIF(SmtRes!AQ3:'SmtRes'!AQ3,"=1",SmtRes!AD3:'SmtRes'!AD3)*Source!I29, 2)+ROUND(SUMIF(SmtRes!AQ3:'SmtRes'!AQ3,"=1",SmtRes!AC3:'SmtRes'!AC3)*Source!I29, 2))), 2)</f>
        <v>23.18</v>
      </c>
      <c r="AE64">
        <f>ROUND((Source!AU29/100)*((ROUND(SUMIF(SmtRes!AQ3:'SmtRes'!AQ3,"=1",SmtRes!AD3:'SmtRes'!AD3)*Source!I29, 2)+ROUND(SUMIF(SmtRes!AQ3:'SmtRes'!AQ3,"=1",SmtRes!AC3:'SmtRes'!AC3)*Source!I29, 2))), 2)</f>
        <v>10.42</v>
      </c>
      <c r="AN64" s="17">
        <f>L58+L62+L63</f>
        <v>9185.24</v>
      </c>
      <c r="AO64">
        <f>0</f>
        <v>0</v>
      </c>
      <c r="AQ64" t="s">
        <v>641</v>
      </c>
      <c r="AR64" s="17">
        <f>L58</f>
        <v>4011.02</v>
      </c>
      <c r="AT64">
        <f>0</f>
        <v>0</v>
      </c>
      <c r="AV64" t="s">
        <v>641</v>
      </c>
      <c r="AW64">
        <f>0</f>
        <v>0</v>
      </c>
      <c r="AZ64">
        <f>Source!X29</f>
        <v>3569.81</v>
      </c>
      <c r="BA64">
        <f>Source!Y29</f>
        <v>1604.41</v>
      </c>
      <c r="CD64">
        <v>1</v>
      </c>
    </row>
    <row r="65" spans="1:83" ht="25.5" x14ac:dyDescent="0.2">
      <c r="A65" s="66" t="s">
        <v>36</v>
      </c>
      <c r="B65" s="53" t="s">
        <v>646</v>
      </c>
      <c r="C65" s="53" t="str">
        <f>Source!G30</f>
        <v>Устройство основания под трубопроводы: песчаного</v>
      </c>
      <c r="D65" s="67" t="str">
        <f>Source!H30</f>
        <v>10 м3</v>
      </c>
      <c r="E65" s="68">
        <f>Source!K30</f>
        <v>3.23</v>
      </c>
      <c r="F65" s="68"/>
      <c r="G65" s="68">
        <f>Source!I30</f>
        <v>3.23</v>
      </c>
      <c r="H65" s="69"/>
      <c r="I65" s="67"/>
      <c r="J65" s="69"/>
      <c r="K65" s="67"/>
      <c r="L65" s="69"/>
    </row>
    <row r="66" spans="1:83" x14ac:dyDescent="0.2">
      <c r="A66" s="18"/>
      <c r="B66" s="18"/>
      <c r="C66" s="51" t="str">
        <f>"Объем: "&amp;Source!I30&amp;"=32,3/"&amp;"10"</f>
        <v>Объем: 3,23=32,3/10</v>
      </c>
      <c r="D66" s="18"/>
      <c r="E66" s="18"/>
      <c r="F66" s="18"/>
      <c r="G66" s="18"/>
      <c r="H66" s="18"/>
      <c r="I66" s="18"/>
      <c r="J66" s="18"/>
      <c r="K66" s="18"/>
      <c r="L66" s="18"/>
    </row>
    <row r="67" spans="1:83" x14ac:dyDescent="0.2">
      <c r="A67" s="70"/>
      <c r="B67" s="68">
        <v>1</v>
      </c>
      <c r="C67" s="70" t="s">
        <v>643</v>
      </c>
      <c r="D67" s="67" t="s">
        <v>359</v>
      </c>
      <c r="E67" s="71"/>
      <c r="F67" s="68"/>
      <c r="G67" s="68">
        <f>Source!U30</f>
        <v>32.945999999999998</v>
      </c>
      <c r="H67" s="68"/>
      <c r="I67" s="68"/>
      <c r="J67" s="68"/>
      <c r="K67" s="68"/>
      <c r="L67" s="72">
        <f>SUM(L68:L68)-SUMIF(CE68:CE68, 1, L68:L68)</f>
        <v>11218.44</v>
      </c>
    </row>
    <row r="68" spans="1:83" x14ac:dyDescent="0.2">
      <c r="A68" s="53"/>
      <c r="B68" s="53" t="s">
        <v>367</v>
      </c>
      <c r="C68" s="53" t="s">
        <v>368</v>
      </c>
      <c r="D68" s="67" t="s">
        <v>359</v>
      </c>
      <c r="E68" s="68">
        <v>10.199999999999999</v>
      </c>
      <c r="F68" s="68"/>
      <c r="G68" s="68">
        <f>SmtRes!CX4</f>
        <v>32.945999999999998</v>
      </c>
      <c r="H68" s="69"/>
      <c r="I68" s="67"/>
      <c r="J68" s="69">
        <f>SmtRes!CZ4</f>
        <v>340.51</v>
      </c>
      <c r="K68" s="67"/>
      <c r="L68" s="69">
        <f>SmtRes!DI4</f>
        <v>11218.44</v>
      </c>
    </row>
    <row r="69" spans="1:83" x14ac:dyDescent="0.2">
      <c r="A69" s="70"/>
      <c r="B69" s="68">
        <v>2</v>
      </c>
      <c r="C69" s="70" t="s">
        <v>634</v>
      </c>
      <c r="D69" s="67"/>
      <c r="E69" s="71"/>
      <c r="F69" s="68"/>
      <c r="G69" s="68"/>
      <c r="H69" s="68"/>
      <c r="I69" s="68"/>
      <c r="J69" s="68"/>
      <c r="K69" s="68"/>
      <c r="L69" s="72">
        <f>SUM(L70:L72)-SUMIF(CE70:CE72, 1, L70:L72)</f>
        <v>1738.33</v>
      </c>
    </row>
    <row r="70" spans="1:83" x14ac:dyDescent="0.2">
      <c r="A70" s="70"/>
      <c r="B70" s="68"/>
      <c r="C70" s="70" t="s">
        <v>636</v>
      </c>
      <c r="D70" s="67" t="s">
        <v>359</v>
      </c>
      <c r="E70" s="71"/>
      <c r="F70" s="68"/>
      <c r="G70" s="68">
        <f>Source!V30</f>
        <v>1.0336000000000001</v>
      </c>
      <c r="H70" s="68"/>
      <c r="I70" s="68"/>
      <c r="J70" s="68"/>
      <c r="K70" s="68"/>
      <c r="L70" s="72">
        <f>SUMIF(CE71:CE72, 1, L71:L72)</f>
        <v>475.44</v>
      </c>
      <c r="CE70">
        <v>1</v>
      </c>
    </row>
    <row r="71" spans="1:83" ht="51" x14ac:dyDescent="0.2">
      <c r="A71" s="53"/>
      <c r="B71" s="53" t="s">
        <v>369</v>
      </c>
      <c r="C71" s="53" t="s">
        <v>371</v>
      </c>
      <c r="D71" s="67" t="s">
        <v>363</v>
      </c>
      <c r="E71" s="68">
        <v>0.32</v>
      </c>
      <c r="F71" s="68"/>
      <c r="G71" s="68">
        <f>SmtRes!CX6</f>
        <v>1.0336000000000001</v>
      </c>
      <c r="H71" s="69"/>
      <c r="I71" s="67"/>
      <c r="J71" s="69">
        <f>SmtRes!CZ6</f>
        <v>1681.82</v>
      </c>
      <c r="K71" s="67"/>
      <c r="L71" s="69">
        <f>SmtRes!DG6</f>
        <v>1738.33</v>
      </c>
    </row>
    <row r="72" spans="1:83" x14ac:dyDescent="0.2">
      <c r="A72" s="53"/>
      <c r="B72" s="53" t="s">
        <v>372</v>
      </c>
      <c r="C72" s="53" t="s">
        <v>647</v>
      </c>
      <c r="D72" s="67" t="s">
        <v>359</v>
      </c>
      <c r="E72" s="68">
        <f>SmtRes!DO6*SmtRes!AT6</f>
        <v>0.32</v>
      </c>
      <c r="F72" s="68"/>
      <c r="G72" s="68">
        <f>ROUND(E72*G65, 7)</f>
        <v>1.0336000000000001</v>
      </c>
      <c r="H72" s="69"/>
      <c r="I72" s="67"/>
      <c r="J72" s="69">
        <f>ROUND(SmtRes!AG6/SmtRes!DO6, 2)</f>
        <v>459.98</v>
      </c>
      <c r="K72" s="67"/>
      <c r="L72" s="69">
        <f>SmtRes!DH6</f>
        <v>475.44</v>
      </c>
      <c r="CE72">
        <v>1</v>
      </c>
    </row>
    <row r="73" spans="1:83" ht="25.5" x14ac:dyDescent="0.2">
      <c r="A73" s="53"/>
      <c r="B73" s="53" t="str">
        <f>EtalonRes!I7</f>
        <v>02.3.01.02</v>
      </c>
      <c r="C73" s="73" t="str">
        <f>EtalonRes!K7</f>
        <v>Песок для строительных работ природный</v>
      </c>
      <c r="D73" s="74" t="str">
        <f>EtalonRes!O7</f>
        <v>м3</v>
      </c>
      <c r="E73" s="75">
        <f>EtalonRes!X7</f>
        <v>11</v>
      </c>
      <c r="F73" s="75"/>
      <c r="G73" s="75">
        <f>ROUND(EtalonRes!AG7*Source!I30, 7)</f>
        <v>35.53</v>
      </c>
      <c r="H73" s="76"/>
      <c r="I73" s="74"/>
      <c r="J73" s="76"/>
      <c r="K73" s="74"/>
      <c r="L73" s="76"/>
    </row>
    <row r="74" spans="1:83" x14ac:dyDescent="0.2">
      <c r="A74" s="53"/>
      <c r="B74" s="53"/>
      <c r="C74" s="52" t="s">
        <v>269</v>
      </c>
      <c r="D74" s="67"/>
      <c r="E74" s="68"/>
      <c r="F74" s="68"/>
      <c r="G74" s="68"/>
      <c r="H74" s="69"/>
      <c r="I74" s="67"/>
      <c r="J74" s="69"/>
      <c r="K74" s="67"/>
      <c r="L74" s="69">
        <f>L67+L69+L70</f>
        <v>13432.210000000001</v>
      </c>
    </row>
    <row r="75" spans="1:83" ht="25.5" x14ac:dyDescent="0.2">
      <c r="A75" s="66" t="s">
        <v>648</v>
      </c>
      <c r="B75" s="53" t="str">
        <f>Source!F31</f>
        <v>02.3.01.02-1104</v>
      </c>
      <c r="C75" s="53" t="str">
        <f>Source!G31</f>
        <v>Песок природный для строительных работ I класс, средний</v>
      </c>
      <c r="D75" s="67" t="str">
        <f>Source!H31</f>
        <v>м3</v>
      </c>
      <c r="E75" s="68">
        <f>SmtRes!AT7</f>
        <v>10</v>
      </c>
      <c r="F75" s="68"/>
      <c r="G75" s="68">
        <f>Source!I31</f>
        <v>32.299999999999997</v>
      </c>
      <c r="H75" s="69">
        <f>Source!AL31+Source!AO31+Source!AM31+Source!AN31</f>
        <v>573.70000000000005</v>
      </c>
      <c r="I75" s="67">
        <f>IF(Source!BC31&lt;&gt; 0, Source!BC31, 1)</f>
        <v>3.57</v>
      </c>
      <c r="J75" s="69">
        <f>ROUND(H75*I75, 2)</f>
        <v>2048.11</v>
      </c>
      <c r="K75" s="67"/>
      <c r="L75" s="69">
        <f>Source!P31</f>
        <v>66153.95</v>
      </c>
      <c r="AD75">
        <f>ROUND((Source!AT31/100)*((ROUND(ROUND(Source!AO31,2)*Source!I31, 2)+ROUND(ROUND(Source!AN31,2)*Source!I31, 2))), 2)</f>
        <v>0</v>
      </c>
      <c r="AE75">
        <f>ROUND((Source!AU31/100)*((ROUND(ROUND(Source!AO31,2)*Source!I31, 2)+ROUND(ROUND(Source!AN31,2)*Source!I31, 2))), 2)</f>
        <v>0</v>
      </c>
      <c r="AN75">
        <f>L75</f>
        <v>66153.95</v>
      </c>
      <c r="AW75">
        <f>L75</f>
        <v>66153.95</v>
      </c>
      <c r="AZ75">
        <f>Source!X31</f>
        <v>0</v>
      </c>
      <c r="BA75">
        <f>Source!Y31</f>
        <v>0</v>
      </c>
      <c r="CD75">
        <v>1</v>
      </c>
    </row>
    <row r="76" spans="1:83" x14ac:dyDescent="0.2">
      <c r="A76" s="53"/>
      <c r="B76" s="53"/>
      <c r="C76" s="53" t="s">
        <v>637</v>
      </c>
      <c r="D76" s="67"/>
      <c r="E76" s="68"/>
      <c r="F76" s="68"/>
      <c r="G76" s="68"/>
      <c r="H76" s="69"/>
      <c r="I76" s="67"/>
      <c r="J76" s="69"/>
      <c r="K76" s="67"/>
      <c r="L76" s="69">
        <f>SUM(AR65:AR79)+SUM(AS65:AS79)+SUM(AT65:AT79)+SUM(AU65:AU79)+SUM(AV65:AV79)</f>
        <v>11693.880000000001</v>
      </c>
    </row>
    <row r="77" spans="1:83" ht="38.25" x14ac:dyDescent="0.2">
      <c r="A77" s="53"/>
      <c r="B77" s="53" t="s">
        <v>43</v>
      </c>
      <c r="C77" s="53" t="s">
        <v>649</v>
      </c>
      <c r="D77" s="67" t="s">
        <v>199</v>
      </c>
      <c r="E77" s="68">
        <f>Source!BZ30</f>
        <v>117</v>
      </c>
      <c r="F77" s="68"/>
      <c r="G77" s="68">
        <f>Source!AT30</f>
        <v>117</v>
      </c>
      <c r="H77" s="69"/>
      <c r="I77" s="67"/>
      <c r="J77" s="69"/>
      <c r="K77" s="67"/>
      <c r="L77" s="69">
        <f>SUM(AZ65:AZ79)</f>
        <v>13681.84</v>
      </c>
    </row>
    <row r="78" spans="1:83" ht="38.25" x14ac:dyDescent="0.2">
      <c r="A78" s="73"/>
      <c r="B78" s="73" t="s">
        <v>44</v>
      </c>
      <c r="C78" s="73" t="s">
        <v>650</v>
      </c>
      <c r="D78" s="74" t="s">
        <v>199</v>
      </c>
      <c r="E78" s="75">
        <f>Source!CA30</f>
        <v>74</v>
      </c>
      <c r="F78" s="75"/>
      <c r="G78" s="75">
        <f>Source!AU30</f>
        <v>74</v>
      </c>
      <c r="H78" s="76"/>
      <c r="I78" s="74"/>
      <c r="J78" s="76"/>
      <c r="K78" s="74"/>
      <c r="L78" s="76">
        <f>SUM(BA65:BA79)</f>
        <v>8653.4699999999993</v>
      </c>
    </row>
    <row r="79" spans="1:83" x14ac:dyDescent="0.2">
      <c r="A79" s="18"/>
      <c r="B79" s="18"/>
      <c r="C79" s="77" t="s">
        <v>640</v>
      </c>
      <c r="D79" s="77"/>
      <c r="E79" s="77"/>
      <c r="F79" s="77"/>
      <c r="G79" s="77"/>
      <c r="H79" s="77"/>
      <c r="I79" s="78">
        <f>IF(E65&lt;&gt;0,K79/E65, 0)</f>
        <v>31554.6346749226</v>
      </c>
      <c r="J79" s="78"/>
      <c r="K79" s="78">
        <f>L67+L69+L77+L78+L70+SUM(L75:L75)</f>
        <v>101921.47</v>
      </c>
      <c r="L79" s="78"/>
      <c r="AD79">
        <f>ROUND((Source!AT30/100)*((ROUND(SUMIF(SmtRes!AQ4:'SmtRes'!AQ7,"=1",SmtRes!AD4:'SmtRes'!AD7)*Source!I30, 2)+ROUND(SUMIF(SmtRes!AQ4:'SmtRes'!AQ7,"=1",SmtRes!AC4:'SmtRes'!AC7)*Source!I30, 2))), 2)</f>
        <v>3025.14</v>
      </c>
      <c r="AE79">
        <f>ROUND((Source!AU30/100)*((ROUND(SUMIF(SmtRes!AQ4:'SmtRes'!AQ7,"=1",SmtRes!AD4:'SmtRes'!AD7)*Source!I30, 2)+ROUND(SUMIF(SmtRes!AQ4:'SmtRes'!AQ7,"=1",SmtRes!AC4:'SmtRes'!AC7)*Source!I30, 2))), 2)</f>
        <v>1913.34</v>
      </c>
      <c r="AN79" s="17">
        <f>L67+L69+L77+L78+L70</f>
        <v>35767.520000000004</v>
      </c>
      <c r="AO79" s="17">
        <f>L69</f>
        <v>1738.33</v>
      </c>
      <c r="AQ79" t="s">
        <v>641</v>
      </c>
      <c r="AR79" s="17">
        <f>L67</f>
        <v>11218.44</v>
      </c>
      <c r="AT79" s="17">
        <f>L70</f>
        <v>475.44</v>
      </c>
      <c r="AV79" t="s">
        <v>641</v>
      </c>
      <c r="AW79">
        <f>0</f>
        <v>0</v>
      </c>
      <c r="AZ79">
        <f>Source!X30</f>
        <v>13681.84</v>
      </c>
      <c r="BA79">
        <f>Source!Y30</f>
        <v>8653.4699999999993</v>
      </c>
      <c r="CD79">
        <v>1</v>
      </c>
    </row>
    <row r="80" spans="1:83" ht="51" x14ac:dyDescent="0.2">
      <c r="A80" s="66" t="s">
        <v>50</v>
      </c>
      <c r="B80" s="53" t="s">
        <v>651</v>
      </c>
      <c r="C80" s="53" t="str">
        <f>Source!G32</f>
        <v>Засыпка траншей и котлованов с перемещением грунта до 5 м бульдозерами мощностью: 59 кВт (80 л.с.), группа грунтов 2</v>
      </c>
      <c r="D80" s="67" t="str">
        <f>Source!H32</f>
        <v>1000 м3</v>
      </c>
      <c r="E80" s="68">
        <f>Source!K32</f>
        <v>0.223</v>
      </c>
      <c r="F80" s="68"/>
      <c r="G80" s="68">
        <f>Source!I32</f>
        <v>0.223</v>
      </c>
      <c r="H80" s="69"/>
      <c r="I80" s="67"/>
      <c r="J80" s="69"/>
      <c r="K80" s="67"/>
      <c r="L80" s="69"/>
    </row>
    <row r="81" spans="1:83" x14ac:dyDescent="0.2">
      <c r="A81" s="18"/>
      <c r="B81" s="18"/>
      <c r="C81" s="51" t="str">
        <f>"Объем: "&amp;Source!I32&amp;"=223/"&amp;"1000"</f>
        <v>Объем: 0,223=223/1000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83" x14ac:dyDescent="0.2">
      <c r="A82" s="70"/>
      <c r="B82" s="68">
        <v>2</v>
      </c>
      <c r="C82" s="70" t="s">
        <v>634</v>
      </c>
      <c r="D82" s="67"/>
      <c r="E82" s="71"/>
      <c r="F82" s="68"/>
      <c r="G82" s="68"/>
      <c r="H82" s="68"/>
      <c r="I82" s="68"/>
      <c r="J82" s="68"/>
      <c r="K82" s="68"/>
      <c r="L82" s="72">
        <f>SUM(L83:L85)-SUMIF(CE83:CE85, 1, L83:L85)</f>
        <v>2098.8200000000002</v>
      </c>
    </row>
    <row r="83" spans="1:83" x14ac:dyDescent="0.2">
      <c r="A83" s="70"/>
      <c r="B83" s="68"/>
      <c r="C83" s="70" t="s">
        <v>636</v>
      </c>
      <c r="D83" s="67" t="s">
        <v>359</v>
      </c>
      <c r="E83" s="71"/>
      <c r="F83" s="68"/>
      <c r="G83" s="68">
        <f>Source!V32</f>
        <v>1.79738</v>
      </c>
      <c r="H83" s="68"/>
      <c r="I83" s="68"/>
      <c r="J83" s="68"/>
      <c r="K83" s="68"/>
      <c r="L83" s="72">
        <f>SUMIF(CE84:CE85, 1, L84:L85)</f>
        <v>826.76</v>
      </c>
      <c r="CE83">
        <v>1</v>
      </c>
    </row>
    <row r="84" spans="1:83" x14ac:dyDescent="0.2">
      <c r="A84" s="53"/>
      <c r="B84" s="53" t="s">
        <v>373</v>
      </c>
      <c r="C84" s="53" t="s">
        <v>375</v>
      </c>
      <c r="D84" s="67" t="s">
        <v>363</v>
      </c>
      <c r="E84" s="68">
        <v>8.06</v>
      </c>
      <c r="F84" s="68"/>
      <c r="G84" s="68">
        <f>SmtRes!CX9</f>
        <v>1.79738</v>
      </c>
      <c r="H84" s="69">
        <f>SmtRes!CZ9</f>
        <v>828.16</v>
      </c>
      <c r="I84" s="67">
        <f>SmtRes!AJ9</f>
        <v>1.41</v>
      </c>
      <c r="J84" s="69">
        <f>ROUND(H84*I84, 2)</f>
        <v>1167.71</v>
      </c>
      <c r="K84" s="67"/>
      <c r="L84" s="69">
        <f>SmtRes!DG9</f>
        <v>2098.8200000000002</v>
      </c>
    </row>
    <row r="85" spans="1:83" x14ac:dyDescent="0.2">
      <c r="A85" s="53"/>
      <c r="B85" s="53" t="s">
        <v>372</v>
      </c>
      <c r="C85" s="73" t="s">
        <v>647</v>
      </c>
      <c r="D85" s="74" t="s">
        <v>359</v>
      </c>
      <c r="E85" s="75">
        <f>SmtRes!DO9*SmtRes!AT9</f>
        <v>8.06</v>
      </c>
      <c r="F85" s="75"/>
      <c r="G85" s="75">
        <f>ROUND(E85*G80, 7)</f>
        <v>1.79738</v>
      </c>
      <c r="H85" s="76"/>
      <c r="I85" s="74"/>
      <c r="J85" s="76">
        <f>ROUND(SmtRes!AG9/SmtRes!DO9, 2)</f>
        <v>459.98</v>
      </c>
      <c r="K85" s="74"/>
      <c r="L85" s="76">
        <f>SmtRes!DH9</f>
        <v>826.76</v>
      </c>
      <c r="CE85">
        <v>1</v>
      </c>
    </row>
    <row r="86" spans="1:83" x14ac:dyDescent="0.2">
      <c r="A86" s="53"/>
      <c r="B86" s="53"/>
      <c r="C86" s="52" t="s">
        <v>269</v>
      </c>
      <c r="D86" s="67"/>
      <c r="E86" s="68"/>
      <c r="F86" s="68"/>
      <c r="G86" s="68"/>
      <c r="H86" s="69"/>
      <c r="I86" s="67"/>
      <c r="J86" s="69"/>
      <c r="K86" s="67"/>
      <c r="L86" s="69">
        <f>L82+L83</f>
        <v>2925.58</v>
      </c>
    </row>
    <row r="87" spans="1:83" x14ac:dyDescent="0.2">
      <c r="A87" s="53"/>
      <c r="B87" s="53"/>
      <c r="C87" s="53" t="s">
        <v>637</v>
      </c>
      <c r="D87" s="67"/>
      <c r="E87" s="68"/>
      <c r="F87" s="68"/>
      <c r="G87" s="68"/>
      <c r="H87" s="69"/>
      <c r="I87" s="67"/>
      <c r="J87" s="69"/>
      <c r="K87" s="67"/>
      <c r="L87" s="69">
        <f>SUM(AR80:AR90)+SUM(AS80:AS90)+SUM(AT80:AT90)+SUM(AU80:AU90)+SUM(AV80:AV90)</f>
        <v>826.76</v>
      </c>
    </row>
    <row r="88" spans="1:83" ht="25.5" x14ac:dyDescent="0.2">
      <c r="A88" s="53"/>
      <c r="B88" s="53" t="s">
        <v>26</v>
      </c>
      <c r="C88" s="53" t="s">
        <v>638</v>
      </c>
      <c r="D88" s="67" t="s">
        <v>199</v>
      </c>
      <c r="E88" s="68">
        <f>Source!BZ32</f>
        <v>92</v>
      </c>
      <c r="F88" s="68"/>
      <c r="G88" s="68">
        <f>Source!AT32</f>
        <v>92</v>
      </c>
      <c r="H88" s="69"/>
      <c r="I88" s="67"/>
      <c r="J88" s="69"/>
      <c r="K88" s="67"/>
      <c r="L88" s="69">
        <f>SUM(AZ80:AZ90)</f>
        <v>760.62</v>
      </c>
    </row>
    <row r="89" spans="1:83" ht="25.5" x14ac:dyDescent="0.2">
      <c r="A89" s="73"/>
      <c r="B89" s="73" t="s">
        <v>27</v>
      </c>
      <c r="C89" s="73" t="s">
        <v>639</v>
      </c>
      <c r="D89" s="74" t="s">
        <v>199</v>
      </c>
      <c r="E89" s="75">
        <f>Source!CA32</f>
        <v>46</v>
      </c>
      <c r="F89" s="75"/>
      <c r="G89" s="75">
        <f>Source!AU32</f>
        <v>46</v>
      </c>
      <c r="H89" s="76"/>
      <c r="I89" s="74"/>
      <c r="J89" s="76"/>
      <c r="K89" s="74"/>
      <c r="L89" s="76">
        <f>SUM(BA80:BA90)</f>
        <v>380.31</v>
      </c>
    </row>
    <row r="90" spans="1:83" x14ac:dyDescent="0.2">
      <c r="A90" s="18"/>
      <c r="B90" s="18"/>
      <c r="C90" s="77" t="s">
        <v>640</v>
      </c>
      <c r="D90" s="77"/>
      <c r="E90" s="77"/>
      <c r="F90" s="77"/>
      <c r="G90" s="77"/>
      <c r="H90" s="77"/>
      <c r="I90" s="78">
        <f>IF(E80&lt;&gt;0,K90/E80, 0)</f>
        <v>18235.470852017937</v>
      </c>
      <c r="J90" s="78"/>
      <c r="K90" s="78">
        <f>L82+L88+L89+L83</f>
        <v>4066.51</v>
      </c>
      <c r="L90" s="78"/>
      <c r="AD90">
        <f>ROUND((Source!AT32/100)*((ROUND(SUMIF(SmtRes!AQ8:'SmtRes'!AQ9,"=1",SmtRes!AD8:'SmtRes'!AD9)*Source!I32, 2)+ROUND(SUMIF(SmtRes!AQ8:'SmtRes'!AQ9,"=1",SmtRes!AC8:'SmtRes'!AC9)*Source!I32, 2))), 2)</f>
        <v>94.37</v>
      </c>
      <c r="AE90">
        <f>ROUND((Source!AU32/100)*((ROUND(SUMIF(SmtRes!AQ8:'SmtRes'!AQ9,"=1",SmtRes!AD8:'SmtRes'!AD9)*Source!I32, 2)+ROUND(SUMIF(SmtRes!AQ8:'SmtRes'!AQ9,"=1",SmtRes!AC8:'SmtRes'!AC9)*Source!I32, 2))), 2)</f>
        <v>47.19</v>
      </c>
      <c r="AN90" s="17">
        <f>L82+L88+L89+L83</f>
        <v>4066.51</v>
      </c>
      <c r="AO90" s="17">
        <f>L82</f>
        <v>2098.8200000000002</v>
      </c>
      <c r="AQ90" t="s">
        <v>641</v>
      </c>
      <c r="AR90">
        <f>0</f>
        <v>0</v>
      </c>
      <c r="AT90" s="17">
        <f>L83</f>
        <v>826.76</v>
      </c>
      <c r="AV90" t="s">
        <v>641</v>
      </c>
      <c r="AW90">
        <f>0</f>
        <v>0</v>
      </c>
      <c r="AZ90">
        <f>Source!X32</f>
        <v>760.62</v>
      </c>
      <c r="BA90">
        <f>Source!Y32</f>
        <v>380.31</v>
      </c>
      <c r="CD90">
        <v>1</v>
      </c>
    </row>
    <row r="91" spans="1:83" ht="25.5" x14ac:dyDescent="0.2">
      <c r="A91" s="66" t="s">
        <v>54</v>
      </c>
      <c r="B91" s="53" t="s">
        <v>652</v>
      </c>
      <c r="C91" s="53" t="str">
        <f>Source!G33</f>
        <v>Засыпка вручную траншей, пазух котлованов и ям, группа грунтов: 2</v>
      </c>
      <c r="D91" s="67" t="str">
        <f>Source!H33</f>
        <v>100 м3</v>
      </c>
      <c r="E91" s="68">
        <f>Source!K33</f>
        <v>7.0000000000000007E-2</v>
      </c>
      <c r="F91" s="68"/>
      <c r="G91" s="68">
        <f>Source!I33</f>
        <v>7.0000000000000007E-2</v>
      </c>
      <c r="H91" s="69"/>
      <c r="I91" s="67"/>
      <c r="J91" s="69"/>
      <c r="K91" s="67"/>
      <c r="L91" s="69"/>
    </row>
    <row r="92" spans="1:83" x14ac:dyDescent="0.2">
      <c r="A92" s="18"/>
      <c r="B92" s="18"/>
      <c r="C92" s="51" t="str">
        <f>"Объем: "&amp;Source!I33&amp;"=7/"&amp;"100"</f>
        <v>Объем: 0,07=7/100</v>
      </c>
      <c r="D92" s="18"/>
      <c r="E92" s="18"/>
      <c r="F92" s="18"/>
      <c r="G92" s="18"/>
      <c r="H92" s="18"/>
      <c r="I92" s="18"/>
      <c r="J92" s="18"/>
      <c r="K92" s="18"/>
      <c r="L92" s="18"/>
    </row>
    <row r="93" spans="1:83" x14ac:dyDescent="0.2">
      <c r="A93" s="70"/>
      <c r="B93" s="68">
        <v>1</v>
      </c>
      <c r="C93" s="70" t="s">
        <v>643</v>
      </c>
      <c r="D93" s="67" t="s">
        <v>359</v>
      </c>
      <c r="E93" s="71"/>
      <c r="F93" s="68"/>
      <c r="G93" s="68">
        <f>Source!U33</f>
        <v>6.8040000000000003</v>
      </c>
      <c r="H93" s="68"/>
      <c r="I93" s="68"/>
      <c r="J93" s="68"/>
      <c r="K93" s="68"/>
      <c r="L93" s="72">
        <f>SUM(L94:L94)-SUMIF(CE94:CE94, 1, L94:L94)</f>
        <v>2123.73</v>
      </c>
    </row>
    <row r="94" spans="1:83" x14ac:dyDescent="0.2">
      <c r="A94" s="53"/>
      <c r="B94" s="53" t="s">
        <v>376</v>
      </c>
      <c r="C94" s="73" t="s">
        <v>377</v>
      </c>
      <c r="D94" s="74" t="s">
        <v>359</v>
      </c>
      <c r="E94" s="75">
        <v>97.2</v>
      </c>
      <c r="F94" s="75"/>
      <c r="G94" s="75">
        <f>SmtRes!CX10</f>
        <v>6.8040000000000003</v>
      </c>
      <c r="H94" s="76"/>
      <c r="I94" s="74"/>
      <c r="J94" s="76">
        <f>SmtRes!CZ10</f>
        <v>312.13</v>
      </c>
      <c r="K94" s="74"/>
      <c r="L94" s="76">
        <f>SmtRes!DI10</f>
        <v>2123.73</v>
      </c>
    </row>
    <row r="95" spans="1:83" x14ac:dyDescent="0.2">
      <c r="A95" s="53"/>
      <c r="B95" s="53"/>
      <c r="C95" s="52" t="s">
        <v>269</v>
      </c>
      <c r="D95" s="67"/>
      <c r="E95" s="68"/>
      <c r="F95" s="68"/>
      <c r="G95" s="68"/>
      <c r="H95" s="69"/>
      <c r="I95" s="67"/>
      <c r="J95" s="69"/>
      <c r="K95" s="67"/>
      <c r="L95" s="69">
        <f>L93</f>
        <v>2123.73</v>
      </c>
    </row>
    <row r="96" spans="1:83" x14ac:dyDescent="0.2">
      <c r="A96" s="53"/>
      <c r="B96" s="53"/>
      <c r="C96" s="53" t="s">
        <v>637</v>
      </c>
      <c r="D96" s="67"/>
      <c r="E96" s="68"/>
      <c r="F96" s="68"/>
      <c r="G96" s="68"/>
      <c r="H96" s="69"/>
      <c r="I96" s="67"/>
      <c r="J96" s="69"/>
      <c r="K96" s="67"/>
      <c r="L96" s="69">
        <f>SUM(AR91:AR99)+SUM(AS91:AS99)+SUM(AT91:AT99)+SUM(AU91:AU99)+SUM(AV91:AV99)</f>
        <v>2123.73</v>
      </c>
    </row>
    <row r="97" spans="1:82" ht="25.5" x14ac:dyDescent="0.2">
      <c r="A97" s="53"/>
      <c r="B97" s="53" t="s">
        <v>34</v>
      </c>
      <c r="C97" s="53" t="s">
        <v>644</v>
      </c>
      <c r="D97" s="67" t="s">
        <v>199</v>
      </c>
      <c r="E97" s="68">
        <f>Source!BZ33</f>
        <v>89</v>
      </c>
      <c r="F97" s="68"/>
      <c r="G97" s="68">
        <f>Source!AT33</f>
        <v>89</v>
      </c>
      <c r="H97" s="69"/>
      <c r="I97" s="67"/>
      <c r="J97" s="69"/>
      <c r="K97" s="67"/>
      <c r="L97" s="69">
        <f>SUM(AZ91:AZ99)</f>
        <v>1890.12</v>
      </c>
    </row>
    <row r="98" spans="1:82" ht="25.5" x14ac:dyDescent="0.2">
      <c r="A98" s="73"/>
      <c r="B98" s="73" t="s">
        <v>35</v>
      </c>
      <c r="C98" s="73" t="s">
        <v>645</v>
      </c>
      <c r="D98" s="74" t="s">
        <v>199</v>
      </c>
      <c r="E98" s="75">
        <f>Source!CA33</f>
        <v>40</v>
      </c>
      <c r="F98" s="75"/>
      <c r="G98" s="75">
        <f>Source!AU33</f>
        <v>40</v>
      </c>
      <c r="H98" s="76"/>
      <c r="I98" s="74"/>
      <c r="J98" s="76"/>
      <c r="K98" s="74"/>
      <c r="L98" s="76">
        <f>SUM(BA91:BA99)</f>
        <v>849.49</v>
      </c>
    </row>
    <row r="99" spans="1:82" x14ac:dyDescent="0.2">
      <c r="A99" s="18"/>
      <c r="B99" s="18"/>
      <c r="C99" s="77" t="s">
        <v>640</v>
      </c>
      <c r="D99" s="77"/>
      <c r="E99" s="77"/>
      <c r="F99" s="77"/>
      <c r="G99" s="77"/>
      <c r="H99" s="77"/>
      <c r="I99" s="78">
        <f>IF(E91&lt;&gt;0,K99/E91, 0)</f>
        <v>69476.28571428571</v>
      </c>
      <c r="J99" s="78"/>
      <c r="K99" s="78">
        <f>L93+L97+L98</f>
        <v>4863.34</v>
      </c>
      <c r="L99" s="78"/>
      <c r="AD99">
        <f>ROUND((Source!AT33/100)*((ROUND(SUMIF(SmtRes!AQ10:'SmtRes'!AQ10,"=1",SmtRes!AD10:'SmtRes'!AD10)*Source!I33, 2)+ROUND(SUMIF(SmtRes!AQ10:'SmtRes'!AQ10,"=1",SmtRes!AC10:'SmtRes'!AC10)*Source!I33, 2))), 2)</f>
        <v>19.45</v>
      </c>
      <c r="AE99">
        <f>ROUND((Source!AU33/100)*((ROUND(SUMIF(SmtRes!AQ10:'SmtRes'!AQ10,"=1",SmtRes!AD10:'SmtRes'!AD10)*Source!I33, 2)+ROUND(SUMIF(SmtRes!AQ10:'SmtRes'!AQ10,"=1",SmtRes!AC10:'SmtRes'!AC10)*Source!I33, 2))), 2)</f>
        <v>8.74</v>
      </c>
      <c r="AN99" s="17">
        <f>L93+L97+L98</f>
        <v>4863.34</v>
      </c>
      <c r="AO99">
        <f>0</f>
        <v>0</v>
      </c>
      <c r="AQ99" t="s">
        <v>641</v>
      </c>
      <c r="AR99" s="17">
        <f>L93</f>
        <v>2123.73</v>
      </c>
      <c r="AT99">
        <f>0</f>
        <v>0</v>
      </c>
      <c r="AV99" t="s">
        <v>641</v>
      </c>
      <c r="AW99">
        <f>0</f>
        <v>0</v>
      </c>
      <c r="AZ99">
        <f>Source!X33</f>
        <v>1890.12</v>
      </c>
      <c r="BA99">
        <f>Source!Y33</f>
        <v>849.49</v>
      </c>
      <c r="CD99">
        <v>1</v>
      </c>
    </row>
    <row r="100" spans="1:82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</row>
    <row r="101" spans="1:82" x14ac:dyDescent="0.2">
      <c r="A101" s="79"/>
      <c r="B101" s="52"/>
      <c r="C101" s="65" t="s">
        <v>653</v>
      </c>
      <c r="D101" s="65"/>
      <c r="E101" s="65"/>
      <c r="F101" s="65"/>
      <c r="G101" s="65"/>
      <c r="H101" s="65"/>
      <c r="I101" s="72"/>
      <c r="J101" s="79"/>
      <c r="K101" s="80"/>
      <c r="L101" s="72">
        <f>L103+L104+L110+L114</f>
        <v>101815.54000000001</v>
      </c>
    </row>
    <row r="102" spans="1:82" x14ac:dyDescent="0.2">
      <c r="A102" s="81"/>
      <c r="B102" s="53"/>
      <c r="C102" s="82" t="s">
        <v>654</v>
      </c>
      <c r="D102" s="82"/>
      <c r="E102" s="82"/>
      <c r="F102" s="82"/>
      <c r="G102" s="82"/>
      <c r="H102" s="82"/>
      <c r="I102" s="69"/>
      <c r="J102" s="81"/>
      <c r="K102" s="68"/>
      <c r="L102" s="69"/>
    </row>
    <row r="103" spans="1:82" x14ac:dyDescent="0.2">
      <c r="A103" s="81"/>
      <c r="B103" s="53"/>
      <c r="C103" s="82" t="s">
        <v>655</v>
      </c>
      <c r="D103" s="82"/>
      <c r="E103" s="82"/>
      <c r="F103" s="82"/>
      <c r="G103" s="82"/>
      <c r="H103" s="82"/>
      <c r="I103" s="69"/>
      <c r="J103" s="81"/>
      <c r="K103" s="68"/>
      <c r="L103" s="69">
        <f>SUM(AR44:AR99)</f>
        <v>17353.190000000002</v>
      </c>
    </row>
    <row r="104" spans="1:82" hidden="1" x14ac:dyDescent="0.2">
      <c r="A104" s="81"/>
      <c r="B104" s="53"/>
      <c r="C104" s="82" t="s">
        <v>656</v>
      </c>
      <c r="D104" s="82"/>
      <c r="E104" s="82"/>
      <c r="F104" s="82"/>
      <c r="G104" s="82"/>
      <c r="H104" s="82"/>
      <c r="I104" s="69"/>
      <c r="J104" s="81"/>
      <c r="K104" s="68"/>
      <c r="L104" s="69">
        <f>L106+L109+L108</f>
        <v>18308.400000000001</v>
      </c>
    </row>
    <row r="105" spans="1:82" hidden="1" x14ac:dyDescent="0.2">
      <c r="A105" s="81"/>
      <c r="B105" s="53"/>
      <c r="C105" s="82" t="s">
        <v>657</v>
      </c>
      <c r="D105" s="82"/>
      <c r="E105" s="82"/>
      <c r="F105" s="82"/>
      <c r="G105" s="82"/>
      <c r="H105" s="82"/>
      <c r="I105" s="69"/>
      <c r="J105" s="81"/>
      <c r="K105" s="68"/>
      <c r="L105" s="69"/>
    </row>
    <row r="106" spans="1:82" x14ac:dyDescent="0.2">
      <c r="A106" s="81"/>
      <c r="B106" s="53"/>
      <c r="C106" s="82" t="s">
        <v>656</v>
      </c>
      <c r="D106" s="82"/>
      <c r="E106" s="82"/>
      <c r="F106" s="82"/>
      <c r="G106" s="82"/>
      <c r="H106" s="82"/>
      <c r="I106" s="69"/>
      <c r="J106" s="81"/>
      <c r="K106" s="68"/>
      <c r="L106" s="69">
        <f>SUM(AO44:AO99)</f>
        <v>13414.230000000001</v>
      </c>
    </row>
    <row r="107" spans="1:82" hidden="1" x14ac:dyDescent="0.2">
      <c r="A107" s="81"/>
      <c r="B107" s="53"/>
      <c r="C107" s="82" t="s">
        <v>658</v>
      </c>
      <c r="D107" s="82"/>
      <c r="E107" s="82"/>
      <c r="F107" s="82"/>
      <c r="G107" s="82"/>
      <c r="H107" s="82"/>
      <c r="I107" s="69"/>
      <c r="J107" s="81"/>
      <c r="K107" s="68"/>
      <c r="L107" s="69"/>
    </row>
    <row r="108" spans="1:82" x14ac:dyDescent="0.2">
      <c r="A108" s="81"/>
      <c r="B108" s="53"/>
      <c r="C108" s="82" t="s">
        <v>678</v>
      </c>
      <c r="D108" s="82"/>
      <c r="E108" s="82"/>
      <c r="F108" s="82"/>
      <c r="G108" s="82"/>
      <c r="H108" s="82"/>
      <c r="I108" s="69"/>
      <c r="J108" s="81"/>
      <c r="K108" s="68"/>
      <c r="L108" s="69">
        <f>SUM(AT44:AT99)</f>
        <v>4894.17</v>
      </c>
    </row>
    <row r="109" spans="1:82" hidden="1" x14ac:dyDescent="0.2">
      <c r="A109" s="81"/>
      <c r="B109" s="53"/>
      <c r="C109" s="82" t="s">
        <v>659</v>
      </c>
      <c r="D109" s="82"/>
      <c r="E109" s="82"/>
      <c r="F109" s="82"/>
      <c r="G109" s="82"/>
      <c r="H109" s="82"/>
      <c r="I109" s="69"/>
      <c r="J109" s="81"/>
      <c r="K109" s="68"/>
      <c r="L109" s="69">
        <f>SUM(AV44:AV99)</f>
        <v>0</v>
      </c>
    </row>
    <row r="110" spans="1:82" x14ac:dyDescent="0.2">
      <c r="A110" s="81"/>
      <c r="B110" s="53"/>
      <c r="C110" s="82" t="s">
        <v>660</v>
      </c>
      <c r="D110" s="82"/>
      <c r="E110" s="82"/>
      <c r="F110" s="82"/>
      <c r="G110" s="82"/>
      <c r="H110" s="82"/>
      <c r="I110" s="69"/>
      <c r="J110" s="81"/>
      <c r="K110" s="68"/>
      <c r="L110" s="69">
        <f>L112+L113</f>
        <v>66153.95</v>
      </c>
    </row>
    <row r="111" spans="1:82" x14ac:dyDescent="0.2">
      <c r="A111" s="81"/>
      <c r="B111" s="53"/>
      <c r="C111" s="82" t="s">
        <v>657</v>
      </c>
      <c r="D111" s="82"/>
      <c r="E111" s="82"/>
      <c r="F111" s="82"/>
      <c r="G111" s="82"/>
      <c r="H111" s="82"/>
      <c r="I111" s="69"/>
      <c r="J111" s="81"/>
      <c r="K111" s="68"/>
      <c r="L111" s="69"/>
    </row>
    <row r="112" spans="1:82" x14ac:dyDescent="0.2">
      <c r="A112" s="81"/>
      <c r="B112" s="53"/>
      <c r="C112" s="82" t="s">
        <v>661</v>
      </c>
      <c r="D112" s="82"/>
      <c r="E112" s="82"/>
      <c r="F112" s="82"/>
      <c r="G112" s="82"/>
      <c r="H112" s="82"/>
      <c r="I112" s="69"/>
      <c r="J112" s="81"/>
      <c r="K112" s="68"/>
      <c r="L112" s="69">
        <f>SUM(AW44:AW99)-SUM(BK44:BK99)</f>
        <v>66153.95</v>
      </c>
    </row>
    <row r="113" spans="1:12" hidden="1" x14ac:dyDescent="0.2">
      <c r="A113" s="81"/>
      <c r="B113" s="53"/>
      <c r="C113" s="82" t="s">
        <v>662</v>
      </c>
      <c r="D113" s="82"/>
      <c r="E113" s="82"/>
      <c r="F113" s="82"/>
      <c r="G113" s="82"/>
      <c r="H113" s="82"/>
      <c r="I113" s="69"/>
      <c r="J113" s="81"/>
      <c r="K113" s="68"/>
      <c r="L113" s="69">
        <f>SUM(BC44:BC99)</f>
        <v>0</v>
      </c>
    </row>
    <row r="114" spans="1:12" hidden="1" x14ac:dyDescent="0.2">
      <c r="A114" s="81"/>
      <c r="B114" s="53"/>
      <c r="C114" s="82" t="s">
        <v>663</v>
      </c>
      <c r="D114" s="82"/>
      <c r="E114" s="82"/>
      <c r="F114" s="82"/>
      <c r="G114" s="82"/>
      <c r="H114" s="82"/>
      <c r="I114" s="69"/>
      <c r="J114" s="81"/>
      <c r="K114" s="68"/>
      <c r="L114" s="69">
        <f>SUM(BB44:BB99)</f>
        <v>0</v>
      </c>
    </row>
    <row r="115" spans="1:12" x14ac:dyDescent="0.2">
      <c r="A115" s="81"/>
      <c r="B115" s="53"/>
      <c r="C115" s="82" t="s">
        <v>664</v>
      </c>
      <c r="D115" s="82"/>
      <c r="E115" s="82"/>
      <c r="F115" s="82"/>
      <c r="G115" s="82"/>
      <c r="H115" s="82"/>
      <c r="I115" s="69"/>
      <c r="J115" s="81"/>
      <c r="K115" s="68"/>
      <c r="L115" s="69">
        <f>SUM(AR44:AR99)+SUM(AT44:AT99)+SUM(AV44:AV99)</f>
        <v>22247.360000000001</v>
      </c>
    </row>
    <row r="116" spans="1:12" x14ac:dyDescent="0.2">
      <c r="A116" s="81"/>
      <c r="B116" s="53"/>
      <c r="C116" s="82" t="s">
        <v>665</v>
      </c>
      <c r="D116" s="82"/>
      <c r="E116" s="82"/>
      <c r="F116" s="82"/>
      <c r="G116" s="82"/>
      <c r="H116" s="82"/>
      <c r="I116" s="69"/>
      <c r="J116" s="81"/>
      <c r="K116" s="68"/>
      <c r="L116" s="69">
        <f>SUM(AZ44:AZ99)</f>
        <v>23207</v>
      </c>
    </row>
    <row r="117" spans="1:12" x14ac:dyDescent="0.2">
      <c r="A117" s="81"/>
      <c r="B117" s="53"/>
      <c r="C117" s="82" t="s">
        <v>666</v>
      </c>
      <c r="D117" s="82"/>
      <c r="E117" s="82"/>
      <c r="F117" s="82"/>
      <c r="G117" s="82"/>
      <c r="H117" s="82"/>
      <c r="I117" s="69"/>
      <c r="J117" s="81"/>
      <c r="K117" s="68"/>
      <c r="L117" s="69">
        <f>SUM(BA44:BA99)</f>
        <v>13139.989999999998</v>
      </c>
    </row>
    <row r="118" spans="1:12" hidden="1" x14ac:dyDescent="0.2">
      <c r="A118" s="81"/>
      <c r="B118" s="53"/>
      <c r="C118" s="82" t="s">
        <v>667</v>
      </c>
      <c r="D118" s="82"/>
      <c r="E118" s="82"/>
      <c r="F118" s="82"/>
      <c r="G118" s="82"/>
      <c r="H118" s="82"/>
      <c r="I118" s="69"/>
      <c r="J118" s="81"/>
      <c r="K118" s="68"/>
      <c r="L118" s="69">
        <f>L120+L121</f>
        <v>0</v>
      </c>
    </row>
    <row r="119" spans="1:12" hidden="1" x14ac:dyDescent="0.2">
      <c r="A119" s="81"/>
      <c r="B119" s="53"/>
      <c r="C119" s="82" t="s">
        <v>654</v>
      </c>
      <c r="D119" s="82"/>
      <c r="E119" s="82"/>
      <c r="F119" s="82"/>
      <c r="G119" s="82"/>
      <c r="H119" s="82"/>
      <c r="I119" s="69"/>
      <c r="J119" s="81"/>
      <c r="K119" s="68"/>
      <c r="L119" s="69"/>
    </row>
    <row r="120" spans="1:12" hidden="1" x14ac:dyDescent="0.2">
      <c r="A120" s="81"/>
      <c r="B120" s="53"/>
      <c r="C120" s="82" t="s">
        <v>668</v>
      </c>
      <c r="D120" s="82"/>
      <c r="E120" s="82"/>
      <c r="F120" s="82"/>
      <c r="G120" s="82"/>
      <c r="H120" s="82"/>
      <c r="I120" s="69"/>
      <c r="J120" s="81"/>
      <c r="K120" s="68"/>
      <c r="L120" s="69">
        <f>SUM(BK44:BK99)</f>
        <v>0</v>
      </c>
    </row>
    <row r="121" spans="1:12" hidden="1" x14ac:dyDescent="0.2">
      <c r="A121" s="81"/>
      <c r="B121" s="53"/>
      <c r="C121" s="82" t="s">
        <v>669</v>
      </c>
      <c r="D121" s="82"/>
      <c r="E121" s="82"/>
      <c r="F121" s="82"/>
      <c r="G121" s="82"/>
      <c r="H121" s="82"/>
      <c r="I121" s="69"/>
      <c r="J121" s="81"/>
      <c r="K121" s="68"/>
      <c r="L121" s="69">
        <f>SUM(BD44:BD99)</f>
        <v>0</v>
      </c>
    </row>
    <row r="122" spans="1:12" hidden="1" x14ac:dyDescent="0.2">
      <c r="A122" s="81"/>
      <c r="B122" s="53"/>
      <c r="C122" s="82" t="s">
        <v>670</v>
      </c>
      <c r="D122" s="82"/>
      <c r="E122" s="82"/>
      <c r="F122" s="82"/>
      <c r="G122" s="82"/>
      <c r="H122" s="82"/>
      <c r="I122" s="69"/>
      <c r="J122" s="81"/>
      <c r="K122" s="68"/>
      <c r="L122" s="69"/>
    </row>
    <row r="123" spans="1:12" hidden="1" x14ac:dyDescent="0.2">
      <c r="A123" s="81"/>
      <c r="B123" s="53"/>
      <c r="C123" s="82" t="s">
        <v>670</v>
      </c>
      <c r="D123" s="82"/>
      <c r="E123" s="82"/>
      <c r="F123" s="82"/>
      <c r="G123" s="82"/>
      <c r="H123" s="82"/>
      <c r="I123" s="69"/>
      <c r="J123" s="81"/>
      <c r="K123" s="68"/>
      <c r="L123" s="69">
        <f>SUM(BQ44:BQ99)</f>
        <v>0</v>
      </c>
    </row>
    <row r="124" spans="1:12" hidden="1" x14ac:dyDescent="0.2">
      <c r="A124" s="81"/>
      <c r="B124" s="53"/>
      <c r="C124" s="82" t="s">
        <v>671</v>
      </c>
      <c r="D124" s="82"/>
      <c r="E124" s="82"/>
      <c r="F124" s="82"/>
      <c r="G124" s="82"/>
      <c r="H124" s="82"/>
      <c r="I124" s="69"/>
      <c r="J124" s="81"/>
      <c r="K124" s="68"/>
      <c r="L124" s="69">
        <f>SUM(BO44:BO99)</f>
        <v>0</v>
      </c>
    </row>
    <row r="125" spans="1:12" x14ac:dyDescent="0.2">
      <c r="A125" s="79"/>
      <c r="B125" s="52"/>
      <c r="C125" s="65" t="s">
        <v>672</v>
      </c>
      <c r="D125" s="65"/>
      <c r="E125" s="65"/>
      <c r="F125" s="65"/>
      <c r="G125" s="65"/>
      <c r="H125" s="65"/>
      <c r="I125" s="72"/>
      <c r="J125" s="79"/>
      <c r="K125" s="80"/>
      <c r="L125" s="72">
        <f>L101+L116+L117+L118+L123+L124</f>
        <v>138162.53</v>
      </c>
    </row>
    <row r="126" spans="1:12" x14ac:dyDescent="0.2">
      <c r="A126" s="81"/>
      <c r="B126" s="53"/>
      <c r="C126" s="82" t="s">
        <v>673</v>
      </c>
      <c r="D126" s="82"/>
      <c r="E126" s="82"/>
      <c r="F126" s="82"/>
      <c r="G126" s="82"/>
      <c r="H126" s="82"/>
      <c r="I126" s="69"/>
      <c r="J126" s="81"/>
      <c r="K126" s="68"/>
      <c r="L126" s="69"/>
    </row>
    <row r="127" spans="1:12" hidden="1" x14ac:dyDescent="0.2">
      <c r="A127" s="81"/>
      <c r="B127" s="53"/>
      <c r="C127" s="82" t="s">
        <v>674</v>
      </c>
      <c r="D127" s="82"/>
      <c r="E127" s="82"/>
      <c r="F127" s="82"/>
      <c r="G127" s="82"/>
      <c r="H127" s="82"/>
      <c r="I127" s="69"/>
      <c r="J127" s="81"/>
      <c r="K127" s="68"/>
      <c r="L127" s="69">
        <f>SUM(AX44:AX99)</f>
        <v>0</v>
      </c>
    </row>
    <row r="128" spans="1:12" hidden="1" x14ac:dyDescent="0.2">
      <c r="A128" s="81"/>
      <c r="B128" s="53"/>
      <c r="C128" s="82" t="s">
        <v>675</v>
      </c>
      <c r="D128" s="82"/>
      <c r="E128" s="82"/>
      <c r="F128" s="82"/>
      <c r="G128" s="82"/>
      <c r="H128" s="82"/>
      <c r="I128" s="69"/>
      <c r="J128" s="81"/>
      <c r="K128" s="68"/>
      <c r="L128" s="69">
        <f>SUM(AY44:AY99)</f>
        <v>0</v>
      </c>
    </row>
    <row r="129" spans="1:83" x14ac:dyDescent="0.2">
      <c r="A129" s="81"/>
      <c r="B129" s="53"/>
      <c r="C129" s="82" t="s">
        <v>676</v>
      </c>
      <c r="D129" s="82"/>
      <c r="E129" s="82"/>
      <c r="F129" s="83"/>
      <c r="G129" s="71">
        <f>Source!F57</f>
        <v>52.07</v>
      </c>
      <c r="H129" s="81"/>
      <c r="I129" s="81"/>
      <c r="J129" s="81"/>
      <c r="K129" s="81"/>
      <c r="L129" s="81"/>
    </row>
    <row r="130" spans="1:83" x14ac:dyDescent="0.2">
      <c r="A130" s="81"/>
      <c r="B130" s="53"/>
      <c r="C130" s="82" t="s">
        <v>677</v>
      </c>
      <c r="D130" s="82"/>
      <c r="E130" s="82"/>
      <c r="F130" s="83"/>
      <c r="G130" s="71">
        <f>Source!F58</f>
        <v>9.5119799999999994</v>
      </c>
      <c r="H130" s="81"/>
      <c r="I130" s="81"/>
      <c r="J130" s="81"/>
      <c r="K130" s="81"/>
      <c r="L130" s="81"/>
    </row>
    <row r="131" spans="1:83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</row>
    <row r="132" spans="1:83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</row>
    <row r="133" spans="1:83" x14ac:dyDescent="0.2">
      <c r="A133" s="65" t="s">
        <v>679</v>
      </c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</row>
    <row r="134" spans="1:83" ht="51" x14ac:dyDescent="0.2">
      <c r="A134" s="66" t="s">
        <v>113</v>
      </c>
      <c r="B134" s="53" t="s">
        <v>680</v>
      </c>
      <c r="C134" s="53" t="str">
        <f>Source!G69</f>
        <v>Укладка полиэтиленовых труб газопроводов в траншею со стационарно установленного барабана, диаметр труб: до 63 мм</v>
      </c>
      <c r="D134" s="67" t="str">
        <f>Source!H69</f>
        <v>100 м</v>
      </c>
      <c r="E134" s="68">
        <f>Source!K69</f>
        <v>2.2000000000000002</v>
      </c>
      <c r="F134" s="68"/>
      <c r="G134" s="68">
        <f>Source!I69</f>
        <v>2.2000000000000002</v>
      </c>
      <c r="H134" s="69"/>
      <c r="I134" s="67"/>
      <c r="J134" s="69"/>
      <c r="K134" s="67"/>
      <c r="L134" s="69"/>
    </row>
    <row r="135" spans="1:83" x14ac:dyDescent="0.2">
      <c r="A135" s="18"/>
      <c r="B135" s="18"/>
      <c r="C135" s="51" t="str">
        <f>"Объем: "&amp;Source!I69&amp;"=220/"&amp;"100"</f>
        <v>Объем: 2,2=220/100</v>
      </c>
      <c r="D135" s="18"/>
      <c r="E135" s="18"/>
      <c r="F135" s="18"/>
      <c r="G135" s="18"/>
      <c r="H135" s="18"/>
      <c r="I135" s="18"/>
      <c r="J135" s="18"/>
      <c r="K135" s="18"/>
      <c r="L135" s="18"/>
    </row>
    <row r="136" spans="1:83" x14ac:dyDescent="0.2">
      <c r="A136" s="70"/>
      <c r="B136" s="68">
        <v>1</v>
      </c>
      <c r="C136" s="70" t="s">
        <v>643</v>
      </c>
      <c r="D136" s="67" t="s">
        <v>359</v>
      </c>
      <c r="E136" s="71"/>
      <c r="F136" s="68"/>
      <c r="G136" s="68">
        <f>Source!U69</f>
        <v>12.54</v>
      </c>
      <c r="H136" s="68"/>
      <c r="I136" s="68"/>
      <c r="J136" s="68"/>
      <c r="K136" s="68"/>
      <c r="L136" s="72">
        <f>SUM(L137:L137)-SUMIF(CE137:CE137, 1, L137:L137)</f>
        <v>5543.43</v>
      </c>
    </row>
    <row r="137" spans="1:83" x14ac:dyDescent="0.2">
      <c r="A137" s="53"/>
      <c r="B137" s="53" t="s">
        <v>378</v>
      </c>
      <c r="C137" s="53" t="s">
        <v>379</v>
      </c>
      <c r="D137" s="67" t="s">
        <v>359</v>
      </c>
      <c r="E137" s="68">
        <v>5.7</v>
      </c>
      <c r="F137" s="68"/>
      <c r="G137" s="68">
        <f>SmtRes!CX11</f>
        <v>12.54</v>
      </c>
      <c r="H137" s="69"/>
      <c r="I137" s="67"/>
      <c r="J137" s="69">
        <f>SmtRes!CZ11</f>
        <v>442.06</v>
      </c>
      <c r="K137" s="67"/>
      <c r="L137" s="69">
        <f>SmtRes!DI11</f>
        <v>5543.43</v>
      </c>
    </row>
    <row r="138" spans="1:83" x14ac:dyDescent="0.2">
      <c r="A138" s="70"/>
      <c r="B138" s="68">
        <v>2</v>
      </c>
      <c r="C138" s="70" t="s">
        <v>634</v>
      </c>
      <c r="D138" s="67"/>
      <c r="E138" s="71"/>
      <c r="F138" s="68"/>
      <c r="G138" s="68"/>
      <c r="H138" s="68"/>
      <c r="I138" s="68"/>
      <c r="J138" s="68"/>
      <c r="K138" s="68"/>
      <c r="L138" s="72">
        <f>SUM(L139:L141)-SUMIF(CE139:CE141, 1, L139:L141)</f>
        <v>982.14</v>
      </c>
    </row>
    <row r="139" spans="1:83" hidden="1" x14ac:dyDescent="0.2">
      <c r="A139" s="70"/>
      <c r="B139" s="68"/>
      <c r="C139" s="70" t="s">
        <v>636</v>
      </c>
      <c r="D139" s="67" t="s">
        <v>359</v>
      </c>
      <c r="E139" s="71"/>
      <c r="F139" s="68"/>
      <c r="G139" s="68">
        <f>Source!V69</f>
        <v>0</v>
      </c>
      <c r="H139" s="68"/>
      <c r="I139" s="68"/>
      <c r="J139" s="68"/>
      <c r="K139" s="68"/>
      <c r="L139" s="72">
        <f>SUMIF(CE140:CE141, 1, L140:L141)</f>
        <v>0</v>
      </c>
      <c r="CE139">
        <v>1</v>
      </c>
    </row>
    <row r="140" spans="1:83" ht="76.5" x14ac:dyDescent="0.2">
      <c r="A140" s="53"/>
      <c r="B140" s="53" t="s">
        <v>380</v>
      </c>
      <c r="C140" s="53" t="s">
        <v>382</v>
      </c>
      <c r="D140" s="67" t="s">
        <v>363</v>
      </c>
      <c r="E140" s="68">
        <v>0.9</v>
      </c>
      <c r="F140" s="68"/>
      <c r="G140" s="68">
        <f>SmtRes!CX12</f>
        <v>1.98</v>
      </c>
      <c r="H140" s="69">
        <f>SmtRes!CZ12</f>
        <v>345.9</v>
      </c>
      <c r="I140" s="67">
        <f>SmtRes!AJ12</f>
        <v>1.36</v>
      </c>
      <c r="J140" s="69">
        <f>ROUND(H140*I140, 2)</f>
        <v>470.42</v>
      </c>
      <c r="K140" s="67"/>
      <c r="L140" s="69">
        <f>SmtRes!DG12</f>
        <v>931.43</v>
      </c>
    </row>
    <row r="141" spans="1:83" ht="25.5" x14ac:dyDescent="0.2">
      <c r="A141" s="53"/>
      <c r="B141" s="53" t="s">
        <v>383</v>
      </c>
      <c r="C141" s="53" t="s">
        <v>385</v>
      </c>
      <c r="D141" s="67" t="s">
        <v>363</v>
      </c>
      <c r="E141" s="68">
        <v>0.48</v>
      </c>
      <c r="F141" s="68"/>
      <c r="G141" s="68">
        <f>SmtRes!CX13</f>
        <v>1.056</v>
      </c>
      <c r="H141" s="69">
        <f>SmtRes!CZ13</f>
        <v>27.13</v>
      </c>
      <c r="I141" s="67">
        <f>SmtRes!AJ13</f>
        <v>1.77</v>
      </c>
      <c r="J141" s="69">
        <f>ROUND(H141*I141, 2)</f>
        <v>48.02</v>
      </c>
      <c r="K141" s="67"/>
      <c r="L141" s="69">
        <f>SmtRes!DG13</f>
        <v>50.71</v>
      </c>
    </row>
    <row r="142" spans="1:83" hidden="1" x14ac:dyDescent="0.2">
      <c r="A142" s="70"/>
      <c r="B142" s="68">
        <v>4</v>
      </c>
      <c r="C142" s="70" t="s">
        <v>681</v>
      </c>
      <c r="D142" s="67"/>
      <c r="E142" s="71"/>
      <c r="F142" s="68"/>
      <c r="G142" s="68"/>
      <c r="H142" s="68"/>
      <c r="I142" s="68"/>
      <c r="J142" s="68"/>
      <c r="K142" s="68"/>
      <c r="L142" s="72">
        <f>0</f>
        <v>0</v>
      </c>
    </row>
    <row r="143" spans="1:83" x14ac:dyDescent="0.2">
      <c r="A143" s="53"/>
      <c r="B143" s="53" t="str">
        <f>EtalonRes!I14</f>
        <v>24.3.03.11</v>
      </c>
      <c r="C143" s="73" t="str">
        <f>EtalonRes!K14</f>
        <v>Трубы полиэтиленовые для газопроводов</v>
      </c>
      <c r="D143" s="74" t="str">
        <f>EtalonRes!O14</f>
        <v>м</v>
      </c>
      <c r="E143" s="75">
        <f>EtalonRes!X14</f>
        <v>100</v>
      </c>
      <c r="F143" s="75"/>
      <c r="G143" s="75">
        <f>ROUND(EtalonRes!AG14*Source!I69, 7)</f>
        <v>220</v>
      </c>
      <c r="H143" s="76"/>
      <c r="I143" s="74"/>
      <c r="J143" s="76"/>
      <c r="K143" s="74"/>
      <c r="L143" s="76"/>
    </row>
    <row r="144" spans="1:83" x14ac:dyDescent="0.2">
      <c r="A144" s="53"/>
      <c r="B144" s="53"/>
      <c r="C144" s="52" t="s">
        <v>269</v>
      </c>
      <c r="D144" s="67"/>
      <c r="E144" s="68"/>
      <c r="F144" s="68"/>
      <c r="G144" s="68"/>
      <c r="H144" s="69"/>
      <c r="I144" s="67"/>
      <c r="J144" s="69"/>
      <c r="K144" s="67"/>
      <c r="L144" s="69">
        <f>L136+L138+L139+L142</f>
        <v>6525.5700000000006</v>
      </c>
    </row>
    <row r="145" spans="1:83" x14ac:dyDescent="0.2">
      <c r="A145" s="53"/>
      <c r="B145" s="53"/>
      <c r="C145" s="53" t="s">
        <v>637</v>
      </c>
      <c r="D145" s="67"/>
      <c r="E145" s="68"/>
      <c r="F145" s="68"/>
      <c r="G145" s="68"/>
      <c r="H145" s="69"/>
      <c r="I145" s="67"/>
      <c r="J145" s="69"/>
      <c r="K145" s="67"/>
      <c r="L145" s="69">
        <f>SUM(AR134:AR148)+SUM(AS134:AS148)+SUM(AT134:AT148)+SUM(AU134:AU148)+SUM(AV134:AV148)</f>
        <v>5543.43</v>
      </c>
    </row>
    <row r="146" spans="1:83" ht="38.25" x14ac:dyDescent="0.2">
      <c r="A146" s="53"/>
      <c r="B146" s="53" t="s">
        <v>43</v>
      </c>
      <c r="C146" s="53" t="s">
        <v>649</v>
      </c>
      <c r="D146" s="67" t="s">
        <v>199</v>
      </c>
      <c r="E146" s="68">
        <f>Source!BZ69</f>
        <v>117</v>
      </c>
      <c r="F146" s="68"/>
      <c r="G146" s="68">
        <f>Source!AT69</f>
        <v>117</v>
      </c>
      <c r="H146" s="69"/>
      <c r="I146" s="67"/>
      <c r="J146" s="69"/>
      <c r="K146" s="67"/>
      <c r="L146" s="69">
        <f>SUM(AZ134:AZ148)</f>
        <v>6485.81</v>
      </c>
    </row>
    <row r="147" spans="1:83" ht="38.25" x14ac:dyDescent="0.2">
      <c r="A147" s="73"/>
      <c r="B147" s="73" t="s">
        <v>44</v>
      </c>
      <c r="C147" s="73" t="s">
        <v>650</v>
      </c>
      <c r="D147" s="74" t="s">
        <v>199</v>
      </c>
      <c r="E147" s="75">
        <f>Source!CA69</f>
        <v>74</v>
      </c>
      <c r="F147" s="75"/>
      <c r="G147" s="75">
        <f>Source!AU69</f>
        <v>74</v>
      </c>
      <c r="H147" s="76"/>
      <c r="I147" s="74"/>
      <c r="J147" s="76"/>
      <c r="K147" s="74"/>
      <c r="L147" s="76">
        <f>SUM(BA134:BA148)</f>
        <v>4102.1400000000003</v>
      </c>
    </row>
    <row r="148" spans="1:83" x14ac:dyDescent="0.2">
      <c r="A148" s="18"/>
      <c r="B148" s="18"/>
      <c r="C148" s="77" t="s">
        <v>640</v>
      </c>
      <c r="D148" s="77"/>
      <c r="E148" s="77"/>
      <c r="F148" s="77"/>
      <c r="G148" s="77"/>
      <c r="H148" s="77"/>
      <c r="I148" s="78">
        <f>IF(E134&lt;&gt;0,K148/E134, 0)</f>
        <v>7778.8727272727265</v>
      </c>
      <c r="J148" s="78"/>
      <c r="K148" s="78">
        <f>L136+L138+L142+L146+L147+L139</f>
        <v>17113.52</v>
      </c>
      <c r="L148" s="78"/>
      <c r="AD148">
        <f>ROUND((Source!AT69/100)*((ROUND(SUMIF(SmtRes!AQ11:'SmtRes'!AQ14,"=1",SmtRes!AD11:'SmtRes'!AD14)*Source!I69, 2)+ROUND(SUMIF(SmtRes!AQ11:'SmtRes'!AQ14,"=1",SmtRes!AC11:'SmtRes'!AC14)*Source!I69, 2))), 2)</f>
        <v>1137.8599999999999</v>
      </c>
      <c r="AE148">
        <f>ROUND((Source!AU69/100)*((ROUND(SUMIF(SmtRes!AQ11:'SmtRes'!AQ14,"=1",SmtRes!AD11:'SmtRes'!AD14)*Source!I69, 2)+ROUND(SUMIF(SmtRes!AQ11:'SmtRes'!AQ14,"=1",SmtRes!AC11:'SmtRes'!AC14)*Source!I69, 2))), 2)</f>
        <v>719.67</v>
      </c>
      <c r="AN148" s="17">
        <f>L136+L138+L142+L146+L147+L139</f>
        <v>17113.52</v>
      </c>
      <c r="AO148" s="17">
        <f>L138</f>
        <v>982.14</v>
      </c>
      <c r="AQ148" t="s">
        <v>641</v>
      </c>
      <c r="AR148" s="17">
        <f>L136</f>
        <v>5543.43</v>
      </c>
      <c r="AT148" s="17">
        <f>L139</f>
        <v>0</v>
      </c>
      <c r="AV148" t="s">
        <v>641</v>
      </c>
      <c r="AW148" s="17">
        <f>L142</f>
        <v>0</v>
      </c>
      <c r="AZ148">
        <f>Source!X69</f>
        <v>6485.81</v>
      </c>
      <c r="BA148">
        <f>Source!Y69</f>
        <v>4102.1400000000003</v>
      </c>
      <c r="CD148">
        <v>1</v>
      </c>
    </row>
    <row r="149" spans="1:83" ht="76.5" x14ac:dyDescent="0.2">
      <c r="A149" s="84" t="s">
        <v>119</v>
      </c>
      <c r="B149" s="73" t="str">
        <f>Source!F70</f>
        <v>24.3.03.11-0071</v>
      </c>
      <c r="C149" s="73" t="str">
        <f>Source!G70</f>
        <v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v>
      </c>
      <c r="D149" s="74" t="str">
        <f>Source!H70</f>
        <v>м</v>
      </c>
      <c r="E149" s="75">
        <f>Source!K70</f>
        <v>220</v>
      </c>
      <c r="F149" s="75"/>
      <c r="G149" s="75">
        <f>Source!I70</f>
        <v>220</v>
      </c>
      <c r="H149" s="76"/>
      <c r="I149" s="74"/>
      <c r="J149" s="76">
        <f>Source!AL70</f>
        <v>445.96</v>
      </c>
      <c r="K149" s="74"/>
      <c r="L149" s="76">
        <f>Source!P70</f>
        <v>98111.2</v>
      </c>
    </row>
    <row r="150" spans="1:83" x14ac:dyDescent="0.2">
      <c r="A150" s="18"/>
      <c r="B150" s="18"/>
      <c r="C150" s="77" t="s">
        <v>640</v>
      </c>
      <c r="D150" s="77"/>
      <c r="E150" s="77"/>
      <c r="F150" s="77"/>
      <c r="G150" s="77"/>
      <c r="H150" s="77"/>
      <c r="I150" s="78">
        <f>IF(E149&lt;&gt;0,K150/E149, 0)</f>
        <v>445.96</v>
      </c>
      <c r="J150" s="78"/>
      <c r="K150" s="78">
        <f>L149</f>
        <v>98111.2</v>
      </c>
      <c r="L150" s="78"/>
      <c r="AD150">
        <f>ROUND((Source!AT70/100)*((ROUND(ROUND(Source!AO70,2)*Source!I70, 2)+ROUND(ROUND(Source!AN70,2)*Source!I70, 2))), 2)</f>
        <v>0</v>
      </c>
      <c r="AE150">
        <f>ROUND((Source!AU70/100)*((ROUND(ROUND(Source!AO70,2)*Source!I70, 2)+ROUND(ROUND(Source!AN70,2)*Source!I70, 2))), 2)</f>
        <v>0</v>
      </c>
      <c r="AN150" s="17">
        <f>L149</f>
        <v>98111.2</v>
      </c>
      <c r="AO150">
        <f>0</f>
        <v>0</v>
      </c>
      <c r="AQ150" t="s">
        <v>641</v>
      </c>
      <c r="AR150">
        <f>0</f>
        <v>0</v>
      </c>
      <c r="AT150">
        <f>0</f>
        <v>0</v>
      </c>
      <c r="AV150" t="s">
        <v>641</v>
      </c>
      <c r="AW150" s="17">
        <f>L149</f>
        <v>98111.2</v>
      </c>
      <c r="AZ150">
        <f>Source!X70</f>
        <v>0</v>
      </c>
      <c r="BA150">
        <f>Source!Y70</f>
        <v>0</v>
      </c>
      <c r="CD150">
        <v>1</v>
      </c>
    </row>
    <row r="151" spans="1:83" ht="51" x14ac:dyDescent="0.2">
      <c r="A151" s="84" t="s">
        <v>127</v>
      </c>
      <c r="B151" s="73" t="str">
        <f>Source!F71</f>
        <v>24.3.05.02-0133</v>
      </c>
      <c r="C151" s="73" t="str">
        <f>Source!G71</f>
        <v>Заглушка полиэтиленовая электросварная для газо- и водоснабжения, ПЭ100, стандартное размерное отношение SDR11, диаметр 63 мм</v>
      </c>
      <c r="D151" s="74" t="str">
        <f>Source!H71</f>
        <v>ШТ</v>
      </c>
      <c r="E151" s="75">
        <f>Source!K71</f>
        <v>1</v>
      </c>
      <c r="F151" s="75"/>
      <c r="G151" s="75">
        <f>Source!I71</f>
        <v>1</v>
      </c>
      <c r="H151" s="76">
        <f>Source!AL71</f>
        <v>1027.46</v>
      </c>
      <c r="I151" s="74">
        <f>IF(Source!BC71&lt;&gt; 0, Source!BC71, 1)</f>
        <v>1.03</v>
      </c>
      <c r="J151" s="76">
        <f>ROUND(H151*I151, 2)</f>
        <v>1058.28</v>
      </c>
      <c r="K151" s="74"/>
      <c r="L151" s="76">
        <f>Source!P71</f>
        <v>1058.28</v>
      </c>
    </row>
    <row r="152" spans="1:83" x14ac:dyDescent="0.2">
      <c r="A152" s="18"/>
      <c r="B152" s="18"/>
      <c r="C152" s="77" t="s">
        <v>640</v>
      </c>
      <c r="D152" s="77"/>
      <c r="E152" s="77"/>
      <c r="F152" s="77"/>
      <c r="G152" s="77"/>
      <c r="H152" s="77"/>
      <c r="I152" s="78">
        <f>IF(E151&lt;&gt;0,K152/E151, 0)</f>
        <v>1058.28</v>
      </c>
      <c r="J152" s="78"/>
      <c r="K152" s="78">
        <f>L151</f>
        <v>1058.28</v>
      </c>
      <c r="L152" s="78"/>
      <c r="AD152">
        <f>ROUND((Source!AT71/100)*((ROUND(ROUND(Source!AO71,2)*Source!I71, 2)+ROUND(ROUND(Source!AN71,2)*Source!I71, 2))), 2)</f>
        <v>0</v>
      </c>
      <c r="AE152">
        <f>ROUND((Source!AU71/100)*((ROUND(ROUND(Source!AO71,2)*Source!I71, 2)+ROUND(ROUND(Source!AN71,2)*Source!I71, 2))), 2)</f>
        <v>0</v>
      </c>
      <c r="AN152" s="17">
        <f>L151</f>
        <v>1058.28</v>
      </c>
      <c r="AO152">
        <f>0</f>
        <v>0</v>
      </c>
      <c r="AQ152" t="s">
        <v>641</v>
      </c>
      <c r="AR152">
        <f>0</f>
        <v>0</v>
      </c>
      <c r="AT152">
        <f>0</f>
        <v>0</v>
      </c>
      <c r="AV152" t="s">
        <v>641</v>
      </c>
      <c r="AW152" s="17">
        <f>L151</f>
        <v>1058.28</v>
      </c>
      <c r="AZ152">
        <f>Source!X71</f>
        <v>0</v>
      </c>
      <c r="BA152">
        <f>Source!Y71</f>
        <v>0</v>
      </c>
      <c r="CD152">
        <v>1</v>
      </c>
    </row>
    <row r="153" spans="1:83" ht="25.5" x14ac:dyDescent="0.2">
      <c r="A153" s="66" t="s">
        <v>132</v>
      </c>
      <c r="B153" s="53" t="s">
        <v>682</v>
      </c>
      <c r="C153" s="53" t="str">
        <f>Source!G72</f>
        <v>Надземная прокладка стальных газопроводов, диаметр газопровода: 50 мм</v>
      </c>
      <c r="D153" s="67" t="str">
        <f>Source!H72</f>
        <v>100 м</v>
      </c>
      <c r="E153" s="68">
        <f>Source!K72</f>
        <v>0.17</v>
      </c>
      <c r="F153" s="68"/>
      <c r="G153" s="68">
        <f>Source!I72</f>
        <v>0.17</v>
      </c>
      <c r="H153" s="69"/>
      <c r="I153" s="67"/>
      <c r="J153" s="69"/>
      <c r="K153" s="67"/>
      <c r="L153" s="69"/>
    </row>
    <row r="154" spans="1:83" x14ac:dyDescent="0.2">
      <c r="A154" s="18"/>
      <c r="B154" s="18"/>
      <c r="C154" s="51" t="str">
        <f>"Объем: "&amp;Source!I72&amp;"=17/"&amp;"100"</f>
        <v>Объем: 0,17=17/100</v>
      </c>
      <c r="D154" s="18"/>
      <c r="E154" s="18"/>
      <c r="F154" s="18"/>
      <c r="G154" s="18"/>
      <c r="H154" s="18"/>
      <c r="I154" s="18"/>
      <c r="J154" s="18"/>
      <c r="K154" s="18"/>
      <c r="L154" s="18"/>
    </row>
    <row r="155" spans="1:83" x14ac:dyDescent="0.2">
      <c r="A155" s="70"/>
      <c r="B155" s="68">
        <v>1</v>
      </c>
      <c r="C155" s="70" t="s">
        <v>643</v>
      </c>
      <c r="D155" s="67" t="s">
        <v>359</v>
      </c>
      <c r="E155" s="71"/>
      <c r="F155" s="68"/>
      <c r="G155" s="68">
        <f>Source!U72</f>
        <v>3.4866999999999999</v>
      </c>
      <c r="H155" s="68"/>
      <c r="I155" s="68"/>
      <c r="J155" s="68"/>
      <c r="K155" s="68"/>
      <c r="L155" s="72">
        <f>SUM(L156:L156)-SUMIF(CE156:CE156, 1, L156:L156)</f>
        <v>1301.79</v>
      </c>
    </row>
    <row r="156" spans="1:83" x14ac:dyDescent="0.2">
      <c r="A156" s="53"/>
      <c r="B156" s="53" t="s">
        <v>389</v>
      </c>
      <c r="C156" s="53" t="s">
        <v>390</v>
      </c>
      <c r="D156" s="67" t="s">
        <v>359</v>
      </c>
      <c r="E156" s="68">
        <v>20.51</v>
      </c>
      <c r="F156" s="68"/>
      <c r="G156" s="68">
        <f>SmtRes!CX15</f>
        <v>3.4866999999999999</v>
      </c>
      <c r="H156" s="69"/>
      <c r="I156" s="67"/>
      <c r="J156" s="69">
        <f>SmtRes!CZ15</f>
        <v>373.36</v>
      </c>
      <c r="K156" s="67"/>
      <c r="L156" s="69">
        <f>SmtRes!DI15</f>
        <v>1301.79</v>
      </c>
    </row>
    <row r="157" spans="1:83" x14ac:dyDescent="0.2">
      <c r="A157" s="70"/>
      <c r="B157" s="68">
        <v>2</v>
      </c>
      <c r="C157" s="70" t="s">
        <v>634</v>
      </c>
      <c r="D157" s="67"/>
      <c r="E157" s="71"/>
      <c r="F157" s="68"/>
      <c r="G157" s="68"/>
      <c r="H157" s="68"/>
      <c r="I157" s="68"/>
      <c r="J157" s="68"/>
      <c r="K157" s="68"/>
      <c r="L157" s="72">
        <f>SUM(L158:L164)-SUMIF(CE158:CE164, 1, L158:L164)</f>
        <v>2334.0099999999998</v>
      </c>
    </row>
    <row r="158" spans="1:83" x14ac:dyDescent="0.2">
      <c r="A158" s="70"/>
      <c r="B158" s="68"/>
      <c r="C158" s="70" t="s">
        <v>636</v>
      </c>
      <c r="D158" s="67" t="s">
        <v>359</v>
      </c>
      <c r="E158" s="71"/>
      <c r="F158" s="68"/>
      <c r="G158" s="68">
        <f>Source!V72</f>
        <v>2.0331999999999999</v>
      </c>
      <c r="H158" s="68"/>
      <c r="I158" s="68"/>
      <c r="J158" s="68"/>
      <c r="K158" s="68"/>
      <c r="L158" s="72">
        <f>SUMIF(CE159:CE164, 1, L159:L164)</f>
        <v>929.95</v>
      </c>
      <c r="CE158">
        <v>1</v>
      </c>
    </row>
    <row r="159" spans="1:83" ht="25.5" x14ac:dyDescent="0.2">
      <c r="A159" s="53"/>
      <c r="B159" s="53" t="s">
        <v>391</v>
      </c>
      <c r="C159" s="53" t="s">
        <v>393</v>
      </c>
      <c r="D159" s="67" t="s">
        <v>363</v>
      </c>
      <c r="E159" s="68">
        <v>11.44</v>
      </c>
      <c r="F159" s="68"/>
      <c r="G159" s="68">
        <f>SmtRes!CX17</f>
        <v>1.9448000000000001</v>
      </c>
      <c r="H159" s="69">
        <f>SmtRes!CZ17</f>
        <v>994.01</v>
      </c>
      <c r="I159" s="67">
        <f>SmtRes!AJ17</f>
        <v>1.18</v>
      </c>
      <c r="J159" s="69">
        <f>ROUND(H159*I159, 2)</f>
        <v>1172.93</v>
      </c>
      <c r="K159" s="67"/>
      <c r="L159" s="69">
        <f>SmtRes!DG17</f>
        <v>2281.11</v>
      </c>
    </row>
    <row r="160" spans="1:83" x14ac:dyDescent="0.2">
      <c r="A160" s="53"/>
      <c r="B160" s="53" t="s">
        <v>372</v>
      </c>
      <c r="C160" s="53" t="s">
        <v>647</v>
      </c>
      <c r="D160" s="67" t="s">
        <v>359</v>
      </c>
      <c r="E160" s="68">
        <f>SmtRes!DO17*SmtRes!AT17</f>
        <v>11.44</v>
      </c>
      <c r="F160" s="68"/>
      <c r="G160" s="68">
        <f>ROUND(E160*G153, 7)</f>
        <v>1.9448000000000001</v>
      </c>
      <c r="H160" s="69"/>
      <c r="I160" s="67"/>
      <c r="J160" s="69">
        <f>ROUND(SmtRes!AG17/SmtRes!DO17, 2)</f>
        <v>459.98</v>
      </c>
      <c r="K160" s="67"/>
      <c r="L160" s="69">
        <f>SmtRes!DH17</f>
        <v>894.57</v>
      </c>
      <c r="CE160">
        <v>1</v>
      </c>
    </row>
    <row r="161" spans="1:83" ht="25.5" x14ac:dyDescent="0.2">
      <c r="A161" s="53"/>
      <c r="B161" s="53" t="s">
        <v>394</v>
      </c>
      <c r="C161" s="53" t="s">
        <v>396</v>
      </c>
      <c r="D161" s="67" t="s">
        <v>363</v>
      </c>
      <c r="E161" s="68">
        <v>2.0699999999999998</v>
      </c>
      <c r="F161" s="68"/>
      <c r="G161" s="68">
        <f>SmtRes!CX18</f>
        <v>0.35189999999999999</v>
      </c>
      <c r="H161" s="69"/>
      <c r="I161" s="67"/>
      <c r="J161" s="69">
        <f>SmtRes!CZ18</f>
        <v>43.87</v>
      </c>
      <c r="K161" s="67"/>
      <c r="L161" s="69">
        <f>SmtRes!DG18</f>
        <v>15.44</v>
      </c>
    </row>
    <row r="162" spans="1:83" ht="51" x14ac:dyDescent="0.2">
      <c r="A162" s="53"/>
      <c r="B162" s="53" t="s">
        <v>397</v>
      </c>
      <c r="C162" s="53" t="s">
        <v>399</v>
      </c>
      <c r="D162" s="67" t="s">
        <v>363</v>
      </c>
      <c r="E162" s="68">
        <v>0.52</v>
      </c>
      <c r="F162" s="68"/>
      <c r="G162" s="68">
        <f>SmtRes!CX19</f>
        <v>8.8400000000000006E-2</v>
      </c>
      <c r="H162" s="69"/>
      <c r="I162" s="67"/>
      <c r="J162" s="69">
        <f>SmtRes!CZ19</f>
        <v>417.12</v>
      </c>
      <c r="K162" s="67"/>
      <c r="L162" s="69">
        <f>SmtRes!DG19</f>
        <v>36.869999999999997</v>
      </c>
    </row>
    <row r="163" spans="1:83" x14ac:dyDescent="0.2">
      <c r="A163" s="53"/>
      <c r="B163" s="53" t="s">
        <v>400</v>
      </c>
      <c r="C163" s="53" t="s">
        <v>683</v>
      </c>
      <c r="D163" s="67" t="s">
        <v>359</v>
      </c>
      <c r="E163" s="68">
        <f>SmtRes!DO19*SmtRes!AT19</f>
        <v>0.52</v>
      </c>
      <c r="F163" s="68"/>
      <c r="G163" s="68">
        <f>ROUND(E163*G153, 7)</f>
        <v>8.8400000000000006E-2</v>
      </c>
      <c r="H163" s="69"/>
      <c r="I163" s="67"/>
      <c r="J163" s="69">
        <f>ROUND(SmtRes!AG19/SmtRes!DO19, 2)</f>
        <v>400.24</v>
      </c>
      <c r="K163" s="67"/>
      <c r="L163" s="69">
        <f>SmtRes!DH19</f>
        <v>35.380000000000003</v>
      </c>
      <c r="CE163">
        <v>1</v>
      </c>
    </row>
    <row r="164" spans="1:83" ht="38.25" x14ac:dyDescent="0.2">
      <c r="A164" s="53"/>
      <c r="B164" s="53" t="s">
        <v>401</v>
      </c>
      <c r="C164" s="53" t="s">
        <v>403</v>
      </c>
      <c r="D164" s="67" t="s">
        <v>363</v>
      </c>
      <c r="E164" s="68">
        <v>0.52</v>
      </c>
      <c r="F164" s="68"/>
      <c r="G164" s="68">
        <f>SmtRes!CX20</f>
        <v>8.8400000000000006E-2</v>
      </c>
      <c r="H164" s="69">
        <f>SmtRes!CZ20</f>
        <v>4.5199999999999996</v>
      </c>
      <c r="I164" s="67">
        <f>SmtRes!AJ20</f>
        <v>1.48</v>
      </c>
      <c r="J164" s="69">
        <f>ROUND(H164*I164, 2)</f>
        <v>6.69</v>
      </c>
      <c r="K164" s="67"/>
      <c r="L164" s="69">
        <f>SmtRes!DG20</f>
        <v>0.59</v>
      </c>
    </row>
    <row r="165" spans="1:83" x14ac:dyDescent="0.2">
      <c r="A165" s="70"/>
      <c r="B165" s="68">
        <v>4</v>
      </c>
      <c r="C165" s="70" t="s">
        <v>681</v>
      </c>
      <c r="D165" s="67"/>
      <c r="E165" s="71"/>
      <c r="F165" s="68"/>
      <c r="G165" s="68"/>
      <c r="H165" s="68"/>
      <c r="I165" s="68"/>
      <c r="J165" s="68"/>
      <c r="K165" s="68"/>
      <c r="L165" s="72">
        <f>SUM(L166:L173)-SUMIF(CE166:CE173, 1, L166:L173)</f>
        <v>326.95000000000005</v>
      </c>
    </row>
    <row r="166" spans="1:83" x14ac:dyDescent="0.2">
      <c r="A166" s="53"/>
      <c r="B166" s="53" t="s">
        <v>404</v>
      </c>
      <c r="C166" s="53" t="s">
        <v>406</v>
      </c>
      <c r="D166" s="67" t="s">
        <v>407</v>
      </c>
      <c r="E166" s="68">
        <v>1.3859999999999999</v>
      </c>
      <c r="F166" s="68"/>
      <c r="G166" s="68">
        <f>SmtRes!CX21</f>
        <v>0.23562</v>
      </c>
      <c r="H166" s="69"/>
      <c r="I166" s="67"/>
      <c r="J166" s="69">
        <f>SmtRes!CZ21</f>
        <v>9.5500000000000007</v>
      </c>
      <c r="K166" s="67"/>
      <c r="L166" s="69">
        <f>SmtRes!DF21</f>
        <v>2.25</v>
      </c>
    </row>
    <row r="167" spans="1:83" ht="38.25" x14ac:dyDescent="0.2">
      <c r="A167" s="53"/>
      <c r="B167" s="53" t="s">
        <v>408</v>
      </c>
      <c r="C167" s="53" t="s">
        <v>410</v>
      </c>
      <c r="D167" s="67" t="s">
        <v>411</v>
      </c>
      <c r="E167" s="68">
        <v>0.7</v>
      </c>
      <c r="F167" s="68"/>
      <c r="G167" s="68">
        <f>SmtRes!CX22</f>
        <v>0.11899999999999999</v>
      </c>
      <c r="H167" s="69"/>
      <c r="I167" s="67"/>
      <c r="J167" s="69">
        <f>SmtRes!CZ22</f>
        <v>131.85</v>
      </c>
      <c r="K167" s="67"/>
      <c r="L167" s="69">
        <f>SmtRes!DF22</f>
        <v>15.69</v>
      </c>
    </row>
    <row r="168" spans="1:83" ht="25.5" x14ac:dyDescent="0.2">
      <c r="A168" s="53"/>
      <c r="B168" s="53" t="s">
        <v>412</v>
      </c>
      <c r="C168" s="53" t="s">
        <v>414</v>
      </c>
      <c r="D168" s="67" t="s">
        <v>248</v>
      </c>
      <c r="E168" s="68">
        <v>4.0000000000000002E-4</v>
      </c>
      <c r="F168" s="68"/>
      <c r="G168" s="68">
        <f>SmtRes!CX23</f>
        <v>6.7999999999999999E-5</v>
      </c>
      <c r="H168" s="69">
        <f>SmtRes!CZ23</f>
        <v>108495.2</v>
      </c>
      <c r="I168" s="67">
        <f>SmtRes!AI23</f>
        <v>1.1299999999999999</v>
      </c>
      <c r="J168" s="69">
        <f>ROUND(H168*I168, 2)</f>
        <v>122599.58</v>
      </c>
      <c r="K168" s="67"/>
      <c r="L168" s="69">
        <f>SmtRes!DF23</f>
        <v>8.34</v>
      </c>
    </row>
    <row r="169" spans="1:83" x14ac:dyDescent="0.2">
      <c r="A169" s="53"/>
      <c r="B169" s="53" t="s">
        <v>415</v>
      </c>
      <c r="C169" s="53" t="s">
        <v>417</v>
      </c>
      <c r="D169" s="67" t="s">
        <v>411</v>
      </c>
      <c r="E169" s="68">
        <v>1</v>
      </c>
      <c r="F169" s="68"/>
      <c r="G169" s="68">
        <f>SmtRes!CX24</f>
        <v>0.17</v>
      </c>
      <c r="H169" s="69">
        <f>SmtRes!CZ24</f>
        <v>44.55</v>
      </c>
      <c r="I169" s="67">
        <f>SmtRes!AI24</f>
        <v>1.43</v>
      </c>
      <c r="J169" s="69">
        <f>ROUND(H169*I169, 2)</f>
        <v>63.71</v>
      </c>
      <c r="K169" s="67"/>
      <c r="L169" s="69">
        <f>SmtRes!DF24</f>
        <v>10.83</v>
      </c>
    </row>
    <row r="170" spans="1:83" x14ac:dyDescent="0.2">
      <c r="A170" s="53"/>
      <c r="B170" s="53" t="s">
        <v>418</v>
      </c>
      <c r="C170" s="53" t="s">
        <v>420</v>
      </c>
      <c r="D170" s="67" t="s">
        <v>248</v>
      </c>
      <c r="E170" s="68">
        <v>1.4E-3</v>
      </c>
      <c r="F170" s="68"/>
      <c r="G170" s="68">
        <f>SmtRes!CX25</f>
        <v>2.3800000000000001E-4</v>
      </c>
      <c r="H170" s="69">
        <f>SmtRes!CZ25</f>
        <v>74437.320000000007</v>
      </c>
      <c r="I170" s="67">
        <f>SmtRes!AI25</f>
        <v>1.41</v>
      </c>
      <c r="J170" s="69">
        <f>ROUND(H170*I170, 2)</f>
        <v>104956.62</v>
      </c>
      <c r="K170" s="67"/>
      <c r="L170" s="69">
        <f>SmtRes!DF25</f>
        <v>24.98</v>
      </c>
    </row>
    <row r="171" spans="1:83" ht="25.5" x14ac:dyDescent="0.2">
      <c r="A171" s="53"/>
      <c r="B171" s="53" t="s">
        <v>421</v>
      </c>
      <c r="C171" s="53" t="s">
        <v>423</v>
      </c>
      <c r="D171" s="67" t="s">
        <v>248</v>
      </c>
      <c r="E171" s="68">
        <v>3.5999999999999999E-3</v>
      </c>
      <c r="F171" s="68"/>
      <c r="G171" s="68">
        <f>SmtRes!CX26</f>
        <v>6.1200000000000002E-4</v>
      </c>
      <c r="H171" s="69">
        <f>SmtRes!CZ26</f>
        <v>260763.78</v>
      </c>
      <c r="I171" s="67">
        <f>SmtRes!AI26</f>
        <v>1.33</v>
      </c>
      <c r="J171" s="69">
        <f>ROUND(H171*I171, 2)</f>
        <v>346815.83</v>
      </c>
      <c r="K171" s="67"/>
      <c r="L171" s="69">
        <f>SmtRes!DF26</f>
        <v>212.25</v>
      </c>
    </row>
    <row r="172" spans="1:83" x14ac:dyDescent="0.2">
      <c r="A172" s="53"/>
      <c r="B172" s="53" t="s">
        <v>424</v>
      </c>
      <c r="C172" s="53" t="s">
        <v>426</v>
      </c>
      <c r="D172" s="67" t="s">
        <v>248</v>
      </c>
      <c r="E172" s="68">
        <v>2.2000000000000001E-4</v>
      </c>
      <c r="F172" s="68"/>
      <c r="G172" s="68">
        <f>SmtRes!CX27</f>
        <v>3.7400000000000001E-5</v>
      </c>
      <c r="H172" s="69">
        <f>SmtRes!CZ27</f>
        <v>75885.63</v>
      </c>
      <c r="I172" s="67">
        <f>SmtRes!AI27</f>
        <v>1.68</v>
      </c>
      <c r="J172" s="69">
        <f>ROUND(H172*I172, 2)</f>
        <v>127487.86</v>
      </c>
      <c r="K172" s="67"/>
      <c r="L172" s="69">
        <f>SmtRes!DF27</f>
        <v>4.7699999999999996</v>
      </c>
    </row>
    <row r="173" spans="1:83" x14ac:dyDescent="0.2">
      <c r="A173" s="53"/>
      <c r="B173" s="53" t="s">
        <v>427</v>
      </c>
      <c r="C173" s="53" t="s">
        <v>429</v>
      </c>
      <c r="D173" s="67" t="s">
        <v>248</v>
      </c>
      <c r="E173" s="68">
        <v>1.6999999999999999E-3</v>
      </c>
      <c r="F173" s="68"/>
      <c r="G173" s="68">
        <f>SmtRes!CX28</f>
        <v>2.8899999999999998E-4</v>
      </c>
      <c r="H173" s="69">
        <f>SmtRes!CZ28</f>
        <v>98526.45</v>
      </c>
      <c r="I173" s="67">
        <f>SmtRes!AI28</f>
        <v>1.68</v>
      </c>
      <c r="J173" s="69">
        <f>ROUND(H173*I173, 2)</f>
        <v>165524.44</v>
      </c>
      <c r="K173" s="67"/>
      <c r="L173" s="69">
        <f>SmtRes!DF28</f>
        <v>47.84</v>
      </c>
    </row>
    <row r="174" spans="1:83" ht="25.5" x14ac:dyDescent="0.2">
      <c r="A174" s="53"/>
      <c r="B174" s="53" t="str">
        <f>EtalonRes!I30</f>
        <v>23.5.02.02</v>
      </c>
      <c r="C174" s="73" t="str">
        <f>EtalonRes!K30</f>
        <v>Трубы стальные электросварные прямошовные</v>
      </c>
      <c r="D174" s="74" t="str">
        <f>EtalonRes!O30</f>
        <v>м</v>
      </c>
      <c r="E174" s="75">
        <f>EtalonRes!X30</f>
        <v>101</v>
      </c>
      <c r="F174" s="75"/>
      <c r="G174" s="75">
        <f>ROUND(EtalonRes!AG30*Source!I72, 7)</f>
        <v>17.170000000000002</v>
      </c>
      <c r="H174" s="76"/>
      <c r="I174" s="74"/>
      <c r="J174" s="76"/>
      <c r="K174" s="74"/>
      <c r="L174" s="76"/>
    </row>
    <row r="175" spans="1:83" x14ac:dyDescent="0.2">
      <c r="A175" s="53"/>
      <c r="B175" s="53"/>
      <c r="C175" s="52" t="s">
        <v>269</v>
      </c>
      <c r="D175" s="67"/>
      <c r="E175" s="68"/>
      <c r="F175" s="68"/>
      <c r="G175" s="68"/>
      <c r="H175" s="69"/>
      <c r="I175" s="67"/>
      <c r="J175" s="69"/>
      <c r="K175" s="67"/>
      <c r="L175" s="69">
        <f>L155+L157+L158+L165</f>
        <v>4892.7</v>
      </c>
    </row>
    <row r="176" spans="1:83" ht="51" x14ac:dyDescent="0.2">
      <c r="A176" s="66" t="s">
        <v>684</v>
      </c>
      <c r="B176" s="53" t="str">
        <f>Source!F73</f>
        <v>23.5.02.02-0033</v>
      </c>
      <c r="C176" s="53" t="str">
        <f>Source!G73</f>
        <v>Трубы стальные электросварные прямошовные из стали марок Ст2, 10, наружный диаметр 57 мм, толщина стенки 3 мм</v>
      </c>
      <c r="D176" s="67" t="str">
        <f>Source!H73</f>
        <v>м</v>
      </c>
      <c r="E176" s="68">
        <f>SmtRes!AT29</f>
        <v>100</v>
      </c>
      <c r="F176" s="68"/>
      <c r="G176" s="68">
        <f>Source!I73</f>
        <v>17</v>
      </c>
      <c r="H176" s="69"/>
      <c r="I176" s="67"/>
      <c r="J176" s="69">
        <f>Source!AK73</f>
        <v>201.05</v>
      </c>
      <c r="K176" s="67"/>
      <c r="L176" s="69">
        <f>Source!P73</f>
        <v>3417.85</v>
      </c>
      <c r="AD176">
        <f>ROUND((Source!AT73/100)*((ROUND(ROUND(Source!AO73,2)*Source!I73, 2)+ROUND(ROUND(Source!AN73,2)*Source!I73, 2))), 2)</f>
        <v>0</v>
      </c>
      <c r="AE176">
        <f>ROUND((Source!AU73/100)*((ROUND(ROUND(Source!AO73,2)*Source!I73, 2)+ROUND(ROUND(Source!AN73,2)*Source!I73, 2))), 2)</f>
        <v>0</v>
      </c>
      <c r="AN176">
        <f>L176</f>
        <v>3417.85</v>
      </c>
      <c r="AW176">
        <f>L176</f>
        <v>3417.85</v>
      </c>
      <c r="AZ176">
        <f>Source!X73</f>
        <v>0</v>
      </c>
      <c r="BA176">
        <f>Source!Y73</f>
        <v>0</v>
      </c>
      <c r="CD176">
        <v>1</v>
      </c>
    </row>
    <row r="177" spans="1:83" x14ac:dyDescent="0.2">
      <c r="A177" s="53"/>
      <c r="B177" s="53"/>
      <c r="C177" s="53" t="s">
        <v>637</v>
      </c>
      <c r="D177" s="67"/>
      <c r="E177" s="68"/>
      <c r="F177" s="68"/>
      <c r="G177" s="68"/>
      <c r="H177" s="69"/>
      <c r="I177" s="67"/>
      <c r="J177" s="69"/>
      <c r="K177" s="67"/>
      <c r="L177" s="69">
        <f>SUM(AR153:AR180)+SUM(AS153:AS180)+SUM(AT153:AT180)+SUM(AU153:AU180)+SUM(AV153:AV180)</f>
        <v>2231.7399999999998</v>
      </c>
    </row>
    <row r="178" spans="1:83" ht="38.25" x14ac:dyDescent="0.2">
      <c r="A178" s="53"/>
      <c r="B178" s="53" t="s">
        <v>43</v>
      </c>
      <c r="C178" s="53" t="s">
        <v>649</v>
      </c>
      <c r="D178" s="67" t="s">
        <v>199</v>
      </c>
      <c r="E178" s="68">
        <f>Source!BZ72</f>
        <v>117</v>
      </c>
      <c r="F178" s="68"/>
      <c r="G178" s="68">
        <f>Source!AT72</f>
        <v>117</v>
      </c>
      <c r="H178" s="69"/>
      <c r="I178" s="67"/>
      <c r="J178" s="69"/>
      <c r="K178" s="67"/>
      <c r="L178" s="69">
        <f>SUM(AZ153:AZ180)</f>
        <v>2611.14</v>
      </c>
    </row>
    <row r="179" spans="1:83" ht="38.25" x14ac:dyDescent="0.2">
      <c r="A179" s="73"/>
      <c r="B179" s="73" t="s">
        <v>44</v>
      </c>
      <c r="C179" s="73" t="s">
        <v>650</v>
      </c>
      <c r="D179" s="74" t="s">
        <v>199</v>
      </c>
      <c r="E179" s="75">
        <f>Source!CA72</f>
        <v>74</v>
      </c>
      <c r="F179" s="75"/>
      <c r="G179" s="75">
        <f>Source!AU72</f>
        <v>74</v>
      </c>
      <c r="H179" s="76"/>
      <c r="I179" s="74"/>
      <c r="J179" s="76"/>
      <c r="K179" s="74"/>
      <c r="L179" s="76">
        <f>SUM(BA153:BA180)</f>
        <v>1651.49</v>
      </c>
    </row>
    <row r="180" spans="1:83" x14ac:dyDescent="0.2">
      <c r="A180" s="18"/>
      <c r="B180" s="18"/>
      <c r="C180" s="77" t="s">
        <v>640</v>
      </c>
      <c r="D180" s="77"/>
      <c r="E180" s="77"/>
      <c r="F180" s="77"/>
      <c r="G180" s="77"/>
      <c r="H180" s="77"/>
      <c r="I180" s="78">
        <f>IF(E153&lt;&gt;0,K180/E153, 0)</f>
        <v>73959.882352941175</v>
      </c>
      <c r="J180" s="78"/>
      <c r="K180" s="78">
        <f>L155+L157+L165+L178+L179+L158+SUM(L176:L176)</f>
        <v>12573.18</v>
      </c>
      <c r="L180" s="78"/>
      <c r="AD180">
        <f>ROUND((Source!AT72/100)*((ROUND(SUMIF(SmtRes!AQ15:'SmtRes'!AQ29,"=1",SmtRes!AD15:'SmtRes'!AD29)*Source!I72, 2)+ROUND(SUMIF(SmtRes!AQ15:'SmtRes'!AQ29,"=1",SmtRes!AC15:'SmtRes'!AC29)*Source!I72, 2))), 2)</f>
        <v>245.36</v>
      </c>
      <c r="AE180">
        <f>ROUND((Source!AU72/100)*((ROUND(SUMIF(SmtRes!AQ15:'SmtRes'!AQ29,"=1",SmtRes!AD15:'SmtRes'!AD29)*Source!I72, 2)+ROUND(SUMIF(SmtRes!AQ15:'SmtRes'!AQ29,"=1",SmtRes!AC15:'SmtRes'!AC29)*Source!I72, 2))), 2)</f>
        <v>155.19</v>
      </c>
      <c r="AN180" s="17">
        <f>L155+L157+L165+L178+L179+L158</f>
        <v>9155.33</v>
      </c>
      <c r="AO180" s="17">
        <f>L157</f>
        <v>2334.0099999999998</v>
      </c>
      <c r="AQ180" t="s">
        <v>641</v>
      </c>
      <c r="AR180" s="17">
        <f>L155</f>
        <v>1301.79</v>
      </c>
      <c r="AT180" s="17">
        <f>L158</f>
        <v>929.95</v>
      </c>
      <c r="AV180" t="s">
        <v>641</v>
      </c>
      <c r="AW180" s="17">
        <f>L165</f>
        <v>326.95000000000005</v>
      </c>
      <c r="AZ180">
        <f>Source!X72</f>
        <v>2611.14</v>
      </c>
      <c r="BA180">
        <f>Source!Y72</f>
        <v>1651.49</v>
      </c>
      <c r="CD180">
        <v>1</v>
      </c>
    </row>
    <row r="181" spans="1:83" ht="38.25" x14ac:dyDescent="0.2">
      <c r="A181" s="66" t="s">
        <v>140</v>
      </c>
      <c r="B181" s="53" t="s">
        <v>685</v>
      </c>
      <c r="C181" s="53" t="str">
        <f>Source!G74</f>
        <v>Монтаж металлических опор высотой: свыше 1 до 2,2 м для надземной прокладки стальных газопроводов диаметром 50 мм</v>
      </c>
      <c r="D181" s="67" t="str">
        <f>Source!H74</f>
        <v>100 м</v>
      </c>
      <c r="E181" s="68">
        <f>Source!K74</f>
        <v>0.17</v>
      </c>
      <c r="F181" s="68"/>
      <c r="G181" s="68">
        <f>Source!I74</f>
        <v>0.17</v>
      </c>
      <c r="H181" s="69"/>
      <c r="I181" s="67"/>
      <c r="J181" s="69"/>
      <c r="K181" s="67"/>
      <c r="L181" s="69"/>
    </row>
    <row r="182" spans="1:83" x14ac:dyDescent="0.2">
      <c r="A182" s="18"/>
      <c r="B182" s="18"/>
      <c r="C182" s="51" t="str">
        <f>"Объем: "&amp;Source!I74&amp;"=17/"&amp;"100"</f>
        <v>Объем: 0,17=17/100</v>
      </c>
      <c r="D182" s="18"/>
      <c r="E182" s="18"/>
      <c r="F182" s="18"/>
      <c r="G182" s="18"/>
      <c r="H182" s="18"/>
      <c r="I182" s="18"/>
      <c r="J182" s="18"/>
      <c r="K182" s="18"/>
      <c r="L182" s="18"/>
    </row>
    <row r="183" spans="1:83" x14ac:dyDescent="0.2">
      <c r="A183" s="70"/>
      <c r="B183" s="68">
        <v>1</v>
      </c>
      <c r="C183" s="70" t="s">
        <v>643</v>
      </c>
      <c r="D183" s="67" t="s">
        <v>359</v>
      </c>
      <c r="E183" s="71"/>
      <c r="F183" s="68"/>
      <c r="G183" s="68">
        <f>Source!U74</f>
        <v>2.7896999999999998</v>
      </c>
      <c r="H183" s="68"/>
      <c r="I183" s="68"/>
      <c r="J183" s="68"/>
      <c r="K183" s="68"/>
      <c r="L183" s="72">
        <f>SUM(L184:L184)-SUMIF(CE184:CE184, 1, L184:L184)</f>
        <v>1091.55</v>
      </c>
    </row>
    <row r="184" spans="1:83" x14ac:dyDescent="0.2">
      <c r="A184" s="53"/>
      <c r="B184" s="53" t="s">
        <v>430</v>
      </c>
      <c r="C184" s="53" t="s">
        <v>431</v>
      </c>
      <c r="D184" s="67" t="s">
        <v>359</v>
      </c>
      <c r="E184" s="68">
        <v>16.41</v>
      </c>
      <c r="F184" s="68"/>
      <c r="G184" s="68">
        <f>SmtRes!CX30</f>
        <v>2.7896999999999998</v>
      </c>
      <c r="H184" s="69"/>
      <c r="I184" s="67"/>
      <c r="J184" s="69">
        <f>SmtRes!CZ30</f>
        <v>391.28</v>
      </c>
      <c r="K184" s="67"/>
      <c r="L184" s="69">
        <f>SmtRes!DI30</f>
        <v>1091.55</v>
      </c>
    </row>
    <row r="185" spans="1:83" x14ac:dyDescent="0.2">
      <c r="A185" s="70"/>
      <c r="B185" s="68">
        <v>2</v>
      </c>
      <c r="C185" s="70" t="s">
        <v>634</v>
      </c>
      <c r="D185" s="67"/>
      <c r="E185" s="71"/>
      <c r="F185" s="68"/>
      <c r="G185" s="68"/>
      <c r="H185" s="68"/>
      <c r="I185" s="68"/>
      <c r="J185" s="68"/>
      <c r="K185" s="68"/>
      <c r="L185" s="72">
        <f>SUM(L186:L197)-SUMIF(CE186:CE197, 1, L186:L197)</f>
        <v>1745.02</v>
      </c>
    </row>
    <row r="186" spans="1:83" x14ac:dyDescent="0.2">
      <c r="A186" s="70"/>
      <c r="B186" s="68"/>
      <c r="C186" s="70" t="s">
        <v>636</v>
      </c>
      <c r="D186" s="67" t="s">
        <v>359</v>
      </c>
      <c r="E186" s="71"/>
      <c r="F186" s="68"/>
      <c r="G186" s="68">
        <f>Source!V74</f>
        <v>0.78539999999999999</v>
      </c>
      <c r="H186" s="68"/>
      <c r="I186" s="68"/>
      <c r="J186" s="68"/>
      <c r="K186" s="68"/>
      <c r="L186" s="72">
        <f>SUMIF(CE187:CE197, 1, L187:L197)</f>
        <v>393.93</v>
      </c>
      <c r="CE186">
        <v>1</v>
      </c>
    </row>
    <row r="187" spans="1:83" ht="38.25" x14ac:dyDescent="0.2">
      <c r="A187" s="53"/>
      <c r="B187" s="53" t="s">
        <v>432</v>
      </c>
      <c r="C187" s="53" t="s">
        <v>434</v>
      </c>
      <c r="D187" s="67" t="s">
        <v>363</v>
      </c>
      <c r="E187" s="68">
        <v>1.81</v>
      </c>
      <c r="F187" s="68"/>
      <c r="G187" s="68">
        <f>SmtRes!CX32</f>
        <v>0.30769999999999997</v>
      </c>
      <c r="H187" s="69">
        <f>SmtRes!CZ32</f>
        <v>2088.77</v>
      </c>
      <c r="I187" s="67">
        <f>SmtRes!AJ32</f>
        <v>1.37</v>
      </c>
      <c r="J187" s="69">
        <f>ROUND(H187*I187, 2)</f>
        <v>2861.61</v>
      </c>
      <c r="K187" s="67"/>
      <c r="L187" s="69">
        <f>SmtRes!DG32</f>
        <v>880.52</v>
      </c>
    </row>
    <row r="188" spans="1:83" x14ac:dyDescent="0.2">
      <c r="A188" s="53"/>
      <c r="B188" s="53" t="s">
        <v>372</v>
      </c>
      <c r="C188" s="53" t="s">
        <v>647</v>
      </c>
      <c r="D188" s="67" t="s">
        <v>359</v>
      </c>
      <c r="E188" s="68">
        <f>SmtRes!DO32*SmtRes!AT32</f>
        <v>1.81</v>
      </c>
      <c r="F188" s="68"/>
      <c r="G188" s="68">
        <f>ROUND(E188*G181, 7)</f>
        <v>0.30769999999999997</v>
      </c>
      <c r="H188" s="69"/>
      <c r="I188" s="67"/>
      <c r="J188" s="69">
        <f>ROUND(SmtRes!AG32/SmtRes!DO32, 2)</f>
        <v>459.98</v>
      </c>
      <c r="K188" s="67"/>
      <c r="L188" s="69">
        <f>SmtRes!DH32</f>
        <v>141.54</v>
      </c>
      <c r="CE188">
        <v>1</v>
      </c>
    </row>
    <row r="189" spans="1:83" ht="25.5" x14ac:dyDescent="0.2">
      <c r="A189" s="53"/>
      <c r="B189" s="53" t="s">
        <v>435</v>
      </c>
      <c r="C189" s="53" t="s">
        <v>437</v>
      </c>
      <c r="D189" s="67" t="s">
        <v>363</v>
      </c>
      <c r="E189" s="68">
        <v>2.62</v>
      </c>
      <c r="F189" s="68"/>
      <c r="G189" s="68">
        <f>SmtRes!CX33</f>
        <v>0.44540000000000002</v>
      </c>
      <c r="H189" s="69"/>
      <c r="I189" s="67"/>
      <c r="J189" s="69">
        <f>SmtRes!CZ33</f>
        <v>1836.16</v>
      </c>
      <c r="K189" s="67"/>
      <c r="L189" s="69">
        <f>SmtRes!DG33</f>
        <v>817.83</v>
      </c>
    </row>
    <row r="190" spans="1:83" x14ac:dyDescent="0.2">
      <c r="A190" s="53"/>
      <c r="B190" s="53" t="s">
        <v>364</v>
      </c>
      <c r="C190" s="53" t="s">
        <v>635</v>
      </c>
      <c r="D190" s="67" t="s">
        <v>359</v>
      </c>
      <c r="E190" s="68">
        <f>SmtRes!DO33*SmtRes!AT33</f>
        <v>2.62</v>
      </c>
      <c r="F190" s="68"/>
      <c r="G190" s="68">
        <f>ROUND(E190*G181, 7)</f>
        <v>0.44540000000000002</v>
      </c>
      <c r="H190" s="69"/>
      <c r="I190" s="67"/>
      <c r="J190" s="69">
        <f>ROUND(SmtRes!AG33/SmtRes!DO33, 2)</f>
        <v>537.64</v>
      </c>
      <c r="K190" s="67"/>
      <c r="L190" s="69">
        <f>SmtRes!DH33</f>
        <v>239.46</v>
      </c>
      <c r="CE190">
        <v>1</v>
      </c>
    </row>
    <row r="191" spans="1:83" x14ac:dyDescent="0.2">
      <c r="A191" s="53"/>
      <c r="B191" s="53" t="s">
        <v>438</v>
      </c>
      <c r="C191" s="53" t="s">
        <v>440</v>
      </c>
      <c r="D191" s="67" t="s">
        <v>363</v>
      </c>
      <c r="E191" s="68">
        <v>0.45</v>
      </c>
      <c r="F191" s="68"/>
      <c r="G191" s="68">
        <f>SmtRes!CX34</f>
        <v>7.6499999999999999E-2</v>
      </c>
      <c r="H191" s="69">
        <f>SmtRes!CZ34</f>
        <v>10.37</v>
      </c>
      <c r="I191" s="67">
        <f>SmtRes!AJ34</f>
        <v>1.28</v>
      </c>
      <c r="J191" s="69">
        <f>ROUND(H191*I191, 2)</f>
        <v>13.27</v>
      </c>
      <c r="K191" s="67"/>
      <c r="L191" s="69">
        <f>SmtRes!DG34</f>
        <v>1.02</v>
      </c>
    </row>
    <row r="192" spans="1:83" ht="25.5" x14ac:dyDescent="0.2">
      <c r="A192" s="53"/>
      <c r="B192" s="53" t="s">
        <v>441</v>
      </c>
      <c r="C192" s="53" t="s">
        <v>443</v>
      </c>
      <c r="D192" s="67" t="s">
        <v>363</v>
      </c>
      <c r="E192" s="68">
        <v>0.19</v>
      </c>
      <c r="F192" s="68"/>
      <c r="G192" s="68">
        <f>SmtRes!CX35</f>
        <v>3.2300000000000002E-2</v>
      </c>
      <c r="H192" s="69"/>
      <c r="I192" s="67"/>
      <c r="J192" s="69">
        <f>SmtRes!CZ35</f>
        <v>655.95</v>
      </c>
      <c r="K192" s="67"/>
      <c r="L192" s="69">
        <f>SmtRes!DG35</f>
        <v>21.19</v>
      </c>
    </row>
    <row r="193" spans="1:83" x14ac:dyDescent="0.2">
      <c r="A193" s="53"/>
      <c r="B193" s="53" t="s">
        <v>400</v>
      </c>
      <c r="C193" s="53" t="s">
        <v>683</v>
      </c>
      <c r="D193" s="67" t="s">
        <v>359</v>
      </c>
      <c r="E193" s="68">
        <f>SmtRes!DO35*SmtRes!AT35</f>
        <v>0.19</v>
      </c>
      <c r="F193" s="68"/>
      <c r="G193" s="68">
        <f>ROUND(E193*G181, 7)</f>
        <v>3.2300000000000002E-2</v>
      </c>
      <c r="H193" s="69"/>
      <c r="I193" s="67"/>
      <c r="J193" s="69">
        <f>ROUND(SmtRes!AG35/SmtRes!DO35, 2)</f>
        <v>400.24</v>
      </c>
      <c r="K193" s="67"/>
      <c r="L193" s="69">
        <f>SmtRes!DH35</f>
        <v>12.93</v>
      </c>
      <c r="CE193">
        <v>1</v>
      </c>
    </row>
    <row r="194" spans="1:83" x14ac:dyDescent="0.2">
      <c r="A194" s="53"/>
      <c r="B194" s="53" t="s">
        <v>444</v>
      </c>
      <c r="C194" s="53" t="s">
        <v>446</v>
      </c>
      <c r="D194" s="67" t="s">
        <v>363</v>
      </c>
      <c r="E194" s="68">
        <v>1.44</v>
      </c>
      <c r="F194" s="68"/>
      <c r="G194" s="68">
        <f>SmtRes!CX36</f>
        <v>0.24479999999999999</v>
      </c>
      <c r="H194" s="69">
        <f>SmtRes!CZ36</f>
        <v>4.3499999999999996</v>
      </c>
      <c r="I194" s="67">
        <f>SmtRes!AJ36</f>
        <v>1.3</v>
      </c>
      <c r="J194" s="69">
        <f>ROUND(H194*I194, 2)</f>
        <v>5.66</v>
      </c>
      <c r="K194" s="67"/>
      <c r="L194" s="69">
        <f>SmtRes!DG36</f>
        <v>1.39</v>
      </c>
    </row>
    <row r="195" spans="1:83" ht="25.5" x14ac:dyDescent="0.2">
      <c r="A195" s="53"/>
      <c r="B195" s="53" t="s">
        <v>394</v>
      </c>
      <c r="C195" s="53" t="s">
        <v>396</v>
      </c>
      <c r="D195" s="67" t="s">
        <v>363</v>
      </c>
      <c r="E195" s="68">
        <v>2.59</v>
      </c>
      <c r="F195" s="68"/>
      <c r="G195" s="68">
        <f>SmtRes!CX37</f>
        <v>0.44030000000000002</v>
      </c>
      <c r="H195" s="69"/>
      <c r="I195" s="67"/>
      <c r="J195" s="69">
        <f>SmtRes!CZ37</f>
        <v>43.87</v>
      </c>
      <c r="K195" s="67"/>
      <c r="L195" s="69">
        <f>SmtRes!DG37</f>
        <v>19.32</v>
      </c>
    </row>
    <row r="196" spans="1:83" ht="38.25" x14ac:dyDescent="0.2">
      <c r="A196" s="53"/>
      <c r="B196" s="53" t="s">
        <v>401</v>
      </c>
      <c r="C196" s="53" t="s">
        <v>403</v>
      </c>
      <c r="D196" s="67" t="s">
        <v>363</v>
      </c>
      <c r="E196" s="68">
        <v>1.27</v>
      </c>
      <c r="F196" s="68"/>
      <c r="G196" s="68">
        <f>SmtRes!CX38</f>
        <v>0.21590000000000001</v>
      </c>
      <c r="H196" s="69">
        <f>SmtRes!CZ38</f>
        <v>4.5199999999999996</v>
      </c>
      <c r="I196" s="67">
        <f>SmtRes!AJ38</f>
        <v>1.48</v>
      </c>
      <c r="J196" s="69">
        <f>ROUND(H196*I196, 2)</f>
        <v>6.69</v>
      </c>
      <c r="K196" s="67"/>
      <c r="L196" s="69">
        <f>SmtRes!DG38</f>
        <v>1.44</v>
      </c>
    </row>
    <row r="197" spans="1:83" ht="25.5" x14ac:dyDescent="0.2">
      <c r="A197" s="53"/>
      <c r="B197" s="53" t="s">
        <v>447</v>
      </c>
      <c r="C197" s="53" t="s">
        <v>449</v>
      </c>
      <c r="D197" s="67" t="s">
        <v>363</v>
      </c>
      <c r="E197" s="68">
        <v>0.06</v>
      </c>
      <c r="F197" s="68"/>
      <c r="G197" s="68">
        <f>SmtRes!CX39</f>
        <v>1.0200000000000001E-2</v>
      </c>
      <c r="H197" s="69">
        <f>SmtRes!CZ39</f>
        <v>143.61000000000001</v>
      </c>
      <c r="I197" s="67">
        <f>SmtRes!AJ39</f>
        <v>1.58</v>
      </c>
      <c r="J197" s="69">
        <f>ROUND(H197*I197, 2)</f>
        <v>226.9</v>
      </c>
      <c r="K197" s="67"/>
      <c r="L197" s="69">
        <f>SmtRes!DG39</f>
        <v>2.31</v>
      </c>
    </row>
    <row r="198" spans="1:83" x14ac:dyDescent="0.2">
      <c r="A198" s="70"/>
      <c r="B198" s="68">
        <v>4</v>
      </c>
      <c r="C198" s="70" t="s">
        <v>681</v>
      </c>
      <c r="D198" s="67"/>
      <c r="E198" s="71"/>
      <c r="F198" s="68"/>
      <c r="G198" s="68"/>
      <c r="H198" s="68"/>
      <c r="I198" s="68"/>
      <c r="J198" s="68"/>
      <c r="K198" s="68"/>
      <c r="L198" s="72">
        <f>SUM(L199:L204)-SUMIF(CE199:CE204, 1, L199:L204)</f>
        <v>274.39</v>
      </c>
    </row>
    <row r="199" spans="1:83" x14ac:dyDescent="0.2">
      <c r="A199" s="53"/>
      <c r="B199" s="53" t="s">
        <v>450</v>
      </c>
      <c r="C199" s="53" t="s">
        <v>452</v>
      </c>
      <c r="D199" s="67" t="s">
        <v>48</v>
      </c>
      <c r="E199" s="68">
        <v>0.43</v>
      </c>
      <c r="F199" s="68"/>
      <c r="G199" s="68">
        <f>SmtRes!CX40</f>
        <v>7.3099999999999998E-2</v>
      </c>
      <c r="H199" s="69"/>
      <c r="I199" s="67"/>
      <c r="J199" s="69">
        <f>SmtRes!CZ40</f>
        <v>115.4</v>
      </c>
      <c r="K199" s="67"/>
      <c r="L199" s="69">
        <f>SmtRes!DF40</f>
        <v>8.44</v>
      </c>
    </row>
    <row r="200" spans="1:83" x14ac:dyDescent="0.2">
      <c r="A200" s="53"/>
      <c r="B200" s="53" t="s">
        <v>453</v>
      </c>
      <c r="C200" s="53" t="s">
        <v>455</v>
      </c>
      <c r="D200" s="67" t="s">
        <v>411</v>
      </c>
      <c r="E200" s="68">
        <v>0.09</v>
      </c>
      <c r="F200" s="68"/>
      <c r="G200" s="68">
        <f>SmtRes!CX41</f>
        <v>1.5299999999999999E-2</v>
      </c>
      <c r="H200" s="69">
        <f>SmtRes!CZ41</f>
        <v>41.38</v>
      </c>
      <c r="I200" s="67">
        <f>SmtRes!AI41</f>
        <v>1.39</v>
      </c>
      <c r="J200" s="69">
        <f>ROUND(H200*I200, 2)</f>
        <v>57.52</v>
      </c>
      <c r="K200" s="67"/>
      <c r="L200" s="69">
        <f>SmtRes!DF41</f>
        <v>0.88</v>
      </c>
    </row>
    <row r="201" spans="1:83" x14ac:dyDescent="0.2">
      <c r="A201" s="53"/>
      <c r="B201" s="53" t="s">
        <v>404</v>
      </c>
      <c r="C201" s="53" t="s">
        <v>406</v>
      </c>
      <c r="D201" s="67" t="s">
        <v>407</v>
      </c>
      <c r="E201" s="68">
        <v>0.54400000000000004</v>
      </c>
      <c r="F201" s="68"/>
      <c r="G201" s="68">
        <f>SmtRes!CX42</f>
        <v>9.2480000000000007E-2</v>
      </c>
      <c r="H201" s="69"/>
      <c r="I201" s="67"/>
      <c r="J201" s="69">
        <f>SmtRes!CZ42</f>
        <v>9.5500000000000007</v>
      </c>
      <c r="K201" s="67"/>
      <c r="L201" s="69">
        <f>SmtRes!DF42</f>
        <v>0.88</v>
      </c>
    </row>
    <row r="202" spans="1:83" ht="38.25" x14ac:dyDescent="0.2">
      <c r="A202" s="53"/>
      <c r="B202" s="53" t="s">
        <v>408</v>
      </c>
      <c r="C202" s="53" t="s">
        <v>410</v>
      </c>
      <c r="D202" s="67" t="s">
        <v>411</v>
      </c>
      <c r="E202" s="68">
        <v>0.7</v>
      </c>
      <c r="F202" s="68"/>
      <c r="G202" s="68">
        <f>SmtRes!CX43</f>
        <v>0.11899999999999999</v>
      </c>
      <c r="H202" s="69"/>
      <c r="I202" s="67"/>
      <c r="J202" s="69">
        <f>SmtRes!CZ43</f>
        <v>131.85</v>
      </c>
      <c r="K202" s="67"/>
      <c r="L202" s="69">
        <f>SmtRes!DF43</f>
        <v>15.69</v>
      </c>
    </row>
    <row r="203" spans="1:83" ht="38.25" x14ac:dyDescent="0.2">
      <c r="A203" s="53"/>
      <c r="B203" s="53" t="s">
        <v>456</v>
      </c>
      <c r="C203" s="53" t="s">
        <v>458</v>
      </c>
      <c r="D203" s="67" t="s">
        <v>248</v>
      </c>
      <c r="E203" s="68">
        <v>2.8000000000000001E-2</v>
      </c>
      <c r="F203" s="68"/>
      <c r="G203" s="68">
        <f>SmtRes!CX45</f>
        <v>4.7600000000000003E-3</v>
      </c>
      <c r="H203" s="69"/>
      <c r="I203" s="67"/>
      <c r="J203" s="69">
        <f>SmtRes!CZ45</f>
        <v>47531.7</v>
      </c>
      <c r="K203" s="67"/>
      <c r="L203" s="69">
        <f>SmtRes!DF45</f>
        <v>226.25</v>
      </c>
    </row>
    <row r="204" spans="1:83" x14ac:dyDescent="0.2">
      <c r="A204" s="53"/>
      <c r="B204" s="53" t="s">
        <v>459</v>
      </c>
      <c r="C204" s="53" t="s">
        <v>461</v>
      </c>
      <c r="D204" s="67" t="s">
        <v>411</v>
      </c>
      <c r="E204" s="68">
        <v>1.2</v>
      </c>
      <c r="F204" s="68"/>
      <c r="G204" s="68">
        <f>SmtRes!CX46</f>
        <v>0.20399999999999999</v>
      </c>
      <c r="H204" s="69">
        <f>SmtRes!CZ46</f>
        <v>61.28</v>
      </c>
      <c r="I204" s="67">
        <f>SmtRes!AI46</f>
        <v>1.78</v>
      </c>
      <c r="J204" s="69">
        <f>ROUND(H204*I204, 2)</f>
        <v>109.08</v>
      </c>
      <c r="K204" s="67"/>
      <c r="L204" s="69">
        <f>SmtRes!DF46</f>
        <v>22.25</v>
      </c>
    </row>
    <row r="205" spans="1:83" x14ac:dyDescent="0.2">
      <c r="A205" s="53"/>
      <c r="B205" s="53"/>
      <c r="C205" s="73"/>
      <c r="D205" s="74"/>
      <c r="E205" s="75"/>
      <c r="F205" s="75"/>
      <c r="G205" s="75"/>
      <c r="H205" s="76"/>
      <c r="I205" s="74"/>
      <c r="J205" s="76"/>
      <c r="K205" s="74"/>
      <c r="L205" s="76"/>
    </row>
    <row r="206" spans="1:83" x14ac:dyDescent="0.2">
      <c r="A206" s="53"/>
      <c r="B206" s="53"/>
      <c r="C206" s="52" t="s">
        <v>269</v>
      </c>
      <c r="D206" s="67"/>
      <c r="E206" s="68"/>
      <c r="F206" s="68"/>
      <c r="G206" s="68"/>
      <c r="H206" s="69"/>
      <c r="I206" s="67"/>
      <c r="J206" s="69"/>
      <c r="K206" s="67"/>
      <c r="L206" s="69">
        <f>L183+L185+L186+L198</f>
        <v>3504.8899999999994</v>
      </c>
    </row>
    <row r="207" spans="1:83" ht="25.5" x14ac:dyDescent="0.2">
      <c r="A207" s="66" t="s">
        <v>686</v>
      </c>
      <c r="B207" s="53" t="str">
        <f>Source!F75</f>
        <v>04.1.02.05-0264</v>
      </c>
      <c r="C207" s="53" t="str">
        <f>Source!G75</f>
        <v>Смеси бетонные тяжелого бетона (БСТ) на щебне из гравия, класс В15, F(1)200, W6</v>
      </c>
      <c r="D207" s="67" t="str">
        <f>Source!H75</f>
        <v>м3</v>
      </c>
      <c r="E207" s="68">
        <f>SmtRes!AT44</f>
        <v>0.57999999999999996</v>
      </c>
      <c r="F207" s="68"/>
      <c r="G207" s="68">
        <f>Source!I75</f>
        <v>9.8600000000000007E-2</v>
      </c>
      <c r="H207" s="69">
        <f>Source!AL75+Source!AO75+Source!AM75+Source!AN75</f>
        <v>4768.6099999999997</v>
      </c>
      <c r="I207" s="67">
        <f>IF(Source!BC75&lt;&gt; 0, Source!BC75, 1)</f>
        <v>1.45</v>
      </c>
      <c r="J207" s="69">
        <f>ROUND(H207*I207, 2)</f>
        <v>6914.48</v>
      </c>
      <c r="K207" s="67"/>
      <c r="L207" s="69">
        <f>Source!P75</f>
        <v>681.77</v>
      </c>
      <c r="AD207">
        <f>ROUND((Source!AT75/100)*((ROUND(ROUND(Source!AO75,2)*Source!I75, 2)+ROUND(ROUND(Source!AN75,2)*Source!I75, 2))), 2)</f>
        <v>0</v>
      </c>
      <c r="AE207">
        <f>ROUND((Source!AU75/100)*((ROUND(ROUND(Source!AO75,2)*Source!I75, 2)+ROUND(ROUND(Source!AN75,2)*Source!I75, 2))), 2)</f>
        <v>0</v>
      </c>
      <c r="AN207">
        <f>L207</f>
        <v>681.77</v>
      </c>
      <c r="AW207">
        <f>L207</f>
        <v>681.77</v>
      </c>
      <c r="AZ207">
        <f>Source!X75</f>
        <v>0</v>
      </c>
      <c r="BA207">
        <f>Source!Y75</f>
        <v>0</v>
      </c>
      <c r="CD207">
        <v>1</v>
      </c>
    </row>
    <row r="208" spans="1:83" ht="51" x14ac:dyDescent="0.2">
      <c r="A208" s="66" t="s">
        <v>687</v>
      </c>
      <c r="B208" s="53" t="str">
        <f>Source!F76</f>
        <v>23.5.02.02-0029</v>
      </c>
      <c r="C208" s="53" t="str">
        <f>Source!G76</f>
        <v>Трубы стальные электросварные прямошовные из стали марок Ст2, 10, наружный диаметр 40 мм, толщина стенки 3 мм</v>
      </c>
      <c r="D208" s="67" t="str">
        <f>Source!H76</f>
        <v>м</v>
      </c>
      <c r="E208" s="68">
        <f>SmtRes!AT47</f>
        <v>52.941176499999997</v>
      </c>
      <c r="F208" s="68"/>
      <c r="G208" s="68">
        <f>Source!I76</f>
        <v>9</v>
      </c>
      <c r="H208" s="69">
        <f>Source!AL76+Source!AO76+Source!AM76+Source!AN76</f>
        <v>151.03</v>
      </c>
      <c r="I208" s="67">
        <f>IF(Source!BC76&lt;&gt; 0, Source!BC76, 1)</f>
        <v>0.88</v>
      </c>
      <c r="J208" s="69">
        <f>ROUND(H208*I208, 2)</f>
        <v>132.91</v>
      </c>
      <c r="K208" s="67"/>
      <c r="L208" s="69">
        <f>Source!P76</f>
        <v>1196.19</v>
      </c>
      <c r="AD208">
        <f>ROUND((Source!AT76/100)*((ROUND(ROUND(Source!AO76,2)*Source!I76, 2)+ROUND(ROUND(Source!AN76,2)*Source!I76, 2))), 2)</f>
        <v>0</v>
      </c>
      <c r="AE208">
        <f>ROUND((Source!AU76/100)*((ROUND(ROUND(Source!AO76,2)*Source!I76, 2)+ROUND(ROUND(Source!AN76,2)*Source!I76, 2))), 2)</f>
        <v>0</v>
      </c>
      <c r="AN208">
        <f>L208</f>
        <v>1196.19</v>
      </c>
      <c r="AW208">
        <f>L208</f>
        <v>1196.19</v>
      </c>
      <c r="AZ208">
        <f>Source!X76</f>
        <v>0</v>
      </c>
      <c r="BA208">
        <f>Source!Y76</f>
        <v>0</v>
      </c>
      <c r="CD208">
        <v>1</v>
      </c>
    </row>
    <row r="209" spans="1:83" x14ac:dyDescent="0.2">
      <c r="A209" s="53"/>
      <c r="B209" s="53"/>
      <c r="C209" s="53" t="s">
        <v>637</v>
      </c>
      <c r="D209" s="67"/>
      <c r="E209" s="68"/>
      <c r="F209" s="68"/>
      <c r="G209" s="68"/>
      <c r="H209" s="69"/>
      <c r="I209" s="67"/>
      <c r="J209" s="69"/>
      <c r="K209" s="67"/>
      <c r="L209" s="69">
        <f>SUM(AR181:AR212)+SUM(AS181:AS212)+SUM(AT181:AT212)+SUM(AU181:AU212)+SUM(AV181:AV212)</f>
        <v>1485.48</v>
      </c>
    </row>
    <row r="210" spans="1:83" ht="38.25" x14ac:dyDescent="0.2">
      <c r="A210" s="53"/>
      <c r="B210" s="53" t="s">
        <v>43</v>
      </c>
      <c r="C210" s="53" t="s">
        <v>649</v>
      </c>
      <c r="D210" s="67" t="s">
        <v>199</v>
      </c>
      <c r="E210" s="68">
        <f>Source!BZ74</f>
        <v>117</v>
      </c>
      <c r="F210" s="68"/>
      <c r="G210" s="68">
        <f>Source!AT74</f>
        <v>117</v>
      </c>
      <c r="H210" s="69"/>
      <c r="I210" s="67"/>
      <c r="J210" s="69"/>
      <c r="K210" s="67"/>
      <c r="L210" s="69">
        <f>SUM(AZ181:AZ212)</f>
        <v>1738.01</v>
      </c>
    </row>
    <row r="211" spans="1:83" ht="38.25" x14ac:dyDescent="0.2">
      <c r="A211" s="73"/>
      <c r="B211" s="73" t="s">
        <v>44</v>
      </c>
      <c r="C211" s="73" t="s">
        <v>650</v>
      </c>
      <c r="D211" s="74" t="s">
        <v>199</v>
      </c>
      <c r="E211" s="75">
        <f>Source!CA74</f>
        <v>74</v>
      </c>
      <c r="F211" s="75"/>
      <c r="G211" s="75">
        <f>Source!AU74</f>
        <v>74</v>
      </c>
      <c r="H211" s="76"/>
      <c r="I211" s="74"/>
      <c r="J211" s="76"/>
      <c r="K211" s="74"/>
      <c r="L211" s="76">
        <f>SUM(BA181:BA212)</f>
        <v>1099.26</v>
      </c>
    </row>
    <row r="212" spans="1:83" x14ac:dyDescent="0.2">
      <c r="A212" s="18"/>
      <c r="B212" s="18"/>
      <c r="C212" s="77" t="s">
        <v>640</v>
      </c>
      <c r="D212" s="77"/>
      <c r="E212" s="77"/>
      <c r="F212" s="77"/>
      <c r="G212" s="77"/>
      <c r="H212" s="77"/>
      <c r="I212" s="78">
        <f>IF(E181&lt;&gt;0,K212/E181, 0)</f>
        <v>48353.647058823517</v>
      </c>
      <c r="J212" s="78"/>
      <c r="K212" s="78">
        <f>L183+L185+L198+L210+L211+L186+SUM(L207:L208)</f>
        <v>8220.119999999999</v>
      </c>
      <c r="L212" s="78"/>
      <c r="AD212">
        <f>ROUND((Source!AT74/100)*((ROUND(SUMIF(SmtRes!AQ30:'SmtRes'!AQ47,"=1",SmtRes!AD30:'SmtRes'!AD47)*Source!I74, 2)+ROUND(SUMIF(SmtRes!AQ30:'SmtRes'!AQ47,"=1",SmtRes!AC30:'SmtRes'!AC47)*Source!I74, 2))), 2)</f>
        <v>355.87</v>
      </c>
      <c r="AE212">
        <f>ROUND((Source!AU74/100)*((ROUND(SUMIF(SmtRes!AQ30:'SmtRes'!AQ47,"=1",SmtRes!AD30:'SmtRes'!AD47)*Source!I74, 2)+ROUND(SUMIF(SmtRes!AQ30:'SmtRes'!AQ47,"=1",SmtRes!AC30:'SmtRes'!AC47)*Source!I74, 2))), 2)</f>
        <v>225.08</v>
      </c>
      <c r="AN212" s="17">
        <f>L183+L185+L198+L210+L211+L186</f>
        <v>6342.16</v>
      </c>
      <c r="AO212" s="17">
        <f>L185</f>
        <v>1745.02</v>
      </c>
      <c r="AQ212" t="s">
        <v>641</v>
      </c>
      <c r="AR212" s="17">
        <f>L183</f>
        <v>1091.55</v>
      </c>
      <c r="AT212" s="17">
        <f>L186</f>
        <v>393.93</v>
      </c>
      <c r="AV212" t="s">
        <v>641</v>
      </c>
      <c r="AW212" s="17">
        <f>L198</f>
        <v>274.39</v>
      </c>
      <c r="AZ212">
        <f>Source!X74</f>
        <v>1738.01</v>
      </c>
      <c r="BA212">
        <f>Source!Y74</f>
        <v>1099.26</v>
      </c>
      <c r="CD212">
        <v>1</v>
      </c>
    </row>
    <row r="213" spans="1:83" ht="51" x14ac:dyDescent="0.2">
      <c r="A213" s="66" t="s">
        <v>152</v>
      </c>
      <c r="B213" s="53" t="s">
        <v>688</v>
      </c>
      <c r="C213" s="53" t="str">
        <f>Source!G77</f>
        <v>Сварка полиэтиленовых труб при помощи соединительных деталей с закладными электронагревателями, диаметр труб: свыше 32 до 63 мм</v>
      </c>
      <c r="D213" s="67" t="str">
        <f>Source!H77</f>
        <v>соединение</v>
      </c>
      <c r="E213" s="68">
        <f>Source!K77</f>
        <v>4</v>
      </c>
      <c r="F213" s="68"/>
      <c r="G213" s="68">
        <f>Source!I77</f>
        <v>4</v>
      </c>
      <c r="H213" s="69"/>
      <c r="I213" s="67"/>
      <c r="J213" s="69"/>
      <c r="K213" s="67"/>
      <c r="L213" s="69"/>
    </row>
    <row r="214" spans="1:83" x14ac:dyDescent="0.2">
      <c r="A214" s="70"/>
      <c r="B214" s="68">
        <v>1</v>
      </c>
      <c r="C214" s="70" t="s">
        <v>643</v>
      </c>
      <c r="D214" s="67" t="s">
        <v>359</v>
      </c>
      <c r="E214" s="71"/>
      <c r="F214" s="68"/>
      <c r="G214" s="68">
        <f>Source!U77</f>
        <v>1.28</v>
      </c>
      <c r="H214" s="68"/>
      <c r="I214" s="68"/>
      <c r="J214" s="68"/>
      <c r="K214" s="68"/>
      <c r="L214" s="72">
        <f>SUM(L215:L215)-SUMIF(CE215:CE215, 1, L215:L215)</f>
        <v>495.1</v>
      </c>
    </row>
    <row r="215" spans="1:83" x14ac:dyDescent="0.2">
      <c r="A215" s="53"/>
      <c r="B215" s="53" t="s">
        <v>462</v>
      </c>
      <c r="C215" s="53" t="s">
        <v>463</v>
      </c>
      <c r="D215" s="67" t="s">
        <v>359</v>
      </c>
      <c r="E215" s="68">
        <v>0.32</v>
      </c>
      <c r="F215" s="68"/>
      <c r="G215" s="68">
        <f>SmtRes!CX48</f>
        <v>1.28</v>
      </c>
      <c r="H215" s="69"/>
      <c r="I215" s="67"/>
      <c r="J215" s="69">
        <f>SmtRes!CZ48</f>
        <v>386.8</v>
      </c>
      <c r="K215" s="67"/>
      <c r="L215" s="69">
        <f>SmtRes!DI48</f>
        <v>495.1</v>
      </c>
    </row>
    <row r="216" spans="1:83" x14ac:dyDescent="0.2">
      <c r="A216" s="70"/>
      <c r="B216" s="68">
        <v>2</v>
      </c>
      <c r="C216" s="70" t="s">
        <v>634</v>
      </c>
      <c r="D216" s="67"/>
      <c r="E216" s="71"/>
      <c r="F216" s="68"/>
      <c r="G216" s="68"/>
      <c r="H216" s="68"/>
      <c r="I216" s="68"/>
      <c r="J216" s="68"/>
      <c r="K216" s="68"/>
      <c r="L216" s="72">
        <f>SUM(L217:L219)-SUMIF(CE217:CE219, 1, L217:L219)</f>
        <v>16.23</v>
      </c>
    </row>
    <row r="217" spans="1:83" hidden="1" x14ac:dyDescent="0.2">
      <c r="A217" s="70"/>
      <c r="B217" s="68"/>
      <c r="C217" s="70" t="s">
        <v>636</v>
      </c>
      <c r="D217" s="67" t="s">
        <v>359</v>
      </c>
      <c r="E217" s="71"/>
      <c r="F217" s="68"/>
      <c r="G217" s="68">
        <f>Source!V77</f>
        <v>0</v>
      </c>
      <c r="H217" s="68"/>
      <c r="I217" s="68"/>
      <c r="J217" s="68"/>
      <c r="K217" s="68"/>
      <c r="L217" s="72">
        <f>SUMIF(CE218:CE219, 1, L218:L219)</f>
        <v>0</v>
      </c>
      <c r="CE217">
        <v>1</v>
      </c>
    </row>
    <row r="218" spans="1:83" ht="38.25" x14ac:dyDescent="0.2">
      <c r="A218" s="53"/>
      <c r="B218" s="53" t="s">
        <v>464</v>
      </c>
      <c r="C218" s="53" t="s">
        <v>466</v>
      </c>
      <c r="D218" s="67" t="s">
        <v>363</v>
      </c>
      <c r="E218" s="68">
        <v>0.19</v>
      </c>
      <c r="F218" s="68"/>
      <c r="G218" s="68">
        <f>SmtRes!CX49</f>
        <v>0.76</v>
      </c>
      <c r="H218" s="69">
        <f>SmtRes!CZ49</f>
        <v>8.6300000000000008</v>
      </c>
      <c r="I218" s="67">
        <f>SmtRes!AJ49</f>
        <v>1.6</v>
      </c>
      <c r="J218" s="69">
        <f>ROUND(H218*I218, 2)</f>
        <v>13.81</v>
      </c>
      <c r="K218" s="67"/>
      <c r="L218" s="69">
        <f>SmtRes!DG49</f>
        <v>10.5</v>
      </c>
    </row>
    <row r="219" spans="1:83" ht="38.25" x14ac:dyDescent="0.2">
      <c r="A219" s="53"/>
      <c r="B219" s="53" t="s">
        <v>467</v>
      </c>
      <c r="C219" s="53" t="s">
        <v>469</v>
      </c>
      <c r="D219" s="67" t="s">
        <v>363</v>
      </c>
      <c r="E219" s="68">
        <v>0.33</v>
      </c>
      <c r="F219" s="68"/>
      <c r="G219" s="68">
        <f>SmtRes!CX50</f>
        <v>1.32</v>
      </c>
      <c r="H219" s="69">
        <f>SmtRes!CZ50</f>
        <v>3.34</v>
      </c>
      <c r="I219" s="67">
        <f>SmtRes!AJ50</f>
        <v>1.3</v>
      </c>
      <c r="J219" s="69">
        <f>ROUND(H219*I219, 2)</f>
        <v>4.34</v>
      </c>
      <c r="K219" s="67"/>
      <c r="L219" s="69">
        <f>SmtRes!DG50</f>
        <v>5.73</v>
      </c>
    </row>
    <row r="220" spans="1:83" x14ac:dyDescent="0.2">
      <c r="A220" s="70"/>
      <c r="B220" s="68">
        <v>4</v>
      </c>
      <c r="C220" s="70" t="s">
        <v>681</v>
      </c>
      <c r="D220" s="67"/>
      <c r="E220" s="71"/>
      <c r="F220" s="68"/>
      <c r="G220" s="68"/>
      <c r="H220" s="68"/>
      <c r="I220" s="68"/>
      <c r="J220" s="68"/>
      <c r="K220" s="68"/>
      <c r="L220" s="72">
        <f>SUM(L221:L222)-SUMIF(CE221:CE222, 1, L221:L222)</f>
        <v>80.94</v>
      </c>
    </row>
    <row r="221" spans="1:83" ht="25.5" x14ac:dyDescent="0.2">
      <c r="A221" s="53"/>
      <c r="B221" s="53" t="s">
        <v>470</v>
      </c>
      <c r="C221" s="53" t="s">
        <v>472</v>
      </c>
      <c r="D221" s="67" t="s">
        <v>411</v>
      </c>
      <c r="E221" s="68">
        <v>0.02</v>
      </c>
      <c r="F221" s="68"/>
      <c r="G221" s="68">
        <f>SmtRes!CX51</f>
        <v>0.08</v>
      </c>
      <c r="H221" s="69">
        <f>SmtRes!CZ51</f>
        <v>596.80999999999995</v>
      </c>
      <c r="I221" s="67">
        <f>SmtRes!AI51</f>
        <v>1.68</v>
      </c>
      <c r="J221" s="69">
        <f>ROUND(H221*I221, 2)</f>
        <v>1002.64</v>
      </c>
      <c r="K221" s="67"/>
      <c r="L221" s="69">
        <f>SmtRes!DF51</f>
        <v>80.209999999999994</v>
      </c>
    </row>
    <row r="222" spans="1:83" x14ac:dyDescent="0.2">
      <c r="A222" s="53"/>
      <c r="B222" s="53" t="s">
        <v>473</v>
      </c>
      <c r="C222" s="53" t="s">
        <v>475</v>
      </c>
      <c r="D222" s="67" t="s">
        <v>411</v>
      </c>
      <c r="E222" s="68">
        <v>2E-3</v>
      </c>
      <c r="F222" s="68"/>
      <c r="G222" s="68">
        <f>SmtRes!CX52</f>
        <v>8.0000000000000002E-3</v>
      </c>
      <c r="H222" s="69">
        <f>SmtRes!CZ52</f>
        <v>56.11</v>
      </c>
      <c r="I222" s="67">
        <f>SmtRes!AI52</f>
        <v>1.63</v>
      </c>
      <c r="J222" s="69">
        <f>ROUND(H222*I222, 2)</f>
        <v>91.46</v>
      </c>
      <c r="K222" s="67"/>
      <c r="L222" s="69">
        <f>SmtRes!DF52</f>
        <v>0.73</v>
      </c>
    </row>
    <row r="223" spans="1:83" ht="25.5" x14ac:dyDescent="0.2">
      <c r="A223" s="53"/>
      <c r="B223" s="53" t="str">
        <f>EtalonRes!I54</f>
        <v>24.3.05.07</v>
      </c>
      <c r="C223" s="73" t="str">
        <f>EtalonRes!K54</f>
        <v>Муфты полиэтиленовые с закладными электронагревателями</v>
      </c>
      <c r="D223" s="74" t="str">
        <f>EtalonRes!O54</f>
        <v>ШТ</v>
      </c>
      <c r="E223" s="75">
        <f>EtalonRes!X54</f>
        <v>1</v>
      </c>
      <c r="F223" s="75"/>
      <c r="G223" s="75">
        <f>ROUND(EtalonRes!AG54*Source!I77, 7)</f>
        <v>4</v>
      </c>
      <c r="H223" s="76"/>
      <c r="I223" s="74"/>
      <c r="J223" s="76"/>
      <c r="K223" s="74"/>
      <c r="L223" s="76"/>
    </row>
    <row r="224" spans="1:83" x14ac:dyDescent="0.2">
      <c r="A224" s="53"/>
      <c r="B224" s="53"/>
      <c r="C224" s="52" t="s">
        <v>269</v>
      </c>
      <c r="D224" s="67"/>
      <c r="E224" s="68"/>
      <c r="F224" s="68"/>
      <c r="G224" s="68"/>
      <c r="H224" s="69"/>
      <c r="I224" s="67"/>
      <c r="J224" s="69"/>
      <c r="K224" s="67"/>
      <c r="L224" s="69">
        <f>L214+L216+L217+L220</f>
        <v>592.27</v>
      </c>
    </row>
    <row r="225" spans="1:83" ht="25.5" x14ac:dyDescent="0.2">
      <c r="A225" s="66" t="s">
        <v>689</v>
      </c>
      <c r="B225" s="53" t="str">
        <f>Source!F78</f>
        <v>24.3.05.07-0603</v>
      </c>
      <c r="C225" s="53" t="str">
        <f>Source!G78</f>
        <v>Муфта полиэтиленовая электросварная, ПЭ100, SDR11, диаметр 63 мм</v>
      </c>
      <c r="D225" s="67" t="str">
        <f>Source!H78</f>
        <v>ШТ</v>
      </c>
      <c r="E225" s="68">
        <f>SmtRes!AT53</f>
        <v>1</v>
      </c>
      <c r="F225" s="68"/>
      <c r="G225" s="68">
        <f>Source!I78</f>
        <v>4</v>
      </c>
      <c r="H225" s="69">
        <f>Source!AL78+Source!AO78+Source!AM78+Source!AN78</f>
        <v>206.84</v>
      </c>
      <c r="I225" s="67">
        <f>IF(Source!BC78&lt;&gt; 0, Source!BC78, 1)</f>
        <v>1.27</v>
      </c>
      <c r="J225" s="69">
        <f>ROUND(H225*I225, 2)</f>
        <v>262.69</v>
      </c>
      <c r="K225" s="67"/>
      <c r="L225" s="69">
        <f>Source!P78</f>
        <v>1050.76</v>
      </c>
      <c r="AD225">
        <f>ROUND((Source!AT78/100)*((ROUND(ROUND(Source!AO78,2)*Source!I78, 2)+ROUND(ROUND(Source!AN78,2)*Source!I78, 2))), 2)</f>
        <v>0</v>
      </c>
      <c r="AE225">
        <f>ROUND((Source!AU78/100)*((ROUND(ROUND(Source!AO78,2)*Source!I78, 2)+ROUND(ROUND(Source!AN78,2)*Source!I78, 2))), 2)</f>
        <v>0</v>
      </c>
      <c r="AN225">
        <f>L225</f>
        <v>1050.76</v>
      </c>
      <c r="AW225">
        <f>L225</f>
        <v>1050.76</v>
      </c>
      <c r="AZ225">
        <f>Source!X78</f>
        <v>0</v>
      </c>
      <c r="BA225">
        <f>Source!Y78</f>
        <v>0</v>
      </c>
      <c r="CD225">
        <v>1</v>
      </c>
    </row>
    <row r="226" spans="1:83" x14ac:dyDescent="0.2">
      <c r="A226" s="53"/>
      <c r="B226" s="53"/>
      <c r="C226" s="53" t="s">
        <v>637</v>
      </c>
      <c r="D226" s="67"/>
      <c r="E226" s="68"/>
      <c r="F226" s="68"/>
      <c r="G226" s="68"/>
      <c r="H226" s="69"/>
      <c r="I226" s="67"/>
      <c r="J226" s="69"/>
      <c r="K226" s="67"/>
      <c r="L226" s="69">
        <f>SUM(AR213:AR229)+SUM(AS213:AS229)+SUM(AT213:AT229)+SUM(AU213:AU229)+SUM(AV213:AV229)</f>
        <v>495.1</v>
      </c>
    </row>
    <row r="227" spans="1:83" ht="38.25" x14ac:dyDescent="0.2">
      <c r="A227" s="53"/>
      <c r="B227" s="53" t="s">
        <v>43</v>
      </c>
      <c r="C227" s="53" t="s">
        <v>649</v>
      </c>
      <c r="D227" s="67" t="s">
        <v>199</v>
      </c>
      <c r="E227" s="68">
        <f>Source!BZ77</f>
        <v>117</v>
      </c>
      <c r="F227" s="68"/>
      <c r="G227" s="68">
        <f>Source!AT77</f>
        <v>117</v>
      </c>
      <c r="H227" s="69"/>
      <c r="I227" s="67"/>
      <c r="J227" s="69"/>
      <c r="K227" s="67"/>
      <c r="L227" s="69">
        <f>SUM(AZ213:AZ229)</f>
        <v>579.27</v>
      </c>
    </row>
    <row r="228" spans="1:83" ht="38.25" x14ac:dyDescent="0.2">
      <c r="A228" s="73"/>
      <c r="B228" s="73" t="s">
        <v>44</v>
      </c>
      <c r="C228" s="73" t="s">
        <v>650</v>
      </c>
      <c r="D228" s="74" t="s">
        <v>199</v>
      </c>
      <c r="E228" s="75">
        <f>Source!CA77</f>
        <v>74</v>
      </c>
      <c r="F228" s="75"/>
      <c r="G228" s="75">
        <f>Source!AU77</f>
        <v>74</v>
      </c>
      <c r="H228" s="76"/>
      <c r="I228" s="74"/>
      <c r="J228" s="76"/>
      <c r="K228" s="74"/>
      <c r="L228" s="76">
        <f>SUM(BA213:BA229)</f>
        <v>366.37</v>
      </c>
    </row>
    <row r="229" spans="1:83" x14ac:dyDescent="0.2">
      <c r="A229" s="18"/>
      <c r="B229" s="18"/>
      <c r="C229" s="77" t="s">
        <v>640</v>
      </c>
      <c r="D229" s="77"/>
      <c r="E229" s="77"/>
      <c r="F229" s="77"/>
      <c r="G229" s="77"/>
      <c r="H229" s="77"/>
      <c r="I229" s="78">
        <f>IF(E213&lt;&gt;0,K229/E213, 0)</f>
        <v>647.16750000000002</v>
      </c>
      <c r="J229" s="78"/>
      <c r="K229" s="78">
        <f>L214+L216+L220+L227+L228+L217+SUM(L225:L225)</f>
        <v>2588.67</v>
      </c>
      <c r="L229" s="78"/>
      <c r="AD229">
        <f>ROUND((Source!AT77/100)*((ROUND(SUMIF(SmtRes!AQ48:'SmtRes'!AQ53,"=1",SmtRes!AD48:'SmtRes'!AD53)*Source!I77, 2)+ROUND(SUMIF(SmtRes!AQ48:'SmtRes'!AQ53,"=1",SmtRes!AC48:'SmtRes'!AC53)*Source!I77, 2))), 2)</f>
        <v>1810.22</v>
      </c>
      <c r="AE229">
        <f>ROUND((Source!AU77/100)*((ROUND(SUMIF(SmtRes!AQ48:'SmtRes'!AQ53,"=1",SmtRes!AD48:'SmtRes'!AD53)*Source!I77, 2)+ROUND(SUMIF(SmtRes!AQ48:'SmtRes'!AQ53,"=1",SmtRes!AC48:'SmtRes'!AC53)*Source!I77, 2))), 2)</f>
        <v>1144.93</v>
      </c>
      <c r="AN229" s="17">
        <f>L214+L216+L220+L227+L228+L217</f>
        <v>1537.9099999999999</v>
      </c>
      <c r="AO229" s="17">
        <f>L216</f>
        <v>16.23</v>
      </c>
      <c r="AQ229" t="s">
        <v>641</v>
      </c>
      <c r="AR229" s="17">
        <f>L214</f>
        <v>495.1</v>
      </c>
      <c r="AT229" s="17">
        <f>L217</f>
        <v>0</v>
      </c>
      <c r="AV229" t="s">
        <v>641</v>
      </c>
      <c r="AW229" s="17">
        <f>L220</f>
        <v>80.94</v>
      </c>
      <c r="AZ229">
        <f>Source!X77</f>
        <v>579.27</v>
      </c>
      <c r="BA229">
        <f>Source!Y77</f>
        <v>366.37</v>
      </c>
      <c r="CD229">
        <v>1</v>
      </c>
    </row>
    <row r="230" spans="1:83" ht="51" x14ac:dyDescent="0.2">
      <c r="A230" s="66" t="s">
        <v>161</v>
      </c>
      <c r="B230" s="53" t="s">
        <v>690</v>
      </c>
      <c r="C230" s="53" t="str">
        <f>Source!G79</f>
        <v>Устройство цокольного газового ввода на наружных сетях полиэтиленовых газопроводов с соединением "сталь-полиэтилен", диаметр газопровода: 63 мм</v>
      </c>
      <c r="D230" s="67" t="str">
        <f>Source!H79</f>
        <v>10 узлов</v>
      </c>
      <c r="E230" s="68">
        <f>Source!K79</f>
        <v>0.1</v>
      </c>
      <c r="F230" s="68"/>
      <c r="G230" s="68">
        <f>Source!I79</f>
        <v>0.1</v>
      </c>
      <c r="H230" s="69"/>
      <c r="I230" s="67"/>
      <c r="J230" s="69"/>
      <c r="K230" s="67"/>
      <c r="L230" s="69"/>
    </row>
    <row r="231" spans="1:83" x14ac:dyDescent="0.2">
      <c r="A231" s="18"/>
      <c r="B231" s="18"/>
      <c r="C231" s="51" t="str">
        <f>"Объем: "&amp;Source!I79&amp;"=1/"&amp;"10"</f>
        <v>Объем: 0,1=1/10</v>
      </c>
      <c r="D231" s="18"/>
      <c r="E231" s="18"/>
      <c r="F231" s="18"/>
      <c r="G231" s="18"/>
      <c r="H231" s="18"/>
      <c r="I231" s="18"/>
      <c r="J231" s="18"/>
      <c r="K231" s="18"/>
      <c r="L231" s="18"/>
    </row>
    <row r="232" spans="1:83" x14ac:dyDescent="0.2">
      <c r="A232" s="70"/>
      <c r="B232" s="68">
        <v>1</v>
      </c>
      <c r="C232" s="70" t="s">
        <v>643</v>
      </c>
      <c r="D232" s="67" t="s">
        <v>359</v>
      </c>
      <c r="E232" s="71"/>
      <c r="F232" s="68"/>
      <c r="G232" s="68">
        <f>Source!U79</f>
        <v>6.9929999999999994</v>
      </c>
      <c r="H232" s="68"/>
      <c r="I232" s="68"/>
      <c r="J232" s="68"/>
      <c r="K232" s="68"/>
      <c r="L232" s="72">
        <f>SUM(L233:L234)-SUMIF(CE233:CE234, 1, L233:L234)</f>
        <v>2798.1400000000003</v>
      </c>
    </row>
    <row r="233" spans="1:83" x14ac:dyDescent="0.2">
      <c r="A233" s="53"/>
      <c r="B233" s="53" t="s">
        <v>476</v>
      </c>
      <c r="C233" s="53" t="s">
        <v>477</v>
      </c>
      <c r="D233" s="67" t="s">
        <v>478</v>
      </c>
      <c r="E233" s="68">
        <v>0.1</v>
      </c>
      <c r="F233" s="68"/>
      <c r="G233" s="68">
        <f>SmtRes!CX54</f>
        <v>0.01</v>
      </c>
      <c r="H233" s="69"/>
      <c r="I233" s="67"/>
      <c r="J233" s="69">
        <f>SmtRes!CZ54</f>
        <v>325.57</v>
      </c>
      <c r="K233" s="67"/>
      <c r="L233" s="69">
        <f>SmtRes!DI54</f>
        <v>3.26</v>
      </c>
    </row>
    <row r="234" spans="1:83" x14ac:dyDescent="0.2">
      <c r="A234" s="53"/>
      <c r="B234" s="53" t="s">
        <v>479</v>
      </c>
      <c r="C234" s="53" t="s">
        <v>480</v>
      </c>
      <c r="D234" s="67" t="s">
        <v>478</v>
      </c>
      <c r="E234" s="68">
        <v>69.83</v>
      </c>
      <c r="F234" s="68"/>
      <c r="G234" s="68">
        <f>SmtRes!CX55</f>
        <v>6.9829999999999997</v>
      </c>
      <c r="H234" s="69"/>
      <c r="I234" s="67"/>
      <c r="J234" s="69">
        <f>SmtRes!CZ55</f>
        <v>400.24</v>
      </c>
      <c r="K234" s="67"/>
      <c r="L234" s="69">
        <f>SmtRes!DI55</f>
        <v>2794.88</v>
      </c>
    </row>
    <row r="235" spans="1:83" x14ac:dyDescent="0.2">
      <c r="A235" s="70"/>
      <c r="B235" s="68">
        <v>2</v>
      </c>
      <c r="C235" s="70" t="s">
        <v>634</v>
      </c>
      <c r="D235" s="67"/>
      <c r="E235" s="71"/>
      <c r="F235" s="68"/>
      <c r="G235" s="68"/>
      <c r="H235" s="68"/>
      <c r="I235" s="68"/>
      <c r="J235" s="68"/>
      <c r="K235" s="68"/>
      <c r="L235" s="72">
        <f>SUM(L236:L241)-SUMIF(CE236:CE241, 1, L236:L241)</f>
        <v>30.650000000000002</v>
      </c>
    </row>
    <row r="236" spans="1:83" x14ac:dyDescent="0.2">
      <c r="A236" s="70"/>
      <c r="B236" s="68"/>
      <c r="C236" s="70" t="s">
        <v>636</v>
      </c>
      <c r="D236" s="67" t="s">
        <v>359</v>
      </c>
      <c r="E236" s="71"/>
      <c r="F236" s="68"/>
      <c r="G236" s="68">
        <f>Source!V79</f>
        <v>8.9999999999999993E-3</v>
      </c>
      <c r="H236" s="68"/>
      <c r="I236" s="68"/>
      <c r="J236" s="68"/>
      <c r="K236" s="68"/>
      <c r="L236" s="72">
        <f>SUMIF(CE237:CE241, 1, L237:L241)</f>
        <v>3.6</v>
      </c>
      <c r="CE236">
        <v>1</v>
      </c>
    </row>
    <row r="237" spans="1:83" ht="25.5" x14ac:dyDescent="0.2">
      <c r="A237" s="53"/>
      <c r="B237" s="53" t="s">
        <v>441</v>
      </c>
      <c r="C237" s="53" t="s">
        <v>443</v>
      </c>
      <c r="D237" s="67" t="s">
        <v>363</v>
      </c>
      <c r="E237" s="68">
        <v>0.09</v>
      </c>
      <c r="F237" s="68"/>
      <c r="G237" s="68">
        <f>SmtRes!CX57</f>
        <v>8.9999999999999993E-3</v>
      </c>
      <c r="H237" s="69"/>
      <c r="I237" s="67"/>
      <c r="J237" s="69">
        <f>SmtRes!CZ57</f>
        <v>655.95</v>
      </c>
      <c r="K237" s="67"/>
      <c r="L237" s="69">
        <f>SmtRes!DG57</f>
        <v>5.9</v>
      </c>
    </row>
    <row r="238" spans="1:83" x14ac:dyDescent="0.2">
      <c r="A238" s="53"/>
      <c r="B238" s="53" t="s">
        <v>400</v>
      </c>
      <c r="C238" s="53" t="s">
        <v>683</v>
      </c>
      <c r="D238" s="67" t="s">
        <v>359</v>
      </c>
      <c r="E238" s="68">
        <f>SmtRes!DO57*SmtRes!AT57</f>
        <v>0.09</v>
      </c>
      <c r="F238" s="68"/>
      <c r="G238" s="68">
        <f>ROUND(E238*G230, 7)</f>
        <v>8.9999999999999993E-3</v>
      </c>
      <c r="H238" s="69"/>
      <c r="I238" s="67"/>
      <c r="J238" s="69">
        <f>ROUND(SmtRes!AG57/SmtRes!DO57, 2)</f>
        <v>400.24</v>
      </c>
      <c r="K238" s="67"/>
      <c r="L238" s="69">
        <f>SmtRes!DH57</f>
        <v>3.6</v>
      </c>
      <c r="CE238">
        <v>1</v>
      </c>
    </row>
    <row r="239" spans="1:83" ht="38.25" x14ac:dyDescent="0.2">
      <c r="A239" s="53"/>
      <c r="B239" s="53" t="s">
        <v>464</v>
      </c>
      <c r="C239" s="53" t="s">
        <v>466</v>
      </c>
      <c r="D239" s="67" t="s">
        <v>363</v>
      </c>
      <c r="E239" s="68">
        <v>0.6</v>
      </c>
      <c r="F239" s="68"/>
      <c r="G239" s="68">
        <f>SmtRes!CX58</f>
        <v>0.06</v>
      </c>
      <c r="H239" s="69">
        <f>SmtRes!CZ58</f>
        <v>8.6300000000000008</v>
      </c>
      <c r="I239" s="67">
        <f>SmtRes!AJ58</f>
        <v>1.6</v>
      </c>
      <c r="J239" s="69">
        <f>ROUND(H239*I239, 2)</f>
        <v>13.81</v>
      </c>
      <c r="K239" s="67"/>
      <c r="L239" s="69">
        <f>SmtRes!DG58</f>
        <v>0.83</v>
      </c>
    </row>
    <row r="240" spans="1:83" ht="38.25" x14ac:dyDescent="0.2">
      <c r="A240" s="53"/>
      <c r="B240" s="53" t="s">
        <v>467</v>
      </c>
      <c r="C240" s="53" t="s">
        <v>469</v>
      </c>
      <c r="D240" s="67" t="s">
        <v>363</v>
      </c>
      <c r="E240" s="68">
        <v>33.9</v>
      </c>
      <c r="F240" s="68"/>
      <c r="G240" s="68">
        <f>SmtRes!CX59</f>
        <v>3.39</v>
      </c>
      <c r="H240" s="69">
        <f>SmtRes!CZ59</f>
        <v>3.34</v>
      </c>
      <c r="I240" s="67">
        <f>SmtRes!AJ59</f>
        <v>1.3</v>
      </c>
      <c r="J240" s="69">
        <f>ROUND(H240*I240, 2)</f>
        <v>4.34</v>
      </c>
      <c r="K240" s="67"/>
      <c r="L240" s="69">
        <f>SmtRes!DG59</f>
        <v>14.71</v>
      </c>
    </row>
    <row r="241" spans="1:82" ht="25.5" x14ac:dyDescent="0.2">
      <c r="A241" s="53"/>
      <c r="B241" s="53" t="s">
        <v>394</v>
      </c>
      <c r="C241" s="53" t="s">
        <v>396</v>
      </c>
      <c r="D241" s="67" t="s">
        <v>363</v>
      </c>
      <c r="E241" s="68">
        <v>2.1</v>
      </c>
      <c r="F241" s="68"/>
      <c r="G241" s="68">
        <f>SmtRes!CX60</f>
        <v>0.21</v>
      </c>
      <c r="H241" s="69"/>
      <c r="I241" s="67"/>
      <c r="J241" s="69">
        <f>SmtRes!CZ60</f>
        <v>43.87</v>
      </c>
      <c r="K241" s="67"/>
      <c r="L241" s="69">
        <f>SmtRes!DG60</f>
        <v>9.2100000000000009</v>
      </c>
    </row>
    <row r="242" spans="1:82" x14ac:dyDescent="0.2">
      <c r="A242" s="70"/>
      <c r="B242" s="68">
        <v>4</v>
      </c>
      <c r="C242" s="70" t="s">
        <v>681</v>
      </c>
      <c r="D242" s="67"/>
      <c r="E242" s="71"/>
      <c r="F242" s="68"/>
      <c r="G242" s="68"/>
      <c r="H242" s="68"/>
      <c r="I242" s="68"/>
      <c r="J242" s="68"/>
      <c r="K242" s="68"/>
      <c r="L242" s="72">
        <f>SUM(L243:L245)-SUMIF(CE243:CE245, 1, L243:L245)</f>
        <v>5.5499999999999989</v>
      </c>
    </row>
    <row r="243" spans="1:82" ht="38.25" x14ac:dyDescent="0.2">
      <c r="A243" s="53"/>
      <c r="B243" s="53" t="s">
        <v>408</v>
      </c>
      <c r="C243" s="53" t="s">
        <v>410</v>
      </c>
      <c r="D243" s="67" t="s">
        <v>411</v>
      </c>
      <c r="E243" s="68">
        <v>0.33</v>
      </c>
      <c r="F243" s="68"/>
      <c r="G243" s="68">
        <f>SmtRes!CX61</f>
        <v>3.3000000000000002E-2</v>
      </c>
      <c r="H243" s="69"/>
      <c r="I243" s="67"/>
      <c r="J243" s="69">
        <f>SmtRes!CZ61</f>
        <v>131.85</v>
      </c>
      <c r="K243" s="67"/>
      <c r="L243" s="69">
        <f>SmtRes!DF61</f>
        <v>4.3499999999999996</v>
      </c>
    </row>
    <row r="244" spans="1:82" x14ac:dyDescent="0.2">
      <c r="A244" s="53"/>
      <c r="B244" s="53" t="s">
        <v>473</v>
      </c>
      <c r="C244" s="53" t="s">
        <v>475</v>
      </c>
      <c r="D244" s="67" t="s">
        <v>411</v>
      </c>
      <c r="E244" s="68">
        <v>0.02</v>
      </c>
      <c r="F244" s="68"/>
      <c r="G244" s="68">
        <f>SmtRes!CX62</f>
        <v>2E-3</v>
      </c>
      <c r="H244" s="69">
        <f>SmtRes!CZ62</f>
        <v>56.11</v>
      </c>
      <c r="I244" s="67">
        <f>SmtRes!AI62</f>
        <v>1.63</v>
      </c>
      <c r="J244" s="69">
        <f>ROUND(H244*I244, 2)</f>
        <v>91.46</v>
      </c>
      <c r="K244" s="67"/>
      <c r="L244" s="69">
        <f>SmtRes!DF62</f>
        <v>0.18</v>
      </c>
    </row>
    <row r="245" spans="1:82" x14ac:dyDescent="0.2">
      <c r="A245" s="53"/>
      <c r="B245" s="53" t="s">
        <v>481</v>
      </c>
      <c r="C245" s="53" t="s">
        <v>483</v>
      </c>
      <c r="D245" s="67" t="s">
        <v>411</v>
      </c>
      <c r="E245" s="68">
        <v>0.1</v>
      </c>
      <c r="F245" s="68"/>
      <c r="G245" s="68">
        <f>SmtRes!CX63</f>
        <v>0.01</v>
      </c>
      <c r="H245" s="69">
        <f>SmtRes!CZ63</f>
        <v>60.6</v>
      </c>
      <c r="I245" s="67">
        <f>SmtRes!AI63</f>
        <v>1.68</v>
      </c>
      <c r="J245" s="69">
        <f>ROUND(H245*I245, 2)</f>
        <v>101.81</v>
      </c>
      <c r="K245" s="67"/>
      <c r="L245" s="69">
        <f>SmtRes!DF63</f>
        <v>1.02</v>
      </c>
    </row>
    <row r="246" spans="1:82" x14ac:dyDescent="0.2">
      <c r="A246" s="53"/>
      <c r="B246" s="53"/>
      <c r="C246" s="73"/>
      <c r="D246" s="74"/>
      <c r="E246" s="75"/>
      <c r="F246" s="75"/>
      <c r="G246" s="75"/>
      <c r="H246" s="76"/>
      <c r="I246" s="74"/>
      <c r="J246" s="76"/>
      <c r="K246" s="74"/>
      <c r="L246" s="76"/>
    </row>
    <row r="247" spans="1:82" x14ac:dyDescent="0.2">
      <c r="A247" s="53"/>
      <c r="B247" s="53"/>
      <c r="C247" s="52" t="s">
        <v>269</v>
      </c>
      <c r="D247" s="67"/>
      <c r="E247" s="68"/>
      <c r="F247" s="68"/>
      <c r="G247" s="68"/>
      <c r="H247" s="69"/>
      <c r="I247" s="67"/>
      <c r="J247" s="69"/>
      <c r="K247" s="67"/>
      <c r="L247" s="69">
        <f>L232+L235+L236+L242</f>
        <v>2837.9400000000005</v>
      </c>
    </row>
    <row r="248" spans="1:82" x14ac:dyDescent="0.2">
      <c r="A248" s="53"/>
      <c r="B248" s="53"/>
      <c r="C248" s="53" t="s">
        <v>637</v>
      </c>
      <c r="D248" s="67"/>
      <c r="E248" s="68"/>
      <c r="F248" s="68"/>
      <c r="G248" s="68"/>
      <c r="H248" s="69"/>
      <c r="I248" s="67"/>
      <c r="J248" s="69"/>
      <c r="K248" s="67"/>
      <c r="L248" s="69">
        <f>SUM(AR230:AR251)+SUM(AS230:AS251)+SUM(AT230:AT251)+SUM(AU230:AU251)+SUM(AV230:AV251)</f>
        <v>2801.7400000000002</v>
      </c>
    </row>
    <row r="249" spans="1:82" ht="38.25" x14ac:dyDescent="0.2">
      <c r="A249" s="53"/>
      <c r="B249" s="53" t="s">
        <v>43</v>
      </c>
      <c r="C249" s="53" t="s">
        <v>649</v>
      </c>
      <c r="D249" s="67" t="s">
        <v>199</v>
      </c>
      <c r="E249" s="68">
        <f>Source!BZ79</f>
        <v>117</v>
      </c>
      <c r="F249" s="68"/>
      <c r="G249" s="68">
        <f>Source!AT79</f>
        <v>117</v>
      </c>
      <c r="H249" s="69"/>
      <c r="I249" s="67"/>
      <c r="J249" s="69"/>
      <c r="K249" s="67"/>
      <c r="L249" s="69">
        <f>SUM(AZ230:AZ251)</f>
        <v>3278.04</v>
      </c>
    </row>
    <row r="250" spans="1:82" ht="38.25" x14ac:dyDescent="0.2">
      <c r="A250" s="73"/>
      <c r="B250" s="73" t="s">
        <v>44</v>
      </c>
      <c r="C250" s="73" t="s">
        <v>650</v>
      </c>
      <c r="D250" s="74" t="s">
        <v>199</v>
      </c>
      <c r="E250" s="75">
        <f>Source!CA79</f>
        <v>74</v>
      </c>
      <c r="F250" s="75"/>
      <c r="G250" s="75">
        <f>Source!AU79</f>
        <v>74</v>
      </c>
      <c r="H250" s="76"/>
      <c r="I250" s="74"/>
      <c r="J250" s="76"/>
      <c r="K250" s="74"/>
      <c r="L250" s="76">
        <f>SUM(BA230:BA251)</f>
        <v>2073.29</v>
      </c>
    </row>
    <row r="251" spans="1:82" x14ac:dyDescent="0.2">
      <c r="A251" s="18"/>
      <c r="B251" s="18"/>
      <c r="C251" s="77" t="s">
        <v>640</v>
      </c>
      <c r="D251" s="77"/>
      <c r="E251" s="77"/>
      <c r="F251" s="77"/>
      <c r="G251" s="77"/>
      <c r="H251" s="77"/>
      <c r="I251" s="78">
        <f>IF(E230&lt;&gt;0,K251/E230, 0)</f>
        <v>81892.700000000012</v>
      </c>
      <c r="J251" s="78"/>
      <c r="K251" s="78">
        <f>L232+L235+L242+L249+L250+L236</f>
        <v>8189.2700000000013</v>
      </c>
      <c r="L251" s="78"/>
      <c r="AD251">
        <f>ROUND((Source!AT79/100)*((ROUND(SUMIF(SmtRes!AQ54:'SmtRes'!AQ63,"=1",SmtRes!AD54:'SmtRes'!AD63)*Source!I79, 2)+ROUND(SUMIF(SmtRes!AQ54:'SmtRes'!AQ63,"=1",SmtRes!AC54:'SmtRes'!AC63)*Source!I79, 2))), 2)</f>
        <v>131.74</v>
      </c>
      <c r="AE251">
        <f>ROUND((Source!AU79/100)*((ROUND(SUMIF(SmtRes!AQ54:'SmtRes'!AQ63,"=1",SmtRes!AD54:'SmtRes'!AD63)*Source!I79, 2)+ROUND(SUMIF(SmtRes!AQ54:'SmtRes'!AQ63,"=1",SmtRes!AC54:'SmtRes'!AC63)*Source!I79, 2))), 2)</f>
        <v>83.32</v>
      </c>
      <c r="AN251" s="17">
        <f>L232+L235+L242+L249+L250+L236</f>
        <v>8189.2700000000013</v>
      </c>
      <c r="AO251" s="17">
        <f>L235</f>
        <v>30.650000000000002</v>
      </c>
      <c r="AQ251" t="s">
        <v>641</v>
      </c>
      <c r="AR251" s="17">
        <f>L232</f>
        <v>2798.1400000000003</v>
      </c>
      <c r="AT251" s="17">
        <f>L236</f>
        <v>3.6</v>
      </c>
      <c r="AV251" t="s">
        <v>641</v>
      </c>
      <c r="AW251" s="17">
        <f>L242</f>
        <v>5.5499999999999989</v>
      </c>
      <c r="AZ251">
        <f>Source!X79</f>
        <v>3278.04</v>
      </c>
      <c r="BA251">
        <f>Source!Y79</f>
        <v>2073.29</v>
      </c>
      <c r="CD251">
        <v>1</v>
      </c>
    </row>
    <row r="252" spans="1:82" ht="114.75" x14ac:dyDescent="0.2">
      <c r="A252" s="84" t="s">
        <v>166</v>
      </c>
      <c r="B252" s="73" t="str">
        <f>Source!F80</f>
        <v>18.4.01.09-0116</v>
      </c>
      <c r="C252" s="73" t="str">
        <f>Source!G80</f>
        <v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v>
      </c>
      <c r="D252" s="74" t="str">
        <f>Source!H80</f>
        <v>ШТ</v>
      </c>
      <c r="E252" s="75">
        <f>Source!K80</f>
        <v>1</v>
      </c>
      <c r="F252" s="75"/>
      <c r="G252" s="75">
        <f>Source!I80</f>
        <v>1</v>
      </c>
      <c r="H252" s="76">
        <f>Source!AL80</f>
        <v>7414.09</v>
      </c>
      <c r="I252" s="74">
        <f>IF(Source!BC80&lt;&gt; 0, Source!BC80, 1)</f>
        <v>1.03</v>
      </c>
      <c r="J252" s="76">
        <f>ROUND(H252*I252, 2)</f>
        <v>7636.51</v>
      </c>
      <c r="K252" s="74"/>
      <c r="L252" s="76">
        <f>Source!P80</f>
        <v>7636.51</v>
      </c>
    </row>
    <row r="253" spans="1:82" x14ac:dyDescent="0.2">
      <c r="A253" s="18"/>
      <c r="B253" s="18"/>
      <c r="C253" s="77" t="s">
        <v>640</v>
      </c>
      <c r="D253" s="77"/>
      <c r="E253" s="77"/>
      <c r="F253" s="77"/>
      <c r="G253" s="77"/>
      <c r="H253" s="77"/>
      <c r="I253" s="78">
        <f>IF(E252&lt;&gt;0,K253/E252, 0)</f>
        <v>7636.51</v>
      </c>
      <c r="J253" s="78"/>
      <c r="K253" s="78">
        <f>L252</f>
        <v>7636.51</v>
      </c>
      <c r="L253" s="78"/>
      <c r="AD253">
        <f>ROUND((Source!AT80/100)*((ROUND(ROUND(Source!AO80,2)*Source!I80, 2)+ROUND(ROUND(Source!AN80,2)*Source!I80, 2))), 2)</f>
        <v>0</v>
      </c>
      <c r="AE253">
        <f>ROUND((Source!AU80/100)*((ROUND(ROUND(Source!AO80,2)*Source!I80, 2)+ROUND(ROUND(Source!AN80,2)*Source!I80, 2))), 2)</f>
        <v>0</v>
      </c>
      <c r="AN253" s="17">
        <f>L252</f>
        <v>7636.51</v>
      </c>
      <c r="AO253">
        <f>0</f>
        <v>0</v>
      </c>
      <c r="AQ253" t="s">
        <v>641</v>
      </c>
      <c r="AR253">
        <f>0</f>
        <v>0</v>
      </c>
      <c r="AT253">
        <f>0</f>
        <v>0</v>
      </c>
      <c r="AV253" t="s">
        <v>641</v>
      </c>
      <c r="AW253" s="17">
        <f>L252</f>
        <v>7636.51</v>
      </c>
      <c r="AZ253">
        <f>Source!X80</f>
        <v>0</v>
      </c>
      <c r="BA253">
        <f>Source!Y80</f>
        <v>0</v>
      </c>
      <c r="CD253">
        <v>1</v>
      </c>
    </row>
    <row r="254" spans="1:82" ht="25.5" x14ac:dyDescent="0.2">
      <c r="A254" s="66" t="s">
        <v>169</v>
      </c>
      <c r="B254" s="53" t="s">
        <v>691</v>
      </c>
      <c r="C254" s="53" t="str">
        <f>Source!G81</f>
        <v>Устройство  ковера для вывода провода-спутника</v>
      </c>
      <c r="D254" s="67" t="str">
        <f>Source!H81</f>
        <v>установка</v>
      </c>
      <c r="E254" s="68">
        <f>Source!K81</f>
        <v>2</v>
      </c>
      <c r="F254" s="68"/>
      <c r="G254" s="68">
        <f>Source!I81</f>
        <v>2</v>
      </c>
      <c r="H254" s="69"/>
      <c r="I254" s="67"/>
      <c r="J254" s="69"/>
      <c r="K254" s="67"/>
      <c r="L254" s="69"/>
    </row>
    <row r="255" spans="1:82" x14ac:dyDescent="0.2">
      <c r="A255" s="70"/>
      <c r="B255" s="68">
        <v>1</v>
      </c>
      <c r="C255" s="70" t="s">
        <v>643</v>
      </c>
      <c r="D255" s="67" t="s">
        <v>359</v>
      </c>
      <c r="E255" s="71"/>
      <c r="F255" s="68"/>
      <c r="G255" s="68">
        <f>Source!U81</f>
        <v>3.08</v>
      </c>
      <c r="H255" s="68"/>
      <c r="I255" s="68"/>
      <c r="J255" s="68"/>
      <c r="K255" s="68"/>
      <c r="L255" s="72">
        <f>SUM(L256:L256)-SUMIF(CE256:CE256, 1, L256:L256)</f>
        <v>1205.1400000000001</v>
      </c>
    </row>
    <row r="256" spans="1:82" x14ac:dyDescent="0.2">
      <c r="A256" s="53"/>
      <c r="B256" s="53" t="s">
        <v>430</v>
      </c>
      <c r="C256" s="53" t="s">
        <v>431</v>
      </c>
      <c r="D256" s="67" t="s">
        <v>359</v>
      </c>
      <c r="E256" s="68">
        <v>1.54</v>
      </c>
      <c r="F256" s="68"/>
      <c r="G256" s="68">
        <f>SmtRes!CX64</f>
        <v>3.08</v>
      </c>
      <c r="H256" s="69"/>
      <c r="I256" s="67"/>
      <c r="J256" s="69">
        <f>SmtRes!CZ64</f>
        <v>391.28</v>
      </c>
      <c r="K256" s="67"/>
      <c r="L256" s="69">
        <f>SmtRes!DI64</f>
        <v>1205.1400000000001</v>
      </c>
    </row>
    <row r="257" spans="1:83" x14ac:dyDescent="0.2">
      <c r="A257" s="70"/>
      <c r="B257" s="68">
        <v>2</v>
      </c>
      <c r="C257" s="70" t="s">
        <v>634</v>
      </c>
      <c r="D257" s="67"/>
      <c r="E257" s="71"/>
      <c r="F257" s="68"/>
      <c r="G257" s="68"/>
      <c r="H257" s="68"/>
      <c r="I257" s="68"/>
      <c r="J257" s="68"/>
      <c r="K257" s="68"/>
      <c r="L257" s="72">
        <f>SUM(L258:L264)-SUMIF(CE258:CE264, 1, L258:L264)</f>
        <v>1255.8999999999996</v>
      </c>
    </row>
    <row r="258" spans="1:83" x14ac:dyDescent="0.2">
      <c r="A258" s="70"/>
      <c r="B258" s="68"/>
      <c r="C258" s="70" t="s">
        <v>636</v>
      </c>
      <c r="D258" s="67" t="s">
        <v>359</v>
      </c>
      <c r="E258" s="71"/>
      <c r="F258" s="68"/>
      <c r="G258" s="68">
        <f>Source!V81</f>
        <v>0.96</v>
      </c>
      <c r="H258" s="68"/>
      <c r="I258" s="68"/>
      <c r="J258" s="68"/>
      <c r="K258" s="68"/>
      <c r="L258" s="72">
        <f>SUMIF(CE259:CE264, 1, L259:L264)</f>
        <v>452.93</v>
      </c>
      <c r="CE258">
        <v>1</v>
      </c>
    </row>
    <row r="259" spans="1:83" ht="25.5" x14ac:dyDescent="0.2">
      <c r="A259" s="53"/>
      <c r="B259" s="53" t="s">
        <v>435</v>
      </c>
      <c r="C259" s="53" t="s">
        <v>437</v>
      </c>
      <c r="D259" s="67" t="s">
        <v>363</v>
      </c>
      <c r="E259" s="68">
        <v>0.25</v>
      </c>
      <c r="F259" s="68"/>
      <c r="G259" s="68">
        <f>SmtRes!CX66</f>
        <v>0.5</v>
      </c>
      <c r="H259" s="69"/>
      <c r="I259" s="67"/>
      <c r="J259" s="69">
        <f>SmtRes!CZ66</f>
        <v>1836.16</v>
      </c>
      <c r="K259" s="67"/>
      <c r="L259" s="69">
        <f>SmtRes!DG66</f>
        <v>918.08</v>
      </c>
    </row>
    <row r="260" spans="1:83" x14ac:dyDescent="0.2">
      <c r="A260" s="53"/>
      <c r="B260" s="53" t="s">
        <v>364</v>
      </c>
      <c r="C260" s="53" t="s">
        <v>635</v>
      </c>
      <c r="D260" s="67" t="s">
        <v>359</v>
      </c>
      <c r="E260" s="68">
        <f>SmtRes!DO66*SmtRes!AT66</f>
        <v>0.25</v>
      </c>
      <c r="F260" s="68"/>
      <c r="G260" s="68">
        <f>ROUND(E260*G254, 7)</f>
        <v>0.5</v>
      </c>
      <c r="H260" s="69"/>
      <c r="I260" s="67"/>
      <c r="J260" s="69">
        <f>ROUND(SmtRes!AG66/SmtRes!DO66, 2)</f>
        <v>537.64</v>
      </c>
      <c r="K260" s="67"/>
      <c r="L260" s="69">
        <f>SmtRes!DH66</f>
        <v>268.82</v>
      </c>
      <c r="CE260">
        <v>1</v>
      </c>
    </row>
    <row r="261" spans="1:83" ht="25.5" x14ac:dyDescent="0.2">
      <c r="A261" s="53"/>
      <c r="B261" s="53" t="s">
        <v>441</v>
      </c>
      <c r="C261" s="53" t="s">
        <v>443</v>
      </c>
      <c r="D261" s="67" t="s">
        <v>363</v>
      </c>
      <c r="E261" s="68">
        <v>0.23</v>
      </c>
      <c r="F261" s="68"/>
      <c r="G261" s="68">
        <f>SmtRes!CX67</f>
        <v>0.46</v>
      </c>
      <c r="H261" s="69"/>
      <c r="I261" s="67"/>
      <c r="J261" s="69">
        <f>SmtRes!CZ67</f>
        <v>655.95</v>
      </c>
      <c r="K261" s="67"/>
      <c r="L261" s="69">
        <f>SmtRes!DG67</f>
        <v>301.74</v>
      </c>
    </row>
    <row r="262" spans="1:83" x14ac:dyDescent="0.2">
      <c r="A262" s="53"/>
      <c r="B262" s="53" t="s">
        <v>400</v>
      </c>
      <c r="C262" s="53" t="s">
        <v>683</v>
      </c>
      <c r="D262" s="67" t="s">
        <v>359</v>
      </c>
      <c r="E262" s="68">
        <f>SmtRes!DO67*SmtRes!AT67</f>
        <v>0.23</v>
      </c>
      <c r="F262" s="68"/>
      <c r="G262" s="68">
        <f>ROUND(E262*G254, 7)</f>
        <v>0.46</v>
      </c>
      <c r="H262" s="69"/>
      <c r="I262" s="67"/>
      <c r="J262" s="69">
        <f>ROUND(SmtRes!AG67/SmtRes!DO67, 2)</f>
        <v>400.24</v>
      </c>
      <c r="K262" s="67"/>
      <c r="L262" s="69">
        <f>SmtRes!DH67</f>
        <v>184.11</v>
      </c>
      <c r="CE262">
        <v>1</v>
      </c>
    </row>
    <row r="263" spans="1:83" x14ac:dyDescent="0.2">
      <c r="A263" s="53"/>
      <c r="B263" s="53" t="s">
        <v>444</v>
      </c>
      <c r="C263" s="53" t="s">
        <v>446</v>
      </c>
      <c r="D263" s="67" t="s">
        <v>363</v>
      </c>
      <c r="E263" s="68">
        <v>0.01</v>
      </c>
      <c r="F263" s="68"/>
      <c r="G263" s="68">
        <f>SmtRes!CX68</f>
        <v>0.02</v>
      </c>
      <c r="H263" s="69">
        <f>SmtRes!CZ68</f>
        <v>4.3499999999999996</v>
      </c>
      <c r="I263" s="67">
        <f>SmtRes!AJ68</f>
        <v>1.3</v>
      </c>
      <c r="J263" s="69">
        <f>ROUND(H263*I263, 2)</f>
        <v>5.66</v>
      </c>
      <c r="K263" s="67"/>
      <c r="L263" s="69">
        <f>SmtRes!DG68</f>
        <v>0.11</v>
      </c>
    </row>
    <row r="264" spans="1:83" ht="25.5" x14ac:dyDescent="0.2">
      <c r="A264" s="53"/>
      <c r="B264" s="53" t="s">
        <v>394</v>
      </c>
      <c r="C264" s="53" t="s">
        <v>396</v>
      </c>
      <c r="D264" s="67" t="s">
        <v>363</v>
      </c>
      <c r="E264" s="68">
        <v>0.41</v>
      </c>
      <c r="F264" s="68"/>
      <c r="G264" s="68">
        <f>SmtRes!CX69</f>
        <v>0.82</v>
      </c>
      <c r="H264" s="69"/>
      <c r="I264" s="67"/>
      <c r="J264" s="69">
        <f>SmtRes!CZ69</f>
        <v>43.87</v>
      </c>
      <c r="K264" s="67"/>
      <c r="L264" s="69">
        <f>SmtRes!DG69</f>
        <v>35.97</v>
      </c>
    </row>
    <row r="265" spans="1:83" x14ac:dyDescent="0.2">
      <c r="A265" s="70"/>
      <c r="B265" s="68">
        <v>4</v>
      </c>
      <c r="C265" s="70" t="s">
        <v>681</v>
      </c>
      <c r="D265" s="67"/>
      <c r="E265" s="71"/>
      <c r="F265" s="68"/>
      <c r="G265" s="68"/>
      <c r="H265" s="68"/>
      <c r="I265" s="68"/>
      <c r="J265" s="68"/>
      <c r="K265" s="68"/>
      <c r="L265" s="72">
        <f>SUM(L266:L271)-SUMIF(CE266:CE271, 1, L266:L271)</f>
        <v>526.51</v>
      </c>
    </row>
    <row r="266" spans="1:83" x14ac:dyDescent="0.2">
      <c r="A266" s="53"/>
      <c r="B266" s="53" t="s">
        <v>450</v>
      </c>
      <c r="C266" s="53" t="s">
        <v>452</v>
      </c>
      <c r="D266" s="67" t="s">
        <v>48</v>
      </c>
      <c r="E266" s="68">
        <v>1.4999999999999999E-2</v>
      </c>
      <c r="F266" s="68"/>
      <c r="G266" s="68">
        <f>SmtRes!CX70</f>
        <v>0.03</v>
      </c>
      <c r="H266" s="69"/>
      <c r="I266" s="67"/>
      <c r="J266" s="69">
        <f>SmtRes!CZ70</f>
        <v>115.4</v>
      </c>
      <c r="K266" s="67"/>
      <c r="L266" s="69">
        <f>SmtRes!DF70</f>
        <v>3.46</v>
      </c>
    </row>
    <row r="267" spans="1:83" x14ac:dyDescent="0.2">
      <c r="A267" s="53"/>
      <c r="B267" s="53" t="s">
        <v>453</v>
      </c>
      <c r="C267" s="53" t="s">
        <v>455</v>
      </c>
      <c r="D267" s="67" t="s">
        <v>411</v>
      </c>
      <c r="E267" s="68">
        <v>3.5</v>
      </c>
      <c r="F267" s="68"/>
      <c r="G267" s="68">
        <f>SmtRes!CX71</f>
        <v>7</v>
      </c>
      <c r="H267" s="69">
        <f>SmtRes!CZ71</f>
        <v>41.38</v>
      </c>
      <c r="I267" s="67">
        <f>SmtRes!AI71</f>
        <v>1.39</v>
      </c>
      <c r="J267" s="69">
        <f>ROUND(H267*I267, 2)</f>
        <v>57.52</v>
      </c>
      <c r="K267" s="67"/>
      <c r="L267" s="69">
        <f>SmtRes!DF71</f>
        <v>402.64</v>
      </c>
    </row>
    <row r="268" spans="1:83" x14ac:dyDescent="0.2">
      <c r="A268" s="53"/>
      <c r="B268" s="53" t="s">
        <v>404</v>
      </c>
      <c r="C268" s="53" t="s">
        <v>406</v>
      </c>
      <c r="D268" s="67" t="s">
        <v>407</v>
      </c>
      <c r="E268" s="68">
        <v>0.16200000000000001</v>
      </c>
      <c r="F268" s="68"/>
      <c r="G268" s="68">
        <f>SmtRes!CX72</f>
        <v>0.32400000000000001</v>
      </c>
      <c r="H268" s="69"/>
      <c r="I268" s="67"/>
      <c r="J268" s="69">
        <f>SmtRes!CZ72</f>
        <v>9.5500000000000007</v>
      </c>
      <c r="K268" s="67"/>
      <c r="L268" s="69">
        <f>SmtRes!DF72</f>
        <v>3.09</v>
      </c>
    </row>
    <row r="269" spans="1:83" ht="38.25" x14ac:dyDescent="0.2">
      <c r="A269" s="53"/>
      <c r="B269" s="53" t="s">
        <v>408</v>
      </c>
      <c r="C269" s="53" t="s">
        <v>410</v>
      </c>
      <c r="D269" s="67" t="s">
        <v>411</v>
      </c>
      <c r="E269" s="68">
        <v>0.09</v>
      </c>
      <c r="F269" s="68"/>
      <c r="G269" s="68">
        <f>SmtRes!CX73</f>
        <v>0.18</v>
      </c>
      <c r="H269" s="69"/>
      <c r="I269" s="67"/>
      <c r="J269" s="69">
        <f>SmtRes!CZ73</f>
        <v>131.85</v>
      </c>
      <c r="K269" s="67"/>
      <c r="L269" s="69">
        <f>SmtRes!DF73</f>
        <v>23.73</v>
      </c>
    </row>
    <row r="270" spans="1:83" ht="25.5" x14ac:dyDescent="0.2">
      <c r="A270" s="53"/>
      <c r="B270" s="53" t="s">
        <v>484</v>
      </c>
      <c r="C270" s="53" t="s">
        <v>486</v>
      </c>
      <c r="D270" s="67" t="s">
        <v>48</v>
      </c>
      <c r="E270" s="68">
        <v>0.02</v>
      </c>
      <c r="F270" s="68"/>
      <c r="G270" s="68">
        <f>SmtRes!CX74</f>
        <v>0.04</v>
      </c>
      <c r="H270" s="69">
        <f>SmtRes!CZ74</f>
        <v>565.20000000000005</v>
      </c>
      <c r="I270" s="67">
        <f>SmtRes!AI74</f>
        <v>3.57</v>
      </c>
      <c r="J270" s="69">
        <f>ROUND(H270*I270, 2)</f>
        <v>2017.76</v>
      </c>
      <c r="K270" s="67"/>
      <c r="L270" s="69">
        <f>SmtRes!DF74</f>
        <v>80.709999999999994</v>
      </c>
    </row>
    <row r="271" spans="1:83" ht="38.25" x14ac:dyDescent="0.2">
      <c r="A271" s="53"/>
      <c r="B271" s="53" t="s">
        <v>487</v>
      </c>
      <c r="C271" s="53" t="s">
        <v>489</v>
      </c>
      <c r="D271" s="67" t="s">
        <v>48</v>
      </c>
      <c r="E271" s="68">
        <v>1E-3</v>
      </c>
      <c r="F271" s="68"/>
      <c r="G271" s="68">
        <f>SmtRes!CX75</f>
        <v>2E-3</v>
      </c>
      <c r="H271" s="69">
        <f>SmtRes!CZ75</f>
        <v>4442.71</v>
      </c>
      <c r="I271" s="67">
        <f>SmtRes!AI75</f>
        <v>1.45</v>
      </c>
      <c r="J271" s="69">
        <f>ROUND(H271*I271, 2)</f>
        <v>6441.93</v>
      </c>
      <c r="K271" s="67"/>
      <c r="L271" s="69">
        <f>SmtRes!DF75</f>
        <v>12.88</v>
      </c>
    </row>
    <row r="272" spans="1:83" x14ac:dyDescent="0.2">
      <c r="A272" s="53"/>
      <c r="B272" s="53"/>
      <c r="C272" s="73"/>
      <c r="D272" s="74"/>
      <c r="E272" s="75"/>
      <c r="F272" s="75"/>
      <c r="G272" s="75"/>
      <c r="H272" s="76"/>
      <c r="I272" s="74"/>
      <c r="J272" s="76"/>
      <c r="K272" s="74"/>
      <c r="L272" s="76"/>
    </row>
    <row r="273" spans="1:83" x14ac:dyDescent="0.2">
      <c r="A273" s="53"/>
      <c r="B273" s="53"/>
      <c r="C273" s="52" t="s">
        <v>269</v>
      </c>
      <c r="D273" s="67"/>
      <c r="E273" s="68"/>
      <c r="F273" s="68"/>
      <c r="G273" s="68"/>
      <c r="H273" s="69"/>
      <c r="I273" s="67"/>
      <c r="J273" s="69"/>
      <c r="K273" s="67"/>
      <c r="L273" s="69">
        <f>L255+L257+L258+L265</f>
        <v>3440.4799999999996</v>
      </c>
    </row>
    <row r="274" spans="1:83" ht="38.25" x14ac:dyDescent="0.2">
      <c r="A274" s="66" t="s">
        <v>692</v>
      </c>
      <c r="B274" s="53" t="str">
        <f>Source!F82</f>
        <v>18.5.08.04-0008</v>
      </c>
      <c r="C274" s="53" t="str">
        <f>Source!G82</f>
        <v>Ковер полимерный, диаметр основания 270 мм, диаметр люка 196 мм, высота 295 мм</v>
      </c>
      <c r="D274" s="67" t="str">
        <f>Source!H82</f>
        <v>ШТ</v>
      </c>
      <c r="E274" s="68">
        <f>SmtRes!AT76</f>
        <v>1</v>
      </c>
      <c r="F274" s="68"/>
      <c r="G274" s="68">
        <f>Source!I82</f>
        <v>2</v>
      </c>
      <c r="H274" s="69">
        <f>Source!AL82+Source!AO82+Source!AM82+Source!AN82</f>
        <v>8792.9699999999993</v>
      </c>
      <c r="I274" s="67">
        <f>IF(Source!BC82&lt;&gt; 0, Source!BC82, 1)</f>
        <v>1.39</v>
      </c>
      <c r="J274" s="69">
        <f>ROUND(H274*I274, 2)</f>
        <v>12222.23</v>
      </c>
      <c r="K274" s="67"/>
      <c r="L274" s="69">
        <f>Source!P82</f>
        <v>24444.46</v>
      </c>
      <c r="AD274">
        <f>ROUND((Source!AT82/100)*((ROUND(ROUND(Source!AO82,2)*Source!I82, 2)+ROUND(ROUND(Source!AN82,2)*Source!I82, 2))), 2)</f>
        <v>0</v>
      </c>
      <c r="AE274">
        <f>ROUND((Source!AU82/100)*((ROUND(ROUND(Source!AO82,2)*Source!I82, 2)+ROUND(ROUND(Source!AN82,2)*Source!I82, 2))), 2)</f>
        <v>0</v>
      </c>
      <c r="AN274">
        <f>L274</f>
        <v>24444.46</v>
      </c>
      <c r="AW274">
        <f>L274</f>
        <v>24444.46</v>
      </c>
      <c r="AZ274">
        <f>Source!X82</f>
        <v>0</v>
      </c>
      <c r="BA274">
        <f>Source!Y82</f>
        <v>0</v>
      </c>
      <c r="CD274">
        <v>1</v>
      </c>
    </row>
    <row r="275" spans="1:83" x14ac:dyDescent="0.2">
      <c r="A275" s="53"/>
      <c r="B275" s="53"/>
      <c r="C275" s="53" t="s">
        <v>637</v>
      </c>
      <c r="D275" s="67"/>
      <c r="E275" s="68"/>
      <c r="F275" s="68"/>
      <c r="G275" s="68"/>
      <c r="H275" s="69"/>
      <c r="I275" s="67"/>
      <c r="J275" s="69"/>
      <c r="K275" s="67"/>
      <c r="L275" s="69">
        <f>SUM(AR254:AR278)+SUM(AS254:AS278)+SUM(AT254:AT278)+SUM(AU254:AU278)+SUM(AV254:AV278)</f>
        <v>1658.0700000000002</v>
      </c>
    </row>
    <row r="276" spans="1:83" ht="38.25" x14ac:dyDescent="0.2">
      <c r="A276" s="53"/>
      <c r="B276" s="53" t="s">
        <v>43</v>
      </c>
      <c r="C276" s="53" t="s">
        <v>649</v>
      </c>
      <c r="D276" s="67" t="s">
        <v>199</v>
      </c>
      <c r="E276" s="68">
        <f>Source!BZ81</f>
        <v>117</v>
      </c>
      <c r="F276" s="68"/>
      <c r="G276" s="68">
        <f>Source!AT81</f>
        <v>117</v>
      </c>
      <c r="H276" s="69"/>
      <c r="I276" s="67"/>
      <c r="J276" s="69"/>
      <c r="K276" s="67"/>
      <c r="L276" s="69">
        <f>SUM(AZ254:AZ278)</f>
        <v>1939.94</v>
      </c>
    </row>
    <row r="277" spans="1:83" ht="38.25" x14ac:dyDescent="0.2">
      <c r="A277" s="73"/>
      <c r="B277" s="73" t="s">
        <v>44</v>
      </c>
      <c r="C277" s="73" t="s">
        <v>650</v>
      </c>
      <c r="D277" s="74" t="s">
        <v>199</v>
      </c>
      <c r="E277" s="75">
        <f>Source!CA81</f>
        <v>74</v>
      </c>
      <c r="F277" s="75"/>
      <c r="G277" s="75">
        <f>Source!AU81</f>
        <v>74</v>
      </c>
      <c r="H277" s="76"/>
      <c r="I277" s="74"/>
      <c r="J277" s="76"/>
      <c r="K277" s="74"/>
      <c r="L277" s="76">
        <f>SUM(BA254:BA278)</f>
        <v>1226.97</v>
      </c>
    </row>
    <row r="278" spans="1:83" x14ac:dyDescent="0.2">
      <c r="A278" s="18"/>
      <c r="B278" s="18"/>
      <c r="C278" s="77" t="s">
        <v>640</v>
      </c>
      <c r="D278" s="77"/>
      <c r="E278" s="77"/>
      <c r="F278" s="77"/>
      <c r="G278" s="77"/>
      <c r="H278" s="77"/>
      <c r="I278" s="78">
        <f>IF(E254&lt;&gt;0,K278/E254, 0)</f>
        <v>15525.924999999999</v>
      </c>
      <c r="J278" s="78"/>
      <c r="K278" s="78">
        <f>L255+L257+L265+L276+L277+L258+SUM(L274:L274)</f>
        <v>31051.85</v>
      </c>
      <c r="L278" s="78"/>
      <c r="AD278">
        <f>ROUND((Source!AT81/100)*((ROUND(SUMIF(SmtRes!AQ64:'SmtRes'!AQ76,"=1",SmtRes!AD64:'SmtRes'!AD76)*Source!I81, 2)+ROUND(SUMIF(SmtRes!AQ64:'SmtRes'!AQ76,"=1",SmtRes!AC64:'SmtRes'!AC76)*Source!I81, 2))), 2)</f>
        <v>3110.23</v>
      </c>
      <c r="AE278">
        <f>ROUND((Source!AU81/100)*((ROUND(SUMIF(SmtRes!AQ64:'SmtRes'!AQ76,"=1",SmtRes!AD64:'SmtRes'!AD76)*Source!I81, 2)+ROUND(SUMIF(SmtRes!AQ64:'SmtRes'!AQ76,"=1",SmtRes!AC64:'SmtRes'!AC76)*Source!I81, 2))), 2)</f>
        <v>1967.16</v>
      </c>
      <c r="AN278" s="17">
        <f>L255+L257+L265+L276+L277+L258</f>
        <v>6607.39</v>
      </c>
      <c r="AO278" s="17">
        <f>L257</f>
        <v>1255.8999999999996</v>
      </c>
      <c r="AQ278" t="s">
        <v>641</v>
      </c>
      <c r="AR278" s="17">
        <f>L255</f>
        <v>1205.1400000000001</v>
      </c>
      <c r="AT278" s="17">
        <f>L258</f>
        <v>452.93</v>
      </c>
      <c r="AV278" t="s">
        <v>641</v>
      </c>
      <c r="AW278" s="17">
        <f>L265</f>
        <v>526.51</v>
      </c>
      <c r="AZ278">
        <f>Source!X81</f>
        <v>1939.94</v>
      </c>
      <c r="BA278">
        <f>Source!Y81</f>
        <v>1226.97</v>
      </c>
      <c r="CD278">
        <v>1</v>
      </c>
    </row>
    <row r="279" spans="1:83" ht="38.25" x14ac:dyDescent="0.2">
      <c r="A279" s="66" t="s">
        <v>178</v>
      </c>
      <c r="B279" s="53" t="s">
        <v>693</v>
      </c>
      <c r="C279" s="53" t="str">
        <f>Source!G83</f>
        <v>Монтаж крана стального фланцевого  для надземной установки на стальных газопроводах диаметром: 50 мм</v>
      </c>
      <c r="D279" s="67" t="str">
        <f>Source!H83</f>
        <v>ШТ</v>
      </c>
      <c r="E279" s="68">
        <f>Source!K83</f>
        <v>1</v>
      </c>
      <c r="F279" s="68"/>
      <c r="G279" s="68">
        <f>Source!I83</f>
        <v>1</v>
      </c>
      <c r="H279" s="69"/>
      <c r="I279" s="67"/>
      <c r="J279" s="69"/>
      <c r="K279" s="67"/>
      <c r="L279" s="69"/>
    </row>
    <row r="280" spans="1:83" x14ac:dyDescent="0.2">
      <c r="A280" s="70"/>
      <c r="B280" s="68">
        <v>1</v>
      </c>
      <c r="C280" s="70" t="s">
        <v>643</v>
      </c>
      <c r="D280" s="67" t="s">
        <v>359</v>
      </c>
      <c r="E280" s="71"/>
      <c r="F280" s="68"/>
      <c r="G280" s="68">
        <f>Source!U83</f>
        <v>5.91</v>
      </c>
      <c r="H280" s="68"/>
      <c r="I280" s="68"/>
      <c r="J280" s="68"/>
      <c r="K280" s="68"/>
      <c r="L280" s="72">
        <f>SUM(L281:L281)-SUMIF(CE281:CE281, 1, L281:L281)</f>
        <v>2541.9499999999998</v>
      </c>
    </row>
    <row r="281" spans="1:83" x14ac:dyDescent="0.2">
      <c r="A281" s="53"/>
      <c r="B281" s="53" t="s">
        <v>490</v>
      </c>
      <c r="C281" s="53" t="s">
        <v>491</v>
      </c>
      <c r="D281" s="67" t="s">
        <v>359</v>
      </c>
      <c r="E281" s="68">
        <v>5.91</v>
      </c>
      <c r="F281" s="68"/>
      <c r="G281" s="68">
        <f>SmtRes!CX77</f>
        <v>5.91</v>
      </c>
      <c r="H281" s="69"/>
      <c r="I281" s="67"/>
      <c r="J281" s="69">
        <f>SmtRes!CZ77</f>
        <v>430.11</v>
      </c>
      <c r="K281" s="67"/>
      <c r="L281" s="69">
        <f>SmtRes!DI77</f>
        <v>2541.9499999999998</v>
      </c>
    </row>
    <row r="282" spans="1:83" x14ac:dyDescent="0.2">
      <c r="A282" s="70"/>
      <c r="B282" s="68">
        <v>2</v>
      </c>
      <c r="C282" s="70" t="s">
        <v>634</v>
      </c>
      <c r="D282" s="67"/>
      <c r="E282" s="71"/>
      <c r="F282" s="68"/>
      <c r="G282" s="68"/>
      <c r="H282" s="68"/>
      <c r="I282" s="68"/>
      <c r="J282" s="68"/>
      <c r="K282" s="68"/>
      <c r="L282" s="72">
        <f>SUM(L283:L287)-SUMIF(CE283:CE287, 1, L283:L287)</f>
        <v>203.84000000000003</v>
      </c>
    </row>
    <row r="283" spans="1:83" x14ac:dyDescent="0.2">
      <c r="A283" s="70"/>
      <c r="B283" s="68"/>
      <c r="C283" s="70" t="s">
        <v>636</v>
      </c>
      <c r="D283" s="67" t="s">
        <v>359</v>
      </c>
      <c r="E283" s="71"/>
      <c r="F283" s="68"/>
      <c r="G283" s="68">
        <f>Source!V83</f>
        <v>0.14000000000000001</v>
      </c>
      <c r="H283" s="68"/>
      <c r="I283" s="68"/>
      <c r="J283" s="68"/>
      <c r="K283" s="68"/>
      <c r="L283" s="72">
        <f>SUMIF(CE284:CE287, 1, L284:L287)</f>
        <v>56.03</v>
      </c>
      <c r="CE283">
        <v>1</v>
      </c>
    </row>
    <row r="284" spans="1:83" ht="25.5" x14ac:dyDescent="0.2">
      <c r="A284" s="53"/>
      <c r="B284" s="53" t="s">
        <v>441</v>
      </c>
      <c r="C284" s="53" t="s">
        <v>443</v>
      </c>
      <c r="D284" s="67" t="s">
        <v>363</v>
      </c>
      <c r="E284" s="68">
        <v>0.14000000000000001</v>
      </c>
      <c r="F284" s="68"/>
      <c r="G284" s="68">
        <f>SmtRes!CX79</f>
        <v>0.14000000000000001</v>
      </c>
      <c r="H284" s="69"/>
      <c r="I284" s="67"/>
      <c r="J284" s="69">
        <f>SmtRes!CZ79</f>
        <v>655.95</v>
      </c>
      <c r="K284" s="67"/>
      <c r="L284" s="69">
        <f>SmtRes!DG79</f>
        <v>91.83</v>
      </c>
    </row>
    <row r="285" spans="1:83" x14ac:dyDescent="0.2">
      <c r="A285" s="53"/>
      <c r="B285" s="53" t="s">
        <v>400</v>
      </c>
      <c r="C285" s="53" t="s">
        <v>683</v>
      </c>
      <c r="D285" s="67" t="s">
        <v>359</v>
      </c>
      <c r="E285" s="68">
        <f>SmtRes!DO79*SmtRes!AT79</f>
        <v>0.14000000000000001</v>
      </c>
      <c r="F285" s="68"/>
      <c r="G285" s="68">
        <f>ROUND(E285*G279, 7)</f>
        <v>0.14000000000000001</v>
      </c>
      <c r="H285" s="69"/>
      <c r="I285" s="67"/>
      <c r="J285" s="69">
        <f>ROUND(SmtRes!AG79/SmtRes!DO79, 2)</f>
        <v>400.24</v>
      </c>
      <c r="K285" s="67"/>
      <c r="L285" s="69">
        <f>SmtRes!DH79</f>
        <v>56.03</v>
      </c>
      <c r="CE285">
        <v>1</v>
      </c>
    </row>
    <row r="286" spans="1:83" x14ac:dyDescent="0.2">
      <c r="A286" s="53"/>
      <c r="B286" s="53" t="s">
        <v>444</v>
      </c>
      <c r="C286" s="53" t="s">
        <v>446</v>
      </c>
      <c r="D286" s="67" t="s">
        <v>363</v>
      </c>
      <c r="E286" s="68">
        <v>0.8</v>
      </c>
      <c r="F286" s="68"/>
      <c r="G286" s="68">
        <f>SmtRes!CX80</f>
        <v>0.8</v>
      </c>
      <c r="H286" s="69">
        <f>SmtRes!CZ80</f>
        <v>4.3499999999999996</v>
      </c>
      <c r="I286" s="67">
        <f>SmtRes!AJ80</f>
        <v>1.3</v>
      </c>
      <c r="J286" s="69">
        <f>ROUND(H286*I286, 2)</f>
        <v>5.66</v>
      </c>
      <c r="K286" s="67"/>
      <c r="L286" s="69">
        <f>SmtRes!DG80</f>
        <v>4.53</v>
      </c>
    </row>
    <row r="287" spans="1:83" ht="25.5" x14ac:dyDescent="0.2">
      <c r="A287" s="53"/>
      <c r="B287" s="53" t="s">
        <v>394</v>
      </c>
      <c r="C287" s="53" t="s">
        <v>396</v>
      </c>
      <c r="D287" s="67" t="s">
        <v>363</v>
      </c>
      <c r="E287" s="68">
        <v>2.4500000000000002</v>
      </c>
      <c r="F287" s="68"/>
      <c r="G287" s="68">
        <f>SmtRes!CX81</f>
        <v>2.4500000000000002</v>
      </c>
      <c r="H287" s="69"/>
      <c r="I287" s="67"/>
      <c r="J287" s="69">
        <f>SmtRes!CZ81</f>
        <v>43.87</v>
      </c>
      <c r="K287" s="67"/>
      <c r="L287" s="69">
        <f>SmtRes!DG81</f>
        <v>107.48</v>
      </c>
    </row>
    <row r="288" spans="1:83" x14ac:dyDescent="0.2">
      <c r="A288" s="70"/>
      <c r="B288" s="68">
        <v>4</v>
      </c>
      <c r="C288" s="70" t="s">
        <v>681</v>
      </c>
      <c r="D288" s="67"/>
      <c r="E288" s="71"/>
      <c r="F288" s="68"/>
      <c r="G288" s="68"/>
      <c r="H288" s="68"/>
      <c r="I288" s="68"/>
      <c r="J288" s="68"/>
      <c r="K288" s="68"/>
      <c r="L288" s="72">
        <f>SUM(L289:L298)-SUMIF(CE289:CE298, 1, L289:L298)</f>
        <v>1676.9399999999998</v>
      </c>
    </row>
    <row r="289" spans="1:82" x14ac:dyDescent="0.2">
      <c r="A289" s="53"/>
      <c r="B289" s="53" t="s">
        <v>450</v>
      </c>
      <c r="C289" s="53" t="s">
        <v>452</v>
      </c>
      <c r="D289" s="67" t="s">
        <v>48</v>
      </c>
      <c r="E289" s="68">
        <v>0.3</v>
      </c>
      <c r="F289" s="68"/>
      <c r="G289" s="68">
        <f>SmtRes!CX82</f>
        <v>0.3</v>
      </c>
      <c r="H289" s="69"/>
      <c r="I289" s="67"/>
      <c r="J289" s="69">
        <f>SmtRes!CZ82</f>
        <v>115.4</v>
      </c>
      <c r="K289" s="67"/>
      <c r="L289" s="69">
        <f>SmtRes!DF82</f>
        <v>34.619999999999997</v>
      </c>
    </row>
    <row r="290" spans="1:82" x14ac:dyDescent="0.2">
      <c r="A290" s="53"/>
      <c r="B290" s="53" t="s">
        <v>453</v>
      </c>
      <c r="C290" s="53" t="s">
        <v>455</v>
      </c>
      <c r="D290" s="67" t="s">
        <v>411</v>
      </c>
      <c r="E290" s="68">
        <v>0.06</v>
      </c>
      <c r="F290" s="68"/>
      <c r="G290" s="68">
        <f>SmtRes!CX83</f>
        <v>0.06</v>
      </c>
      <c r="H290" s="69">
        <f>SmtRes!CZ83</f>
        <v>41.38</v>
      </c>
      <c r="I290" s="67">
        <f>SmtRes!AI83</f>
        <v>1.39</v>
      </c>
      <c r="J290" s="69">
        <f>ROUND(H290*I290, 2)</f>
        <v>57.52</v>
      </c>
      <c r="K290" s="67"/>
      <c r="L290" s="69">
        <f>SmtRes!DF83</f>
        <v>3.45</v>
      </c>
    </row>
    <row r="291" spans="1:82" x14ac:dyDescent="0.2">
      <c r="A291" s="53"/>
      <c r="B291" s="53" t="s">
        <v>404</v>
      </c>
      <c r="C291" s="53" t="s">
        <v>406</v>
      </c>
      <c r="D291" s="67" t="s">
        <v>407</v>
      </c>
      <c r="E291" s="68">
        <v>0.45</v>
      </c>
      <c r="F291" s="68"/>
      <c r="G291" s="68">
        <f>SmtRes!CX84</f>
        <v>0.45</v>
      </c>
      <c r="H291" s="69"/>
      <c r="I291" s="67"/>
      <c r="J291" s="69">
        <f>SmtRes!CZ84</f>
        <v>9.5500000000000007</v>
      </c>
      <c r="K291" s="67"/>
      <c r="L291" s="69">
        <f>SmtRes!DF84</f>
        <v>4.3</v>
      </c>
    </row>
    <row r="292" spans="1:82" ht="38.25" x14ac:dyDescent="0.2">
      <c r="A292" s="53"/>
      <c r="B292" s="53" t="s">
        <v>408</v>
      </c>
      <c r="C292" s="53" t="s">
        <v>410</v>
      </c>
      <c r="D292" s="67" t="s">
        <v>411</v>
      </c>
      <c r="E292" s="68">
        <v>0.72</v>
      </c>
      <c r="F292" s="68"/>
      <c r="G292" s="68">
        <f>SmtRes!CX85</f>
        <v>0.72</v>
      </c>
      <c r="H292" s="69"/>
      <c r="I292" s="67"/>
      <c r="J292" s="69">
        <f>SmtRes!CZ85</f>
        <v>131.85</v>
      </c>
      <c r="K292" s="67"/>
      <c r="L292" s="69">
        <f>SmtRes!DF85</f>
        <v>94.93</v>
      </c>
    </row>
    <row r="293" spans="1:82" ht="25.5" x14ac:dyDescent="0.2">
      <c r="A293" s="53"/>
      <c r="B293" s="53" t="s">
        <v>492</v>
      </c>
      <c r="C293" s="53" t="s">
        <v>494</v>
      </c>
      <c r="D293" s="67" t="s">
        <v>411</v>
      </c>
      <c r="E293" s="68">
        <v>0.75</v>
      </c>
      <c r="F293" s="68"/>
      <c r="G293" s="68">
        <f>SmtRes!CX86</f>
        <v>0.75</v>
      </c>
      <c r="H293" s="69">
        <f>SmtRes!CZ86</f>
        <v>174.93</v>
      </c>
      <c r="I293" s="67">
        <f>SmtRes!AI86</f>
        <v>1.1200000000000001</v>
      </c>
      <c r="J293" s="69">
        <f>ROUND(H293*I293, 2)</f>
        <v>195.92</v>
      </c>
      <c r="K293" s="67"/>
      <c r="L293" s="69">
        <f>SmtRes!DF86</f>
        <v>146.94</v>
      </c>
    </row>
    <row r="294" spans="1:82" x14ac:dyDescent="0.2">
      <c r="A294" s="53"/>
      <c r="B294" s="53" t="s">
        <v>418</v>
      </c>
      <c r="C294" s="53" t="s">
        <v>420</v>
      </c>
      <c r="D294" s="67" t="s">
        <v>248</v>
      </c>
      <c r="E294" s="68">
        <v>1.8000000000000001E-4</v>
      </c>
      <c r="F294" s="68"/>
      <c r="G294" s="68">
        <f>SmtRes!CX87</f>
        <v>1.8000000000000001E-4</v>
      </c>
      <c r="H294" s="69">
        <f>SmtRes!CZ87</f>
        <v>74437.320000000007</v>
      </c>
      <c r="I294" s="67">
        <f>SmtRes!AI87</f>
        <v>1.41</v>
      </c>
      <c r="J294" s="69">
        <f>ROUND(H294*I294, 2)</f>
        <v>104956.62</v>
      </c>
      <c r="K294" s="67"/>
      <c r="L294" s="69">
        <f>SmtRes!DF87</f>
        <v>18.89</v>
      </c>
    </row>
    <row r="295" spans="1:82" x14ac:dyDescent="0.2">
      <c r="A295" s="53"/>
      <c r="B295" s="53" t="s">
        <v>495</v>
      </c>
      <c r="C295" s="53" t="s">
        <v>497</v>
      </c>
      <c r="D295" s="67" t="s">
        <v>248</v>
      </c>
      <c r="E295" s="68">
        <v>1.8000000000000001E-4</v>
      </c>
      <c r="F295" s="68"/>
      <c r="G295" s="68">
        <f>SmtRes!CX88</f>
        <v>1.8000000000000001E-4</v>
      </c>
      <c r="H295" s="69">
        <f>SmtRes!CZ88</f>
        <v>118848.25</v>
      </c>
      <c r="I295" s="67">
        <f>SmtRes!AI88</f>
        <v>1.33</v>
      </c>
      <c r="J295" s="69">
        <f>ROUND(H295*I295, 2)</f>
        <v>158068.17000000001</v>
      </c>
      <c r="K295" s="67"/>
      <c r="L295" s="69">
        <f>SmtRes!DF88</f>
        <v>28.45</v>
      </c>
    </row>
    <row r="296" spans="1:82" x14ac:dyDescent="0.2">
      <c r="A296" s="53"/>
      <c r="B296" s="53" t="s">
        <v>498</v>
      </c>
      <c r="C296" s="53" t="s">
        <v>500</v>
      </c>
      <c r="D296" s="67" t="s">
        <v>248</v>
      </c>
      <c r="E296" s="68">
        <v>2.0000000000000002E-5</v>
      </c>
      <c r="F296" s="68"/>
      <c r="G296" s="68">
        <f>SmtRes!CX89</f>
        <v>2.0000000000000002E-5</v>
      </c>
      <c r="H296" s="69">
        <f>SmtRes!CZ89</f>
        <v>344491.84</v>
      </c>
      <c r="I296" s="67">
        <f>SmtRes!AI89</f>
        <v>1.34</v>
      </c>
      <c r="J296" s="69">
        <f>ROUND(H296*I296, 2)</f>
        <v>461619.07</v>
      </c>
      <c r="K296" s="67"/>
      <c r="L296" s="69">
        <f>SmtRes!DF89</f>
        <v>9.23</v>
      </c>
    </row>
    <row r="297" spans="1:82" ht="51" x14ac:dyDescent="0.2">
      <c r="A297" s="53"/>
      <c r="B297" s="53" t="s">
        <v>137</v>
      </c>
      <c r="C297" s="53" t="s">
        <v>138</v>
      </c>
      <c r="D297" s="67" t="s">
        <v>122</v>
      </c>
      <c r="E297" s="68">
        <v>5.8</v>
      </c>
      <c r="F297" s="68"/>
      <c r="G297" s="68">
        <f>SmtRes!CX90</f>
        <v>5.8</v>
      </c>
      <c r="H297" s="69"/>
      <c r="I297" s="67"/>
      <c r="J297" s="69">
        <f>SmtRes!CZ90</f>
        <v>201.05</v>
      </c>
      <c r="K297" s="67"/>
      <c r="L297" s="69">
        <f>SmtRes!DF90</f>
        <v>1166.0899999999999</v>
      </c>
    </row>
    <row r="298" spans="1:82" ht="51" x14ac:dyDescent="0.2">
      <c r="A298" s="53"/>
      <c r="B298" s="53" t="s">
        <v>504</v>
      </c>
      <c r="C298" s="53" t="s">
        <v>506</v>
      </c>
      <c r="D298" s="67" t="s">
        <v>130</v>
      </c>
      <c r="E298" s="68">
        <v>2</v>
      </c>
      <c r="F298" s="68"/>
      <c r="G298" s="68">
        <f>SmtRes!CX92</f>
        <v>2</v>
      </c>
      <c r="H298" s="69">
        <f>SmtRes!CZ92</f>
        <v>75.239999999999995</v>
      </c>
      <c r="I298" s="67">
        <f>SmtRes!AI92</f>
        <v>1.1299999999999999</v>
      </c>
      <c r="J298" s="69">
        <f>ROUND(H298*I298, 2)</f>
        <v>85.02</v>
      </c>
      <c r="K298" s="67"/>
      <c r="L298" s="69">
        <f>SmtRes!DF92</f>
        <v>170.04</v>
      </c>
    </row>
    <row r="299" spans="1:82" x14ac:dyDescent="0.2">
      <c r="A299" s="53"/>
      <c r="B299" s="53"/>
      <c r="C299" s="73"/>
      <c r="D299" s="74"/>
      <c r="E299" s="75"/>
      <c r="F299" s="75"/>
      <c r="G299" s="75"/>
      <c r="H299" s="76"/>
      <c r="I299" s="74"/>
      <c r="J299" s="76"/>
      <c r="K299" s="74"/>
      <c r="L299" s="76"/>
    </row>
    <row r="300" spans="1:82" x14ac:dyDescent="0.2">
      <c r="A300" s="53"/>
      <c r="B300" s="53"/>
      <c r="C300" s="52" t="s">
        <v>269</v>
      </c>
      <c r="D300" s="67"/>
      <c r="E300" s="68"/>
      <c r="F300" s="68"/>
      <c r="G300" s="68"/>
      <c r="H300" s="69"/>
      <c r="I300" s="67"/>
      <c r="J300" s="69"/>
      <c r="K300" s="67"/>
      <c r="L300" s="69">
        <f>L280+L282+L283+L288</f>
        <v>4478.76</v>
      </c>
    </row>
    <row r="301" spans="1:82" x14ac:dyDescent="0.2">
      <c r="A301" s="53"/>
      <c r="B301" s="53"/>
      <c r="C301" s="53" t="s">
        <v>637</v>
      </c>
      <c r="D301" s="67"/>
      <c r="E301" s="68"/>
      <c r="F301" s="68"/>
      <c r="G301" s="68"/>
      <c r="H301" s="69"/>
      <c r="I301" s="67"/>
      <c r="J301" s="69"/>
      <c r="K301" s="67"/>
      <c r="L301" s="69">
        <f>SUM(AR279:AR304)+SUM(AS279:AS304)+SUM(AT279:AT304)+SUM(AU279:AU304)+SUM(AV279:AV304)</f>
        <v>2597.98</v>
      </c>
    </row>
    <row r="302" spans="1:82" ht="38.25" x14ac:dyDescent="0.2">
      <c r="A302" s="53"/>
      <c r="B302" s="53" t="s">
        <v>43</v>
      </c>
      <c r="C302" s="53" t="s">
        <v>649</v>
      </c>
      <c r="D302" s="67" t="s">
        <v>199</v>
      </c>
      <c r="E302" s="68">
        <f>Source!BZ83</f>
        <v>117</v>
      </c>
      <c r="F302" s="68"/>
      <c r="G302" s="68">
        <f>Source!AT83</f>
        <v>117</v>
      </c>
      <c r="H302" s="69"/>
      <c r="I302" s="67"/>
      <c r="J302" s="69"/>
      <c r="K302" s="67"/>
      <c r="L302" s="69">
        <f>SUM(AZ279:AZ304)</f>
        <v>3039.64</v>
      </c>
    </row>
    <row r="303" spans="1:82" ht="38.25" x14ac:dyDescent="0.2">
      <c r="A303" s="73"/>
      <c r="B303" s="73" t="s">
        <v>44</v>
      </c>
      <c r="C303" s="73" t="s">
        <v>650</v>
      </c>
      <c r="D303" s="74" t="s">
        <v>199</v>
      </c>
      <c r="E303" s="75">
        <f>Source!CA83</f>
        <v>74</v>
      </c>
      <c r="F303" s="75"/>
      <c r="G303" s="75">
        <f>Source!AU83</f>
        <v>74</v>
      </c>
      <c r="H303" s="76"/>
      <c r="I303" s="74"/>
      <c r="J303" s="76"/>
      <c r="K303" s="74"/>
      <c r="L303" s="76">
        <f>SUM(BA279:BA304)</f>
        <v>1922.51</v>
      </c>
    </row>
    <row r="304" spans="1:82" x14ac:dyDescent="0.2">
      <c r="A304" s="18"/>
      <c r="B304" s="18"/>
      <c r="C304" s="77" t="s">
        <v>640</v>
      </c>
      <c r="D304" s="77"/>
      <c r="E304" s="77"/>
      <c r="F304" s="77"/>
      <c r="G304" s="77"/>
      <c r="H304" s="77"/>
      <c r="I304" s="78">
        <f>IF(E279&lt;&gt;0,K304/E279, 0)</f>
        <v>9440.91</v>
      </c>
      <c r="J304" s="78"/>
      <c r="K304" s="78">
        <f>L280+L282+L288+L302+L303+L283</f>
        <v>9440.91</v>
      </c>
      <c r="L304" s="78"/>
      <c r="AD304">
        <f>ROUND((Source!AT83/100)*((ROUND(SUMIF(SmtRes!AQ77:'SmtRes'!AQ92,"=1",SmtRes!AD77:'SmtRes'!AD92)*Source!I83, 2)+ROUND(SUMIF(SmtRes!AQ77:'SmtRes'!AQ92,"=1",SmtRes!AC77:'SmtRes'!AC92)*Source!I83, 2))), 2)</f>
        <v>971.51</v>
      </c>
      <c r="AE304">
        <f>ROUND((Source!AU83/100)*((ROUND(SUMIF(SmtRes!AQ77:'SmtRes'!AQ92,"=1",SmtRes!AD77:'SmtRes'!AD92)*Source!I83, 2)+ROUND(SUMIF(SmtRes!AQ77:'SmtRes'!AQ92,"=1",SmtRes!AC77:'SmtRes'!AC92)*Source!I83, 2))), 2)</f>
        <v>614.46</v>
      </c>
      <c r="AN304" s="17">
        <f>L280+L282+L288+L302+L303+L283</f>
        <v>9440.91</v>
      </c>
      <c r="AO304" s="17">
        <f>L282</f>
        <v>203.84000000000003</v>
      </c>
      <c r="AQ304" t="s">
        <v>641</v>
      </c>
      <c r="AR304" s="17">
        <f>L280</f>
        <v>2541.9499999999998</v>
      </c>
      <c r="AT304" s="17">
        <f>L283</f>
        <v>56.03</v>
      </c>
      <c r="AV304" t="s">
        <v>641</v>
      </c>
      <c r="AW304" s="17">
        <f>L288</f>
        <v>1676.9399999999998</v>
      </c>
      <c r="AZ304">
        <f>Source!X83</f>
        <v>3039.64</v>
      </c>
      <c r="BA304">
        <f>Source!Y83</f>
        <v>1922.51</v>
      </c>
      <c r="CD304">
        <v>1</v>
      </c>
    </row>
    <row r="305" spans="1:83" ht="76.5" x14ac:dyDescent="0.2">
      <c r="A305" s="84" t="s">
        <v>182</v>
      </c>
      <c r="B305" s="73" t="str">
        <f>Source!F84</f>
        <v>18.1.09.04-0001</v>
      </c>
      <c r="C305" s="73" t="str">
        <f>Source!G84</f>
        <v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v>
      </c>
      <c r="D305" s="74" t="str">
        <f>Source!H84</f>
        <v>ШТ</v>
      </c>
      <c r="E305" s="75">
        <f>Source!K84</f>
        <v>1</v>
      </c>
      <c r="F305" s="75"/>
      <c r="G305" s="75">
        <f>Source!I84</f>
        <v>1</v>
      </c>
      <c r="H305" s="76">
        <f>Source!AL84</f>
        <v>8460.98</v>
      </c>
      <c r="I305" s="74">
        <f>IF(Source!BC84&lt;&gt; 0, Source!BC84, 1)</f>
        <v>1.22</v>
      </c>
      <c r="J305" s="76">
        <f>ROUND(H305*I305, 2)</f>
        <v>10322.4</v>
      </c>
      <c r="K305" s="74"/>
      <c r="L305" s="76">
        <f>Source!P84</f>
        <v>10322.4</v>
      </c>
    </row>
    <row r="306" spans="1:83" x14ac:dyDescent="0.2">
      <c r="A306" s="18"/>
      <c r="B306" s="18"/>
      <c r="C306" s="77" t="s">
        <v>640</v>
      </c>
      <c r="D306" s="77"/>
      <c r="E306" s="77"/>
      <c r="F306" s="77"/>
      <c r="G306" s="77"/>
      <c r="H306" s="77"/>
      <c r="I306" s="78">
        <f>IF(E305&lt;&gt;0,K306/E305, 0)</f>
        <v>10322.4</v>
      </c>
      <c r="J306" s="78"/>
      <c r="K306" s="78">
        <f>L305</f>
        <v>10322.4</v>
      </c>
      <c r="L306" s="78"/>
      <c r="AD306">
        <f>ROUND((Source!AT84/100)*((ROUND(ROUND(Source!AO84,2)*Source!I84, 2)+ROUND(ROUND(Source!AN84,2)*Source!I84, 2))), 2)</f>
        <v>0</v>
      </c>
      <c r="AE306">
        <f>ROUND((Source!AU84/100)*((ROUND(ROUND(Source!AO84,2)*Source!I84, 2)+ROUND(ROUND(Source!AN84,2)*Source!I84, 2))), 2)</f>
        <v>0</v>
      </c>
      <c r="AN306" s="17">
        <f>L305</f>
        <v>10322.4</v>
      </c>
      <c r="AO306">
        <f>0</f>
        <v>0</v>
      </c>
      <c r="AQ306" t="s">
        <v>641</v>
      </c>
      <c r="AR306">
        <f>0</f>
        <v>0</v>
      </c>
      <c r="AT306">
        <f>0</f>
        <v>0</v>
      </c>
      <c r="AV306" t="s">
        <v>641</v>
      </c>
      <c r="AW306" s="17">
        <f>L305</f>
        <v>10322.4</v>
      </c>
      <c r="AZ306">
        <f>Source!X84</f>
        <v>0</v>
      </c>
      <c r="BA306">
        <f>Source!Y84</f>
        <v>0</v>
      </c>
      <c r="CD306">
        <v>1</v>
      </c>
    </row>
    <row r="307" spans="1:83" ht="25.5" x14ac:dyDescent="0.2">
      <c r="A307" s="66" t="s">
        <v>186</v>
      </c>
      <c r="B307" s="53" t="s">
        <v>694</v>
      </c>
      <c r="C307" s="53" t="str">
        <f>Source!G85</f>
        <v>Прокладка ленты сигнальной желтого цвета в траншее</v>
      </c>
      <c r="D307" s="67" t="str">
        <f>Source!H85</f>
        <v>км кабеля</v>
      </c>
      <c r="E307" s="68">
        <f>Source!K85</f>
        <v>0.223</v>
      </c>
      <c r="F307" s="68"/>
      <c r="G307" s="68">
        <f>Source!I85</f>
        <v>0.223</v>
      </c>
      <c r="H307" s="69"/>
      <c r="I307" s="67"/>
      <c r="J307" s="69"/>
      <c r="K307" s="67"/>
      <c r="L307" s="69"/>
    </row>
    <row r="308" spans="1:83" x14ac:dyDescent="0.2">
      <c r="A308" s="70"/>
      <c r="B308" s="68">
        <v>1</v>
      </c>
      <c r="C308" s="70" t="s">
        <v>643</v>
      </c>
      <c r="D308" s="67" t="s">
        <v>359</v>
      </c>
      <c r="E308" s="71"/>
      <c r="F308" s="68"/>
      <c r="G308" s="68">
        <f>Source!U85</f>
        <v>6.0209999999999999</v>
      </c>
      <c r="H308" s="68"/>
      <c r="I308" s="68"/>
      <c r="J308" s="68"/>
      <c r="K308" s="68"/>
      <c r="L308" s="72">
        <f>SUM(L309:L309)-SUMIF(CE309:CE309, 1, L309:L309)</f>
        <v>2274.9699999999998</v>
      </c>
    </row>
    <row r="309" spans="1:83" x14ac:dyDescent="0.2">
      <c r="A309" s="53"/>
      <c r="B309" s="53" t="s">
        <v>507</v>
      </c>
      <c r="C309" s="53" t="s">
        <v>508</v>
      </c>
      <c r="D309" s="67" t="s">
        <v>359</v>
      </c>
      <c r="E309" s="68">
        <v>27</v>
      </c>
      <c r="F309" s="68"/>
      <c r="G309" s="68">
        <f>SmtRes!CX93</f>
        <v>6.0209999999999999</v>
      </c>
      <c r="H309" s="69"/>
      <c r="I309" s="67"/>
      <c r="J309" s="69">
        <f>SmtRes!CZ93</f>
        <v>377.84</v>
      </c>
      <c r="K309" s="67"/>
      <c r="L309" s="69">
        <f>SmtRes!DI93</f>
        <v>2274.9699999999998</v>
      </c>
    </row>
    <row r="310" spans="1:83" x14ac:dyDescent="0.2">
      <c r="A310" s="70"/>
      <c r="B310" s="68">
        <v>2</v>
      </c>
      <c r="C310" s="70" t="s">
        <v>634</v>
      </c>
      <c r="D310" s="67"/>
      <c r="E310" s="71"/>
      <c r="F310" s="68"/>
      <c r="G310" s="68"/>
      <c r="H310" s="68"/>
      <c r="I310" s="68"/>
      <c r="J310" s="68"/>
      <c r="K310" s="68"/>
      <c r="L310" s="72">
        <f>SUM(L311:L314)-SUMIF(CE311:CE314, 1, L311:L314)</f>
        <v>2324.5500000000002</v>
      </c>
    </row>
    <row r="311" spans="1:83" x14ac:dyDescent="0.2">
      <c r="A311" s="70"/>
      <c r="B311" s="68"/>
      <c r="C311" s="70" t="s">
        <v>636</v>
      </c>
      <c r="D311" s="67" t="s">
        <v>359</v>
      </c>
      <c r="E311" s="71"/>
      <c r="F311" s="68"/>
      <c r="G311" s="68">
        <f>Source!V85</f>
        <v>1.65466</v>
      </c>
      <c r="H311" s="68"/>
      <c r="I311" s="68"/>
      <c r="J311" s="68"/>
      <c r="K311" s="68"/>
      <c r="L311" s="72">
        <f>SUMIF(CE312:CE314, 1, L312:L314)</f>
        <v>761.11</v>
      </c>
      <c r="CE311">
        <v>1</v>
      </c>
    </row>
    <row r="312" spans="1:83" ht="38.25" x14ac:dyDescent="0.2">
      <c r="A312" s="53"/>
      <c r="B312" s="53" t="s">
        <v>509</v>
      </c>
      <c r="C312" s="53" t="s">
        <v>511</v>
      </c>
      <c r="D312" s="67" t="s">
        <v>363</v>
      </c>
      <c r="E312" s="68">
        <v>7.42</v>
      </c>
      <c r="F312" s="68"/>
      <c r="G312" s="68">
        <f>SmtRes!CX95</f>
        <v>1.65466</v>
      </c>
      <c r="H312" s="69">
        <f>SmtRes!CZ95</f>
        <v>995.51</v>
      </c>
      <c r="I312" s="67">
        <f>SmtRes!AJ95</f>
        <v>1.35</v>
      </c>
      <c r="J312" s="69">
        <f>ROUND(H312*I312, 2)</f>
        <v>1343.94</v>
      </c>
      <c r="K312" s="67"/>
      <c r="L312" s="69">
        <f>SmtRes!DG95</f>
        <v>2223.7600000000002</v>
      </c>
    </row>
    <row r="313" spans="1:83" x14ac:dyDescent="0.2">
      <c r="A313" s="53"/>
      <c r="B313" s="53" t="s">
        <v>372</v>
      </c>
      <c r="C313" s="53" t="s">
        <v>647</v>
      </c>
      <c r="D313" s="67" t="s">
        <v>359</v>
      </c>
      <c r="E313" s="68">
        <f>SmtRes!DO95*SmtRes!AT95</f>
        <v>7.42</v>
      </c>
      <c r="F313" s="68"/>
      <c r="G313" s="68">
        <f>ROUND(E313*G307, 7)</f>
        <v>1.65466</v>
      </c>
      <c r="H313" s="69"/>
      <c r="I313" s="67"/>
      <c r="J313" s="69">
        <f>ROUND(SmtRes!AG95/SmtRes!DO95, 2)</f>
        <v>459.98</v>
      </c>
      <c r="K313" s="67"/>
      <c r="L313" s="69">
        <f>SmtRes!DH95</f>
        <v>761.11</v>
      </c>
      <c r="CE313">
        <v>1</v>
      </c>
    </row>
    <row r="314" spans="1:83" ht="25.5" x14ac:dyDescent="0.2">
      <c r="A314" s="53"/>
      <c r="B314" s="53" t="s">
        <v>512</v>
      </c>
      <c r="C314" s="73" t="s">
        <v>514</v>
      </c>
      <c r="D314" s="74" t="s">
        <v>363</v>
      </c>
      <c r="E314" s="75">
        <v>7.42</v>
      </c>
      <c r="F314" s="75"/>
      <c r="G314" s="75">
        <f>SmtRes!CX96</f>
        <v>1.65466</v>
      </c>
      <c r="H314" s="76">
        <f>SmtRes!CZ96</f>
        <v>34.409999999999997</v>
      </c>
      <c r="I314" s="74">
        <f>SmtRes!AJ96</f>
        <v>1.77</v>
      </c>
      <c r="J314" s="76">
        <f>ROUND(H314*I314, 2)</f>
        <v>60.91</v>
      </c>
      <c r="K314" s="74"/>
      <c r="L314" s="76">
        <f>SmtRes!DG96</f>
        <v>100.79</v>
      </c>
    </row>
    <row r="315" spans="1:83" x14ac:dyDescent="0.2">
      <c r="A315" s="53"/>
      <c r="B315" s="53"/>
      <c r="C315" s="52" t="s">
        <v>269</v>
      </c>
      <c r="D315" s="67"/>
      <c r="E315" s="68"/>
      <c r="F315" s="68"/>
      <c r="G315" s="68"/>
      <c r="H315" s="69"/>
      <c r="I315" s="67"/>
      <c r="J315" s="69"/>
      <c r="K315" s="67"/>
      <c r="L315" s="69">
        <f>L308+L310+L311</f>
        <v>5360.63</v>
      </c>
    </row>
    <row r="316" spans="1:83" ht="38.25" x14ac:dyDescent="0.2">
      <c r="A316" s="66" t="s">
        <v>695</v>
      </c>
      <c r="B316" s="53" t="str">
        <f>Source!F86</f>
        <v>421/пр_2020_п.75_пп.а</v>
      </c>
      <c r="C316" s="53" t="str">
        <f>Source!G86</f>
        <v>Сметная стоимость вспомогательных ненормируемых материальных ресурсов, не учтенная в сметной норме, 2%</v>
      </c>
      <c r="D316" s="67" t="str">
        <f>Source!H86</f>
        <v>%</v>
      </c>
      <c r="E316" s="68">
        <f>SmtRes!AT97</f>
        <v>2</v>
      </c>
      <c r="F316" s="68"/>
      <c r="G316" s="68">
        <f>Source!I86</f>
        <v>2</v>
      </c>
      <c r="H316" s="69"/>
      <c r="I316" s="67"/>
      <c r="J316" s="69"/>
      <c r="K316" s="67"/>
      <c r="L316" s="69">
        <f>Source!P86</f>
        <v>45.5</v>
      </c>
      <c r="AD316">
        <f>ROUND((Source!AT86/100)*((ROUND(0*Source!I86, 2)+ROUND(0*Source!I86, 2))), 2)</f>
        <v>0</v>
      </c>
      <c r="AE316">
        <f>ROUND((Source!AU86/100)*((ROUND(0*Source!I86, 2)+ROUND(0*Source!I86, 2))), 2)</f>
        <v>0</v>
      </c>
      <c r="AN316">
        <f>L316</f>
        <v>45.5</v>
      </c>
      <c r="AW316">
        <f>L316</f>
        <v>45.5</v>
      </c>
      <c r="AZ316">
        <f>Source!X86</f>
        <v>0</v>
      </c>
      <c r="BA316">
        <f>Source!Y86</f>
        <v>0</v>
      </c>
      <c r="CD316">
        <v>2</v>
      </c>
    </row>
    <row r="317" spans="1:83" x14ac:dyDescent="0.2">
      <c r="A317" s="53"/>
      <c r="B317" s="53"/>
      <c r="C317" s="53" t="s">
        <v>637</v>
      </c>
      <c r="D317" s="67"/>
      <c r="E317" s="68"/>
      <c r="F317" s="68"/>
      <c r="G317" s="68"/>
      <c r="H317" s="69"/>
      <c r="I317" s="67"/>
      <c r="J317" s="69"/>
      <c r="K317" s="67"/>
      <c r="L317" s="69">
        <f>SUM(AR307:AR320)+SUM(AS307:AS320)+SUM(AT307:AT320)+SUM(AU307:AU320)+SUM(AV307:AV320)</f>
        <v>3036.08</v>
      </c>
    </row>
    <row r="318" spans="1:83" ht="25.5" x14ac:dyDescent="0.2">
      <c r="A318" s="53"/>
      <c r="B318" s="53" t="s">
        <v>194</v>
      </c>
      <c r="C318" s="53" t="s">
        <v>696</v>
      </c>
      <c r="D318" s="67" t="s">
        <v>199</v>
      </c>
      <c r="E318" s="68">
        <f>Source!BZ85</f>
        <v>111</v>
      </c>
      <c r="F318" s="68"/>
      <c r="G318" s="68">
        <f>Source!AT85</f>
        <v>111</v>
      </c>
      <c r="H318" s="69"/>
      <c r="I318" s="67"/>
      <c r="J318" s="69"/>
      <c r="K318" s="67"/>
      <c r="L318" s="69">
        <f>SUM(AZ307:AZ320)</f>
        <v>3370.05</v>
      </c>
    </row>
    <row r="319" spans="1:83" ht="25.5" x14ac:dyDescent="0.2">
      <c r="A319" s="73"/>
      <c r="B319" s="73" t="s">
        <v>195</v>
      </c>
      <c r="C319" s="73" t="s">
        <v>697</v>
      </c>
      <c r="D319" s="74" t="s">
        <v>199</v>
      </c>
      <c r="E319" s="75">
        <f>Source!CA85</f>
        <v>52</v>
      </c>
      <c r="F319" s="75"/>
      <c r="G319" s="75">
        <f>Source!AU85</f>
        <v>52</v>
      </c>
      <c r="H319" s="76"/>
      <c r="I319" s="74"/>
      <c r="J319" s="76"/>
      <c r="K319" s="74"/>
      <c r="L319" s="76">
        <f>SUM(BA307:BA320)</f>
        <v>1578.76</v>
      </c>
    </row>
    <row r="320" spans="1:83" x14ac:dyDescent="0.2">
      <c r="A320" s="18"/>
      <c r="B320" s="18"/>
      <c r="C320" s="77" t="s">
        <v>640</v>
      </c>
      <c r="D320" s="77"/>
      <c r="E320" s="77"/>
      <c r="F320" s="77"/>
      <c r="G320" s="77"/>
      <c r="H320" s="77"/>
      <c r="I320" s="78">
        <f>IF(E307&lt;&gt;0,K320/E307, 0)</f>
        <v>46434.708520179374</v>
      </c>
      <c r="J320" s="78"/>
      <c r="K320" s="78">
        <f>L308+L310+L318+L319+L311+SUM(L316:L316)</f>
        <v>10354.94</v>
      </c>
      <c r="L320" s="78"/>
      <c r="AD320">
        <f>ROUND((Source!AT85/100)*((ROUND(SUMIF(SmtRes!AQ93:'SmtRes'!AQ97,"=1",SmtRes!AD93:'SmtRes'!AD97)*Source!I85, 2)+ROUND(SUMIF(SmtRes!AQ93:'SmtRes'!AQ97,"=1",SmtRes!AC93:'SmtRes'!AC97)*Source!I85, 2))), 2)</f>
        <v>207.39</v>
      </c>
      <c r="AE320">
        <f>ROUND((Source!AU85/100)*((ROUND(SUMIF(SmtRes!AQ93:'SmtRes'!AQ97,"=1",SmtRes!AD93:'SmtRes'!AD97)*Source!I85, 2)+ROUND(SUMIF(SmtRes!AQ93:'SmtRes'!AQ97,"=1",SmtRes!AC93:'SmtRes'!AC97)*Source!I85, 2))), 2)</f>
        <v>97.16</v>
      </c>
      <c r="AN320" s="17">
        <f>L308+L310+L318+L319+L311</f>
        <v>10309.44</v>
      </c>
      <c r="AO320" s="17">
        <f>L310</f>
        <v>2324.5500000000002</v>
      </c>
      <c r="AQ320" t="s">
        <v>641</v>
      </c>
      <c r="AR320" s="17">
        <f>L308</f>
        <v>2274.9699999999998</v>
      </c>
      <c r="AT320" s="17">
        <f>L311</f>
        <v>761.11</v>
      </c>
      <c r="AV320" t="s">
        <v>641</v>
      </c>
      <c r="AW320">
        <f>0</f>
        <v>0</v>
      </c>
      <c r="AZ320">
        <f>Source!X85</f>
        <v>3370.05</v>
      </c>
      <c r="BA320">
        <f>Source!Y85</f>
        <v>1578.76</v>
      </c>
      <c r="CD320">
        <v>2</v>
      </c>
    </row>
    <row r="321" spans="1:83" ht="51" x14ac:dyDescent="0.2">
      <c r="A321" s="66" t="s">
        <v>200</v>
      </c>
      <c r="B321" s="53" t="str">
        <f>Source!F87</f>
        <v>01.7.06.08-0007</v>
      </c>
      <c r="C321" s="53" t="str">
        <f>Source!G87</f>
        <v>Ленты сигнальные из полиэтилена высокого давления «ГАЗ», фон желтый, надпись красная, ширина 200 мм, толщина 0,05 мм</v>
      </c>
      <c r="D321" s="67" t="str">
        <f>Source!H87</f>
        <v>100 м</v>
      </c>
      <c r="E321" s="68">
        <f>Source!K87</f>
        <v>2.23</v>
      </c>
      <c r="F321" s="68"/>
      <c r="G321" s="68">
        <f>Source!I87</f>
        <v>2.23</v>
      </c>
      <c r="H321" s="69">
        <f>Source!AL87</f>
        <v>151.51</v>
      </c>
      <c r="I321" s="67">
        <f>IF(Source!BC87&lt;&gt; 0, Source!BC87, 1)</f>
        <v>1.54</v>
      </c>
      <c r="J321" s="69">
        <f>ROUND(H321*I321, 2)</f>
        <v>233.33</v>
      </c>
      <c r="K321" s="67"/>
      <c r="L321" s="69">
        <f>Source!P87</f>
        <v>520.33000000000004</v>
      </c>
    </row>
    <row r="322" spans="1:83" x14ac:dyDescent="0.2">
      <c r="A322" s="54"/>
      <c r="B322" s="54"/>
      <c r="C322" s="55" t="str">
        <f>"Объем: "&amp;Source!I87&amp;"=223/"&amp;"100"</f>
        <v>Объем: 2,23=223/100</v>
      </c>
      <c r="D322" s="54"/>
      <c r="E322" s="54"/>
      <c r="F322" s="54"/>
      <c r="G322" s="54"/>
      <c r="H322" s="54"/>
      <c r="I322" s="54"/>
      <c r="J322" s="54"/>
      <c r="K322" s="54"/>
      <c r="L322" s="54"/>
    </row>
    <row r="323" spans="1:83" x14ac:dyDescent="0.2">
      <c r="A323" s="18"/>
      <c r="B323" s="18"/>
      <c r="C323" s="77" t="s">
        <v>640</v>
      </c>
      <c r="D323" s="77"/>
      <c r="E323" s="77"/>
      <c r="F323" s="77"/>
      <c r="G323" s="77"/>
      <c r="H323" s="77"/>
      <c r="I323" s="78">
        <f>IF(E321&lt;&gt;0,K323/E321, 0)</f>
        <v>233.33183856502245</v>
      </c>
      <c r="J323" s="78"/>
      <c r="K323" s="78">
        <f>L321</f>
        <v>520.33000000000004</v>
      </c>
      <c r="L323" s="78"/>
      <c r="AD323">
        <f>ROUND((Source!AT87/100)*((ROUND(ROUND(Source!AO87,2)*Source!I87, 2)+ROUND(ROUND(Source!AN87,2)*Source!I87, 2))), 2)</f>
        <v>0</v>
      </c>
      <c r="AE323">
        <f>ROUND((Source!AU87/100)*((ROUND(ROUND(Source!AO87,2)*Source!I87, 2)+ROUND(ROUND(Source!AN87,2)*Source!I87, 2))), 2)</f>
        <v>0</v>
      </c>
      <c r="AN323" s="17">
        <f>L321</f>
        <v>520.33000000000004</v>
      </c>
      <c r="AO323">
        <f>0</f>
        <v>0</v>
      </c>
      <c r="AQ323" t="s">
        <v>641</v>
      </c>
      <c r="AR323">
        <f>0</f>
        <v>0</v>
      </c>
      <c r="AT323">
        <f>0</f>
        <v>0</v>
      </c>
      <c r="AV323" t="s">
        <v>641</v>
      </c>
      <c r="AW323" s="17">
        <f>L321</f>
        <v>520.33000000000004</v>
      </c>
      <c r="AZ323">
        <f>Source!X87</f>
        <v>0</v>
      </c>
      <c r="BA323">
        <f>Source!Y87</f>
        <v>0</v>
      </c>
      <c r="CD323">
        <v>1</v>
      </c>
    </row>
    <row r="324" spans="1:83" ht="25.5" x14ac:dyDescent="0.2">
      <c r="A324" s="66" t="s">
        <v>204</v>
      </c>
      <c r="B324" s="53" t="s">
        <v>694</v>
      </c>
      <c r="C324" s="53" t="str">
        <f>Source!G88</f>
        <v>Кабель, прокладываемый в траншее, масса 1м кабеля: до 0,6 кг</v>
      </c>
      <c r="D324" s="67" t="str">
        <f>Source!H88</f>
        <v>км кабеля</v>
      </c>
      <c r="E324" s="68">
        <f>Source!K88</f>
        <v>0.223</v>
      </c>
      <c r="F324" s="68"/>
      <c r="G324" s="68">
        <f>Source!I88</f>
        <v>0.223</v>
      </c>
      <c r="H324" s="69"/>
      <c r="I324" s="67"/>
      <c r="J324" s="69"/>
      <c r="K324" s="67"/>
      <c r="L324" s="69"/>
    </row>
    <row r="325" spans="1:83" x14ac:dyDescent="0.2">
      <c r="A325" s="70"/>
      <c r="B325" s="68">
        <v>1</v>
      </c>
      <c r="C325" s="70" t="s">
        <v>643</v>
      </c>
      <c r="D325" s="67" t="s">
        <v>359</v>
      </c>
      <c r="E325" s="71"/>
      <c r="F325" s="68"/>
      <c r="G325" s="68">
        <f>Source!U88</f>
        <v>6.0209999999999999</v>
      </c>
      <c r="H325" s="68"/>
      <c r="I325" s="68"/>
      <c r="J325" s="68"/>
      <c r="K325" s="68"/>
      <c r="L325" s="72">
        <f>SUM(L326:L326)-SUMIF(CE326:CE326, 1, L326:L326)</f>
        <v>2274.9699999999998</v>
      </c>
    </row>
    <row r="326" spans="1:83" x14ac:dyDescent="0.2">
      <c r="A326" s="53"/>
      <c r="B326" s="53" t="s">
        <v>507</v>
      </c>
      <c r="C326" s="53" t="s">
        <v>508</v>
      </c>
      <c r="D326" s="67" t="s">
        <v>359</v>
      </c>
      <c r="E326" s="68">
        <v>27</v>
      </c>
      <c r="F326" s="68"/>
      <c r="G326" s="68">
        <f>SmtRes!CX98</f>
        <v>6.0209999999999999</v>
      </c>
      <c r="H326" s="69"/>
      <c r="I326" s="67"/>
      <c r="J326" s="69">
        <f>SmtRes!CZ98</f>
        <v>377.84</v>
      </c>
      <c r="K326" s="67"/>
      <c r="L326" s="69">
        <f>SmtRes!DI98</f>
        <v>2274.9699999999998</v>
      </c>
    </row>
    <row r="327" spans="1:83" x14ac:dyDescent="0.2">
      <c r="A327" s="70"/>
      <c r="B327" s="68">
        <v>2</v>
      </c>
      <c r="C327" s="70" t="s">
        <v>634</v>
      </c>
      <c r="D327" s="67"/>
      <c r="E327" s="71"/>
      <c r="F327" s="68"/>
      <c r="G327" s="68"/>
      <c r="H327" s="68"/>
      <c r="I327" s="68"/>
      <c r="J327" s="68"/>
      <c r="K327" s="68"/>
      <c r="L327" s="72">
        <f>SUM(L328:L331)-SUMIF(CE328:CE331, 1, L328:L331)</f>
        <v>2324.5500000000002</v>
      </c>
    </row>
    <row r="328" spans="1:83" x14ac:dyDescent="0.2">
      <c r="A328" s="70"/>
      <c r="B328" s="68"/>
      <c r="C328" s="70" t="s">
        <v>636</v>
      </c>
      <c r="D328" s="67" t="s">
        <v>359</v>
      </c>
      <c r="E328" s="71"/>
      <c r="F328" s="68"/>
      <c r="G328" s="68">
        <f>Source!V88</f>
        <v>1.65466</v>
      </c>
      <c r="H328" s="68"/>
      <c r="I328" s="68"/>
      <c r="J328" s="68"/>
      <c r="K328" s="68"/>
      <c r="L328" s="72">
        <f>SUMIF(CE329:CE331, 1, L329:L331)</f>
        <v>761.11</v>
      </c>
      <c r="CE328">
        <v>1</v>
      </c>
    </row>
    <row r="329" spans="1:83" ht="38.25" x14ac:dyDescent="0.2">
      <c r="A329" s="53"/>
      <c r="B329" s="53" t="s">
        <v>509</v>
      </c>
      <c r="C329" s="53" t="s">
        <v>511</v>
      </c>
      <c r="D329" s="67" t="s">
        <v>363</v>
      </c>
      <c r="E329" s="68">
        <v>7.42</v>
      </c>
      <c r="F329" s="68"/>
      <c r="G329" s="68">
        <f>SmtRes!CX100</f>
        <v>1.65466</v>
      </c>
      <c r="H329" s="69">
        <f>SmtRes!CZ100</f>
        <v>995.51</v>
      </c>
      <c r="I329" s="67">
        <f>SmtRes!AJ100</f>
        <v>1.35</v>
      </c>
      <c r="J329" s="69">
        <f>ROUND(H329*I329, 2)</f>
        <v>1343.94</v>
      </c>
      <c r="K329" s="67"/>
      <c r="L329" s="69">
        <f>SmtRes!DG100</f>
        <v>2223.7600000000002</v>
      </c>
    </row>
    <row r="330" spans="1:83" x14ac:dyDescent="0.2">
      <c r="A330" s="53"/>
      <c r="B330" s="53" t="s">
        <v>372</v>
      </c>
      <c r="C330" s="53" t="s">
        <v>647</v>
      </c>
      <c r="D330" s="67" t="s">
        <v>359</v>
      </c>
      <c r="E330" s="68">
        <f>SmtRes!DO100*SmtRes!AT100</f>
        <v>7.42</v>
      </c>
      <c r="F330" s="68"/>
      <c r="G330" s="68">
        <f>ROUND(E330*G324, 7)</f>
        <v>1.65466</v>
      </c>
      <c r="H330" s="69"/>
      <c r="I330" s="67"/>
      <c r="J330" s="69">
        <f>ROUND(SmtRes!AG100/SmtRes!DO100, 2)</f>
        <v>459.98</v>
      </c>
      <c r="K330" s="67"/>
      <c r="L330" s="69">
        <f>SmtRes!DH100</f>
        <v>761.11</v>
      </c>
      <c r="CE330">
        <v>1</v>
      </c>
    </row>
    <row r="331" spans="1:83" ht="25.5" x14ac:dyDescent="0.2">
      <c r="A331" s="53"/>
      <c r="B331" s="53" t="s">
        <v>512</v>
      </c>
      <c r="C331" s="73" t="s">
        <v>514</v>
      </c>
      <c r="D331" s="74" t="s">
        <v>363</v>
      </c>
      <c r="E331" s="75">
        <v>7.42</v>
      </c>
      <c r="F331" s="75"/>
      <c r="G331" s="75">
        <f>SmtRes!CX101</f>
        <v>1.65466</v>
      </c>
      <c r="H331" s="76">
        <f>SmtRes!CZ101</f>
        <v>34.409999999999997</v>
      </c>
      <c r="I331" s="74">
        <f>SmtRes!AJ101</f>
        <v>1.77</v>
      </c>
      <c r="J331" s="76">
        <f>ROUND(H331*I331, 2)</f>
        <v>60.91</v>
      </c>
      <c r="K331" s="74"/>
      <c r="L331" s="76">
        <f>SmtRes!DG101</f>
        <v>100.79</v>
      </c>
    </row>
    <row r="332" spans="1:83" x14ac:dyDescent="0.2">
      <c r="A332" s="53"/>
      <c r="B332" s="53"/>
      <c r="C332" s="52" t="s">
        <v>269</v>
      </c>
      <c r="D332" s="67"/>
      <c r="E332" s="68"/>
      <c r="F332" s="68"/>
      <c r="G332" s="68"/>
      <c r="H332" s="69"/>
      <c r="I332" s="67"/>
      <c r="J332" s="69"/>
      <c r="K332" s="67"/>
      <c r="L332" s="69">
        <f>L325+L327+L328</f>
        <v>5360.63</v>
      </c>
    </row>
    <row r="333" spans="1:83" ht="38.25" x14ac:dyDescent="0.2">
      <c r="A333" s="66" t="s">
        <v>698</v>
      </c>
      <c r="B333" s="53" t="str">
        <f>Source!F89</f>
        <v>421/пр_2020_п.75_пп.а</v>
      </c>
      <c r="C333" s="53" t="str">
        <f>Source!G89</f>
        <v>Сметная стоимость вспомогательных ненормируемых материальных ресурсов, не учтенная в сметной норме, 2%</v>
      </c>
      <c r="D333" s="67" t="str">
        <f>Source!H89</f>
        <v>%</v>
      </c>
      <c r="E333" s="68">
        <f>SmtRes!AT102</f>
        <v>2</v>
      </c>
      <c r="F333" s="68"/>
      <c r="G333" s="68">
        <f>Source!I89</f>
        <v>2</v>
      </c>
      <c r="H333" s="69"/>
      <c r="I333" s="67"/>
      <c r="J333" s="69"/>
      <c r="K333" s="67"/>
      <c r="L333" s="69">
        <f>Source!P89</f>
        <v>45.5</v>
      </c>
      <c r="AD333">
        <f>ROUND((Source!AT89/100)*((ROUND(0*Source!I89, 2)+ROUND(0*Source!I89, 2))), 2)</f>
        <v>0</v>
      </c>
      <c r="AE333">
        <f>ROUND((Source!AU89/100)*((ROUND(0*Source!I89, 2)+ROUND(0*Source!I89, 2))), 2)</f>
        <v>0</v>
      </c>
      <c r="AN333">
        <f>L333</f>
        <v>45.5</v>
      </c>
      <c r="AW333">
        <f>L333</f>
        <v>45.5</v>
      </c>
      <c r="AZ333">
        <f>Source!X89</f>
        <v>0</v>
      </c>
      <c r="BA333">
        <f>Source!Y89</f>
        <v>0</v>
      </c>
      <c r="CD333">
        <v>2</v>
      </c>
    </row>
    <row r="334" spans="1:83" x14ac:dyDescent="0.2">
      <c r="A334" s="53"/>
      <c r="B334" s="53"/>
      <c r="C334" s="53" t="s">
        <v>637</v>
      </c>
      <c r="D334" s="67"/>
      <c r="E334" s="68"/>
      <c r="F334" s="68"/>
      <c r="G334" s="68"/>
      <c r="H334" s="69"/>
      <c r="I334" s="67"/>
      <c r="J334" s="69"/>
      <c r="K334" s="67"/>
      <c r="L334" s="69">
        <f>SUM(AR324:AR337)+SUM(AS324:AS337)+SUM(AT324:AT337)+SUM(AU324:AU337)+SUM(AV324:AV337)</f>
        <v>3036.08</v>
      </c>
    </row>
    <row r="335" spans="1:83" ht="25.5" x14ac:dyDescent="0.2">
      <c r="A335" s="53"/>
      <c r="B335" s="53" t="s">
        <v>194</v>
      </c>
      <c r="C335" s="53" t="s">
        <v>696</v>
      </c>
      <c r="D335" s="67" t="s">
        <v>199</v>
      </c>
      <c r="E335" s="68">
        <f>Source!BZ88</f>
        <v>111</v>
      </c>
      <c r="F335" s="68"/>
      <c r="G335" s="68">
        <f>Source!AT88</f>
        <v>111</v>
      </c>
      <c r="H335" s="69"/>
      <c r="I335" s="67"/>
      <c r="J335" s="69"/>
      <c r="K335" s="67"/>
      <c r="L335" s="69">
        <f>SUM(AZ324:AZ337)</f>
        <v>3370.05</v>
      </c>
    </row>
    <row r="336" spans="1:83" ht="25.5" x14ac:dyDescent="0.2">
      <c r="A336" s="73"/>
      <c r="B336" s="73" t="s">
        <v>195</v>
      </c>
      <c r="C336" s="73" t="s">
        <v>697</v>
      </c>
      <c r="D336" s="74" t="s">
        <v>199</v>
      </c>
      <c r="E336" s="75">
        <f>Source!CA88</f>
        <v>52</v>
      </c>
      <c r="F336" s="75"/>
      <c r="G336" s="75">
        <f>Source!AU88</f>
        <v>52</v>
      </c>
      <c r="H336" s="76"/>
      <c r="I336" s="74"/>
      <c r="J336" s="76"/>
      <c r="K336" s="74"/>
      <c r="L336" s="76">
        <f>SUM(BA324:BA337)</f>
        <v>1578.76</v>
      </c>
    </row>
    <row r="337" spans="1:83" x14ac:dyDescent="0.2">
      <c r="A337" s="18"/>
      <c r="B337" s="18"/>
      <c r="C337" s="77" t="s">
        <v>640</v>
      </c>
      <c r="D337" s="77"/>
      <c r="E337" s="77"/>
      <c r="F337" s="77"/>
      <c r="G337" s="77"/>
      <c r="H337" s="77"/>
      <c r="I337" s="78">
        <f>IF(E324&lt;&gt;0,K337/E324, 0)</f>
        <v>46434.708520179374</v>
      </c>
      <c r="J337" s="78"/>
      <c r="K337" s="78">
        <f>L325+L327+L335+L336+L328+SUM(L333:L333)</f>
        <v>10354.94</v>
      </c>
      <c r="L337" s="78"/>
      <c r="AD337">
        <f>ROUND((Source!AT88/100)*((ROUND(SUMIF(SmtRes!AQ98:'SmtRes'!AQ102,"=1",SmtRes!AD98:'SmtRes'!AD102)*Source!I88, 2)+ROUND(SUMIF(SmtRes!AQ98:'SmtRes'!AQ102,"=1",SmtRes!AC98:'SmtRes'!AC102)*Source!I88, 2))), 2)</f>
        <v>207.39</v>
      </c>
      <c r="AE337">
        <f>ROUND((Source!AU88/100)*((ROUND(SUMIF(SmtRes!AQ98:'SmtRes'!AQ102,"=1",SmtRes!AD98:'SmtRes'!AD102)*Source!I88, 2)+ROUND(SUMIF(SmtRes!AQ98:'SmtRes'!AQ102,"=1",SmtRes!AC98:'SmtRes'!AC102)*Source!I88, 2))), 2)</f>
        <v>97.16</v>
      </c>
      <c r="AN337" s="17">
        <f>L325+L327+L335+L336+L328</f>
        <v>10309.44</v>
      </c>
      <c r="AO337" s="17">
        <f>L327</f>
        <v>2324.5500000000002</v>
      </c>
      <c r="AQ337" t="s">
        <v>641</v>
      </c>
      <c r="AR337" s="17">
        <f>L325</f>
        <v>2274.9699999999998</v>
      </c>
      <c r="AT337" s="17">
        <f>L328</f>
        <v>761.11</v>
      </c>
      <c r="AV337" t="s">
        <v>641</v>
      </c>
      <c r="AW337">
        <f>0</f>
        <v>0</v>
      </c>
      <c r="AZ337">
        <f>Source!X88</f>
        <v>3370.05</v>
      </c>
      <c r="BA337">
        <f>Source!Y88</f>
        <v>1578.76</v>
      </c>
      <c r="CD337">
        <v>2</v>
      </c>
    </row>
    <row r="338" spans="1:83" x14ac:dyDescent="0.2">
      <c r="A338" s="66" t="s">
        <v>207</v>
      </c>
      <c r="B338" s="53" t="str">
        <f>Source!F90</f>
        <v>21.2.03.05-0002</v>
      </c>
      <c r="C338" s="53" t="str">
        <f>Source!G90</f>
        <v>Провод  АПВ 1х2,5-450/750</v>
      </c>
      <c r="D338" s="67" t="str">
        <f>Source!H90</f>
        <v>1000 м</v>
      </c>
      <c r="E338" s="68">
        <f>Source!K90</f>
        <v>0.223</v>
      </c>
      <c r="F338" s="68"/>
      <c r="G338" s="68">
        <f>Source!I90</f>
        <v>0.223</v>
      </c>
      <c r="H338" s="69">
        <f>Source!AL90</f>
        <v>3080.58</v>
      </c>
      <c r="I338" s="67">
        <f>IF(Source!BC90&lt;&gt; 0, Source!BC90, 1)</f>
        <v>1.26</v>
      </c>
      <c r="J338" s="69">
        <f>ROUND(H338*I338, 2)</f>
        <v>3881.53</v>
      </c>
      <c r="K338" s="67"/>
      <c r="L338" s="69">
        <f>Source!P90</f>
        <v>865.58</v>
      </c>
    </row>
    <row r="339" spans="1:83" x14ac:dyDescent="0.2">
      <c r="A339" s="54"/>
      <c r="B339" s="54"/>
      <c r="C339" s="55" t="str">
        <f>"Объем: "&amp;Source!I90&amp;"=223/"&amp;"1000"</f>
        <v>Объем: 0,223=223/1000</v>
      </c>
      <c r="D339" s="54"/>
      <c r="E339" s="54"/>
      <c r="F339" s="54"/>
      <c r="G339" s="54"/>
      <c r="H339" s="54"/>
      <c r="I339" s="54"/>
      <c r="J339" s="54"/>
      <c r="K339" s="54"/>
      <c r="L339" s="54"/>
    </row>
    <row r="340" spans="1:83" x14ac:dyDescent="0.2">
      <c r="A340" s="18"/>
      <c r="B340" s="18"/>
      <c r="C340" s="77" t="s">
        <v>640</v>
      </c>
      <c r="D340" s="77"/>
      <c r="E340" s="77"/>
      <c r="F340" s="77"/>
      <c r="G340" s="77"/>
      <c r="H340" s="77"/>
      <c r="I340" s="78">
        <f>IF(E338&lt;&gt;0,K340/E338, 0)</f>
        <v>3881.5246636771303</v>
      </c>
      <c r="J340" s="78"/>
      <c r="K340" s="78">
        <f>L338</f>
        <v>865.58</v>
      </c>
      <c r="L340" s="78"/>
      <c r="AD340">
        <f>ROUND((Source!AT90/100)*((ROUND(ROUND(Source!AO90,2)*Source!I90, 2)+ROUND(ROUND(Source!AN90,2)*Source!I90, 2))), 2)</f>
        <v>0</v>
      </c>
      <c r="AE340">
        <f>ROUND((Source!AU90/100)*((ROUND(ROUND(Source!AO90,2)*Source!I90, 2)+ROUND(ROUND(Source!AN90,2)*Source!I90, 2))), 2)</f>
        <v>0</v>
      </c>
      <c r="AN340" s="17">
        <f>L338</f>
        <v>865.58</v>
      </c>
      <c r="AO340">
        <f>0</f>
        <v>0</v>
      </c>
      <c r="AQ340" t="s">
        <v>641</v>
      </c>
      <c r="AR340">
        <f>0</f>
        <v>0</v>
      </c>
      <c r="AT340">
        <f>0</f>
        <v>0</v>
      </c>
      <c r="AV340" t="s">
        <v>641</v>
      </c>
      <c r="AW340" s="17">
        <f>L338</f>
        <v>865.58</v>
      </c>
      <c r="AZ340">
        <f>Source!X90</f>
        <v>0</v>
      </c>
      <c r="BA340">
        <f>Source!Y90</f>
        <v>0</v>
      </c>
      <c r="CD340">
        <v>2</v>
      </c>
    </row>
    <row r="341" spans="1:83" ht="25.5" x14ac:dyDescent="0.2">
      <c r="A341" s="66" t="s">
        <v>216</v>
      </c>
      <c r="B341" s="53" t="s">
        <v>699</v>
      </c>
      <c r="C341" s="53" t="str">
        <f>Source!G91</f>
        <v>Установка столбиков сигнальных: пластиковых</v>
      </c>
      <c r="D341" s="67" t="str">
        <f>Source!H91</f>
        <v>100 ШТ</v>
      </c>
      <c r="E341" s="68">
        <f>Source!K91</f>
        <v>0.05</v>
      </c>
      <c r="F341" s="68"/>
      <c r="G341" s="68">
        <f>Source!I91</f>
        <v>0.05</v>
      </c>
      <c r="H341" s="69"/>
      <c r="I341" s="67"/>
      <c r="J341" s="69"/>
      <c r="K341" s="67"/>
      <c r="L341" s="69"/>
    </row>
    <row r="342" spans="1:83" x14ac:dyDescent="0.2">
      <c r="A342" s="18"/>
      <c r="B342" s="18"/>
      <c r="C342" s="51" t="str">
        <f>"Объем: "&amp;Source!I91&amp;"=5/"&amp;"100"</f>
        <v>Объем: 0,05=5/100</v>
      </c>
      <c r="D342" s="18"/>
      <c r="E342" s="18"/>
      <c r="F342" s="18"/>
      <c r="G342" s="18"/>
      <c r="H342" s="18"/>
      <c r="I342" s="18"/>
      <c r="J342" s="18"/>
      <c r="K342" s="18"/>
      <c r="L342" s="18"/>
    </row>
    <row r="343" spans="1:83" x14ac:dyDescent="0.2">
      <c r="A343" s="70"/>
      <c r="B343" s="68">
        <v>1</v>
      </c>
      <c r="C343" s="70" t="s">
        <v>643</v>
      </c>
      <c r="D343" s="67" t="s">
        <v>359</v>
      </c>
      <c r="E343" s="71"/>
      <c r="F343" s="68"/>
      <c r="G343" s="68">
        <f>Source!U91</f>
        <v>0.5675</v>
      </c>
      <c r="H343" s="68"/>
      <c r="I343" s="68"/>
      <c r="J343" s="68"/>
      <c r="K343" s="68"/>
      <c r="L343" s="72">
        <f>SUM(L344:L344)-SUMIF(CE344:CE344, 1, L344:L344)</f>
        <v>191.54</v>
      </c>
    </row>
    <row r="344" spans="1:83" x14ac:dyDescent="0.2">
      <c r="A344" s="53"/>
      <c r="B344" s="53" t="s">
        <v>515</v>
      </c>
      <c r="C344" s="53" t="s">
        <v>516</v>
      </c>
      <c r="D344" s="67" t="s">
        <v>359</v>
      </c>
      <c r="E344" s="68">
        <v>11.35</v>
      </c>
      <c r="F344" s="68"/>
      <c r="G344" s="68">
        <f>SmtRes!CX103</f>
        <v>0.5675</v>
      </c>
      <c r="H344" s="69"/>
      <c r="I344" s="67"/>
      <c r="J344" s="69">
        <f>SmtRes!CZ103</f>
        <v>337.52</v>
      </c>
      <c r="K344" s="67"/>
      <c r="L344" s="69">
        <f>SmtRes!DI103</f>
        <v>191.54</v>
      </c>
    </row>
    <row r="345" spans="1:83" x14ac:dyDescent="0.2">
      <c r="A345" s="70"/>
      <c r="B345" s="68">
        <v>2</v>
      </c>
      <c r="C345" s="70" t="s">
        <v>634</v>
      </c>
      <c r="D345" s="67"/>
      <c r="E345" s="71"/>
      <c r="F345" s="68"/>
      <c r="G345" s="68"/>
      <c r="H345" s="68"/>
      <c r="I345" s="68"/>
      <c r="J345" s="68"/>
      <c r="K345" s="68"/>
      <c r="L345" s="72">
        <f>SUM(L346:L349)-SUMIF(CE346:CE349, 1, L346:L349)</f>
        <v>62.98</v>
      </c>
    </row>
    <row r="346" spans="1:83" x14ac:dyDescent="0.2">
      <c r="A346" s="70"/>
      <c r="B346" s="68"/>
      <c r="C346" s="70" t="s">
        <v>636</v>
      </c>
      <c r="D346" s="67" t="s">
        <v>359</v>
      </c>
      <c r="E346" s="71"/>
      <c r="F346" s="68"/>
      <c r="G346" s="68">
        <f>Source!V91</f>
        <v>4.7E-2</v>
      </c>
      <c r="H346" s="68"/>
      <c r="I346" s="68"/>
      <c r="J346" s="68"/>
      <c r="K346" s="68"/>
      <c r="L346" s="72">
        <f>SUMIF(CE347:CE349, 1, L347:L349)</f>
        <v>18.809999999999999</v>
      </c>
      <c r="CE346">
        <v>1</v>
      </c>
    </row>
    <row r="347" spans="1:83" ht="38.25" x14ac:dyDescent="0.2">
      <c r="A347" s="53"/>
      <c r="B347" s="53" t="s">
        <v>517</v>
      </c>
      <c r="C347" s="53" t="s">
        <v>519</v>
      </c>
      <c r="D347" s="67" t="s">
        <v>363</v>
      </c>
      <c r="E347" s="68">
        <v>0.94</v>
      </c>
      <c r="F347" s="68"/>
      <c r="G347" s="68">
        <f>SmtRes!CX105</f>
        <v>4.7E-2</v>
      </c>
      <c r="H347" s="69">
        <f>SmtRes!CZ105</f>
        <v>865.46</v>
      </c>
      <c r="I347" s="67">
        <f>SmtRes!AJ105</f>
        <v>1.39</v>
      </c>
      <c r="J347" s="69">
        <f>ROUND(H347*I347, 2)</f>
        <v>1202.99</v>
      </c>
      <c r="K347" s="67"/>
      <c r="L347" s="69">
        <f>SmtRes!DG105</f>
        <v>56.54</v>
      </c>
    </row>
    <row r="348" spans="1:83" x14ac:dyDescent="0.2">
      <c r="A348" s="53"/>
      <c r="B348" s="53" t="s">
        <v>400</v>
      </c>
      <c r="C348" s="53" t="s">
        <v>683</v>
      </c>
      <c r="D348" s="67" t="s">
        <v>359</v>
      </c>
      <c r="E348" s="68">
        <f>SmtRes!DO105*SmtRes!AT105</f>
        <v>0.94</v>
      </c>
      <c r="F348" s="68"/>
      <c r="G348" s="68">
        <f>ROUND(E348*G341, 7)</f>
        <v>4.7E-2</v>
      </c>
      <c r="H348" s="69"/>
      <c r="I348" s="67"/>
      <c r="J348" s="69">
        <f>ROUND(SmtRes!AG105/SmtRes!DO105, 2)</f>
        <v>400.24</v>
      </c>
      <c r="K348" s="67"/>
      <c r="L348" s="69">
        <f>SmtRes!DH105</f>
        <v>18.809999999999999</v>
      </c>
      <c r="CE348">
        <v>1</v>
      </c>
    </row>
    <row r="349" spans="1:83" ht="38.25" x14ac:dyDescent="0.2">
      <c r="A349" s="53"/>
      <c r="B349" s="53" t="s">
        <v>520</v>
      </c>
      <c r="C349" s="53" t="s">
        <v>522</v>
      </c>
      <c r="D349" s="67" t="s">
        <v>363</v>
      </c>
      <c r="E349" s="68">
        <v>4.24</v>
      </c>
      <c r="F349" s="68"/>
      <c r="G349" s="68">
        <f>SmtRes!CX106</f>
        <v>0.21199999999999999</v>
      </c>
      <c r="H349" s="69"/>
      <c r="I349" s="67"/>
      <c r="J349" s="69">
        <f>SmtRes!CZ106</f>
        <v>30.37</v>
      </c>
      <c r="K349" s="67"/>
      <c r="L349" s="69">
        <f>SmtRes!DG106</f>
        <v>6.44</v>
      </c>
    </row>
    <row r="350" spans="1:83" ht="25.5" x14ac:dyDescent="0.2">
      <c r="A350" s="53"/>
      <c r="B350" s="53" t="str">
        <f>EtalonRes!I117</f>
        <v>01.5.03.06</v>
      </c>
      <c r="C350" s="73" t="str">
        <f>EtalonRes!K117</f>
        <v>Столбик сигнальный дорожный пластиковый</v>
      </c>
      <c r="D350" s="74" t="str">
        <f>EtalonRes!O117</f>
        <v>ШТ</v>
      </c>
      <c r="E350" s="75">
        <f>EtalonRes!X117</f>
        <v>100</v>
      </c>
      <c r="F350" s="75"/>
      <c r="G350" s="75">
        <f>ROUND(EtalonRes!AG117*Source!I91, 7)</f>
        <v>5</v>
      </c>
      <c r="H350" s="76"/>
      <c r="I350" s="74"/>
      <c r="J350" s="76"/>
      <c r="K350" s="74"/>
      <c r="L350" s="76"/>
    </row>
    <row r="351" spans="1:83" x14ac:dyDescent="0.2">
      <c r="A351" s="53"/>
      <c r="B351" s="53"/>
      <c r="C351" s="52" t="s">
        <v>269</v>
      </c>
      <c r="D351" s="67"/>
      <c r="E351" s="68"/>
      <c r="F351" s="68"/>
      <c r="G351" s="68"/>
      <c r="H351" s="69"/>
      <c r="I351" s="67"/>
      <c r="J351" s="69"/>
      <c r="K351" s="67"/>
      <c r="L351" s="69">
        <f>L343+L345+L346</f>
        <v>273.33</v>
      </c>
    </row>
    <row r="352" spans="1:83" x14ac:dyDescent="0.2">
      <c r="A352" s="53"/>
      <c r="B352" s="53"/>
      <c r="C352" s="53" t="s">
        <v>637</v>
      </c>
      <c r="D352" s="67"/>
      <c r="E352" s="68"/>
      <c r="F352" s="68"/>
      <c r="G352" s="68"/>
      <c r="H352" s="69"/>
      <c r="I352" s="67"/>
      <c r="J352" s="69"/>
      <c r="K352" s="67"/>
      <c r="L352" s="69">
        <f>SUM(AR341:AR355)+SUM(AS341:AS355)+SUM(AT341:AT355)+SUM(AU341:AU355)+SUM(AV341:AV355)</f>
        <v>210.35</v>
      </c>
    </row>
    <row r="353" spans="1:83" x14ac:dyDescent="0.2">
      <c r="A353" s="53"/>
      <c r="B353" s="53" t="s">
        <v>223</v>
      </c>
      <c r="C353" s="53" t="s">
        <v>700</v>
      </c>
      <c r="D353" s="67" t="s">
        <v>199</v>
      </c>
      <c r="E353" s="68">
        <f>Source!BZ91</f>
        <v>147</v>
      </c>
      <c r="F353" s="68"/>
      <c r="G353" s="68">
        <f>Source!AT91</f>
        <v>147</v>
      </c>
      <c r="H353" s="69"/>
      <c r="I353" s="67"/>
      <c r="J353" s="69"/>
      <c r="K353" s="67"/>
      <c r="L353" s="69">
        <f>SUM(AZ341:AZ355)</f>
        <v>309.20999999999998</v>
      </c>
    </row>
    <row r="354" spans="1:83" x14ac:dyDescent="0.2">
      <c r="A354" s="73"/>
      <c r="B354" s="73" t="s">
        <v>224</v>
      </c>
      <c r="C354" s="73" t="s">
        <v>701</v>
      </c>
      <c r="D354" s="74" t="s">
        <v>199</v>
      </c>
      <c r="E354" s="75">
        <f>Source!CA91</f>
        <v>134</v>
      </c>
      <c r="F354" s="75"/>
      <c r="G354" s="75">
        <f>Source!AU91</f>
        <v>134</v>
      </c>
      <c r="H354" s="76"/>
      <c r="I354" s="74"/>
      <c r="J354" s="76"/>
      <c r="K354" s="74"/>
      <c r="L354" s="76">
        <f>SUM(BA341:BA355)</f>
        <v>281.87</v>
      </c>
    </row>
    <row r="355" spans="1:83" x14ac:dyDescent="0.2">
      <c r="A355" s="18"/>
      <c r="B355" s="18"/>
      <c r="C355" s="77" t="s">
        <v>640</v>
      </c>
      <c r="D355" s="77"/>
      <c r="E355" s="77"/>
      <c r="F355" s="77"/>
      <c r="G355" s="77"/>
      <c r="H355" s="77"/>
      <c r="I355" s="78">
        <f>IF(E341&lt;&gt;0,K355/E341, 0)</f>
        <v>17288.199999999997</v>
      </c>
      <c r="J355" s="78"/>
      <c r="K355" s="78">
        <f>L343+L345+L353+L354+L346</f>
        <v>864.41</v>
      </c>
      <c r="L355" s="78"/>
      <c r="AD355">
        <f>ROUND((Source!AT91/100)*((ROUND(SUMIF(SmtRes!AQ103:'SmtRes'!AQ106,"=1",SmtRes!AD103:'SmtRes'!AD106)*Source!I91, 2)+ROUND(SUMIF(SmtRes!AQ103:'SmtRes'!AQ106,"=1",SmtRes!AC103:'SmtRes'!AC106)*Source!I91, 2))), 2)</f>
        <v>54.23</v>
      </c>
      <c r="AE355">
        <f>ROUND((Source!AU91/100)*((ROUND(SUMIF(SmtRes!AQ103:'SmtRes'!AQ106,"=1",SmtRes!AD103:'SmtRes'!AD106)*Source!I91, 2)+ROUND(SUMIF(SmtRes!AQ103:'SmtRes'!AQ106,"=1",SmtRes!AC103:'SmtRes'!AC106)*Source!I91, 2))), 2)</f>
        <v>49.43</v>
      </c>
      <c r="AN355" s="17">
        <f>L343+L345+L353+L354+L346</f>
        <v>864.41</v>
      </c>
      <c r="AO355" s="17">
        <f>L345</f>
        <v>62.98</v>
      </c>
      <c r="AQ355" t="s">
        <v>641</v>
      </c>
      <c r="AR355" s="17">
        <f>L343</f>
        <v>191.54</v>
      </c>
      <c r="AT355" s="17">
        <f>L346</f>
        <v>18.809999999999999</v>
      </c>
      <c r="AV355" t="s">
        <v>641</v>
      </c>
      <c r="AW355">
        <f>0</f>
        <v>0</v>
      </c>
      <c r="AZ355">
        <f>Source!X91</f>
        <v>309.20999999999998</v>
      </c>
      <c r="BA355">
        <f>Source!Y91</f>
        <v>281.87</v>
      </c>
      <c r="CD355">
        <v>1</v>
      </c>
    </row>
    <row r="356" spans="1:83" ht="38.25" x14ac:dyDescent="0.2">
      <c r="A356" s="66" t="s">
        <v>225</v>
      </c>
      <c r="B356" s="53" t="str">
        <f>Source!F92</f>
        <v>22.2.02.23-0302</v>
      </c>
      <c r="C356" s="53" t="str">
        <f>Source!G92</f>
        <v>Таблички-указатели кабельных трасс пластиковые односторонние, размеры 300х400х5 мм</v>
      </c>
      <c r="D356" s="67" t="str">
        <f>Source!H92</f>
        <v>100 ШТ</v>
      </c>
      <c r="E356" s="68">
        <f>Source!K92</f>
        <v>0.05</v>
      </c>
      <c r="F356" s="68"/>
      <c r="G356" s="68">
        <f>Source!I92</f>
        <v>0.05</v>
      </c>
      <c r="H356" s="69">
        <f>Source!AL92</f>
        <v>69225.399999999994</v>
      </c>
      <c r="I356" s="67">
        <f>IF(Source!BC92&lt;&gt; 0, Source!BC92, 1)</f>
        <v>1.39</v>
      </c>
      <c r="J356" s="69">
        <f>ROUND(H356*I356, 2)</f>
        <v>96223.31</v>
      </c>
      <c r="K356" s="67"/>
      <c r="L356" s="69">
        <f>Source!P92</f>
        <v>4811.17</v>
      </c>
    </row>
    <row r="357" spans="1:83" x14ac:dyDescent="0.2">
      <c r="A357" s="54"/>
      <c r="B357" s="54"/>
      <c r="C357" s="55" t="str">
        <f>"Объем: "&amp;Source!I92&amp;"=5/"&amp;"100"</f>
        <v>Объем: 0,05=5/100</v>
      </c>
      <c r="D357" s="54"/>
      <c r="E357" s="54"/>
      <c r="F357" s="54"/>
      <c r="G357" s="54"/>
      <c r="H357" s="54"/>
      <c r="I357" s="54"/>
      <c r="J357" s="54"/>
      <c r="K357" s="54"/>
      <c r="L357" s="54"/>
    </row>
    <row r="358" spans="1:83" x14ac:dyDescent="0.2">
      <c r="A358" s="18"/>
      <c r="B358" s="18"/>
      <c r="C358" s="77" t="s">
        <v>640</v>
      </c>
      <c r="D358" s="77"/>
      <c r="E358" s="77"/>
      <c r="F358" s="77"/>
      <c r="G358" s="77"/>
      <c r="H358" s="77"/>
      <c r="I358" s="78">
        <f>IF(E356&lt;&gt;0,K358/E356, 0)</f>
        <v>96223.4</v>
      </c>
      <c r="J358" s="78"/>
      <c r="K358" s="78">
        <f>L356</f>
        <v>4811.17</v>
      </c>
      <c r="L358" s="78"/>
      <c r="AD358">
        <f>ROUND((Source!AT92/100)*((ROUND(ROUND(Source!AO92,2)*Source!I92, 2)+ROUND(ROUND(Source!AN92,2)*Source!I92, 2))), 2)</f>
        <v>0</v>
      </c>
      <c r="AE358">
        <f>ROUND((Source!AU92/100)*((ROUND(ROUND(Source!AO92,2)*Source!I92, 2)+ROUND(ROUND(Source!AN92,2)*Source!I92, 2))), 2)</f>
        <v>0</v>
      </c>
      <c r="AN358" s="17">
        <f>L356</f>
        <v>4811.17</v>
      </c>
      <c r="AO358">
        <f>0</f>
        <v>0</v>
      </c>
      <c r="AQ358" t="s">
        <v>641</v>
      </c>
      <c r="AR358">
        <f>0</f>
        <v>0</v>
      </c>
      <c r="AT358">
        <f>0</f>
        <v>0</v>
      </c>
      <c r="AV358" t="s">
        <v>641</v>
      </c>
      <c r="AW358" s="17">
        <f>L356</f>
        <v>4811.17</v>
      </c>
      <c r="AZ358">
        <f>Source!X92</f>
        <v>0</v>
      </c>
      <c r="BA358">
        <f>Source!Y92</f>
        <v>0</v>
      </c>
      <c r="CD358">
        <v>2</v>
      </c>
    </row>
    <row r="359" spans="1:83" ht="51" x14ac:dyDescent="0.2">
      <c r="A359" s="84" t="s">
        <v>229</v>
      </c>
      <c r="B359" s="73" t="str">
        <f>Source!F93</f>
        <v>20.1.02.23-0174</v>
      </c>
      <c r="C359" s="73" t="str">
        <f>Source!G93</f>
        <v>Столбик замерный, опознавательный, пластиковый для подземных кабельных линий связи, диаметр 83 мм, высота 2200 мм</v>
      </c>
      <c r="D359" s="74" t="str">
        <f>Source!H93</f>
        <v>ШТ</v>
      </c>
      <c r="E359" s="75">
        <f>Source!K93</f>
        <v>5</v>
      </c>
      <c r="F359" s="75"/>
      <c r="G359" s="75">
        <f>Source!I93</f>
        <v>5</v>
      </c>
      <c r="H359" s="76">
        <f>Source!AL93</f>
        <v>713.25</v>
      </c>
      <c r="I359" s="74">
        <f>IF(Source!BC93&lt;&gt; 0, Source!BC93, 1)</f>
        <v>1.39</v>
      </c>
      <c r="J359" s="76">
        <f>ROUND(H359*I359, 2)</f>
        <v>991.42</v>
      </c>
      <c r="K359" s="74"/>
      <c r="L359" s="76">
        <f>Source!P93</f>
        <v>4957.1000000000004</v>
      </c>
    </row>
    <row r="360" spans="1:83" x14ac:dyDescent="0.2">
      <c r="A360" s="18"/>
      <c r="B360" s="18"/>
      <c r="C360" s="77" t="s">
        <v>640</v>
      </c>
      <c r="D360" s="77"/>
      <c r="E360" s="77"/>
      <c r="F360" s="77"/>
      <c r="G360" s="77"/>
      <c r="H360" s="77"/>
      <c r="I360" s="78">
        <f>IF(E359&lt;&gt;0,K360/E359, 0)</f>
        <v>991.42000000000007</v>
      </c>
      <c r="J360" s="78"/>
      <c r="K360" s="78">
        <f>L359</f>
        <v>4957.1000000000004</v>
      </c>
      <c r="L360" s="78"/>
      <c r="AD360">
        <f>ROUND((Source!AT93/100)*((ROUND(ROUND(Source!AO93,2)*Source!I93, 2)+ROUND(ROUND(Source!AN93,2)*Source!I93, 2))), 2)</f>
        <v>0</v>
      </c>
      <c r="AE360">
        <f>ROUND((Source!AU93/100)*((ROUND(ROUND(Source!AO93,2)*Source!I93, 2)+ROUND(ROUND(Source!AN93,2)*Source!I93, 2))), 2)</f>
        <v>0</v>
      </c>
      <c r="AN360" s="17">
        <f>L359</f>
        <v>4957.1000000000004</v>
      </c>
      <c r="AO360">
        <f>0</f>
        <v>0</v>
      </c>
      <c r="AQ360" t="s">
        <v>641</v>
      </c>
      <c r="AR360">
        <f>0</f>
        <v>0</v>
      </c>
      <c r="AT360">
        <f>0</f>
        <v>0</v>
      </c>
      <c r="AV360" t="s">
        <v>641</v>
      </c>
      <c r="AW360" s="17">
        <f>L359</f>
        <v>4957.1000000000004</v>
      </c>
      <c r="AZ360">
        <f>Source!X93</f>
        <v>0</v>
      </c>
      <c r="BA360">
        <f>Source!Y93</f>
        <v>0</v>
      </c>
      <c r="CD360">
        <v>2</v>
      </c>
    </row>
    <row r="361" spans="1:83" x14ac:dyDescent="0.2">
      <c r="A361" s="66" t="s">
        <v>233</v>
      </c>
      <c r="B361" s="53" t="s">
        <v>702</v>
      </c>
      <c r="C361" s="53" t="str">
        <f>Source!G94</f>
        <v>Устройство бетонной подготовки</v>
      </c>
      <c r="D361" s="67" t="str">
        <f>Source!H94</f>
        <v>100 м3</v>
      </c>
      <c r="E361" s="68">
        <f>Source!K94</f>
        <v>5.1999999999999995E-4</v>
      </c>
      <c r="F361" s="68"/>
      <c r="G361" s="68">
        <f>Source!I94</f>
        <v>5.1999999999999995E-4</v>
      </c>
      <c r="H361" s="69"/>
      <c r="I361" s="67"/>
      <c r="J361" s="69"/>
      <c r="K361" s="67"/>
      <c r="L361" s="69"/>
    </row>
    <row r="362" spans="1:83" x14ac:dyDescent="0.2">
      <c r="A362" s="18"/>
      <c r="B362" s="18"/>
      <c r="C362" s="51" t="str">
        <f>"Объем: "&amp;Source!I94&amp;"=0,052/"&amp;"100"</f>
        <v>Объем: 0,00052=0,052/100</v>
      </c>
      <c r="D362" s="18"/>
      <c r="E362" s="18"/>
      <c r="F362" s="18"/>
      <c r="G362" s="18"/>
      <c r="H362" s="18"/>
      <c r="I362" s="18"/>
      <c r="J362" s="18"/>
      <c r="K362" s="18"/>
      <c r="L362" s="18"/>
    </row>
    <row r="363" spans="1:83" x14ac:dyDescent="0.2">
      <c r="A363" s="70"/>
      <c r="B363" s="68">
        <v>1</v>
      </c>
      <c r="C363" s="70" t="s">
        <v>643</v>
      </c>
      <c r="D363" s="67" t="s">
        <v>359</v>
      </c>
      <c r="E363" s="71"/>
      <c r="F363" s="68"/>
      <c r="G363" s="68">
        <f>Source!U94</f>
        <v>7.0199999999999999E-2</v>
      </c>
      <c r="H363" s="68"/>
      <c r="I363" s="68"/>
      <c r="J363" s="68"/>
      <c r="K363" s="68"/>
      <c r="L363" s="72">
        <f>SUM(L364:L364)-SUMIF(CE364:CE364, 1, L364:L364)</f>
        <v>22.86</v>
      </c>
    </row>
    <row r="364" spans="1:83" x14ac:dyDescent="0.2">
      <c r="A364" s="53"/>
      <c r="B364" s="53" t="s">
        <v>365</v>
      </c>
      <c r="C364" s="53" t="s">
        <v>366</v>
      </c>
      <c r="D364" s="67" t="s">
        <v>359</v>
      </c>
      <c r="E364" s="68">
        <v>135</v>
      </c>
      <c r="F364" s="68"/>
      <c r="G364" s="68">
        <f>SmtRes!CX107</f>
        <v>7.0199999999999999E-2</v>
      </c>
      <c r="H364" s="69"/>
      <c r="I364" s="67"/>
      <c r="J364" s="69">
        <f>SmtRes!CZ107</f>
        <v>325.57</v>
      </c>
      <c r="K364" s="67"/>
      <c r="L364" s="69">
        <f>SmtRes!DI107</f>
        <v>22.86</v>
      </c>
    </row>
    <row r="365" spans="1:83" x14ac:dyDescent="0.2">
      <c r="A365" s="70"/>
      <c r="B365" s="68">
        <v>2</v>
      </c>
      <c r="C365" s="70" t="s">
        <v>634</v>
      </c>
      <c r="D365" s="67"/>
      <c r="E365" s="71"/>
      <c r="F365" s="68"/>
      <c r="G365" s="68"/>
      <c r="H365" s="68"/>
      <c r="I365" s="68"/>
      <c r="J365" s="68"/>
      <c r="K365" s="68"/>
      <c r="L365" s="72">
        <f>SUM(L366:L371)-SUMIF(CE366:CE371, 1, L366:L371)</f>
        <v>9.4100000000000019</v>
      </c>
    </row>
    <row r="366" spans="1:83" x14ac:dyDescent="0.2">
      <c r="A366" s="70"/>
      <c r="B366" s="68"/>
      <c r="C366" s="70" t="s">
        <v>636</v>
      </c>
      <c r="D366" s="67" t="s">
        <v>359</v>
      </c>
      <c r="E366" s="71"/>
      <c r="F366" s="68"/>
      <c r="G366" s="68">
        <f>Source!V94</f>
        <v>9.4224000000000009E-3</v>
      </c>
      <c r="H366" s="68"/>
      <c r="I366" s="68"/>
      <c r="J366" s="68"/>
      <c r="K366" s="68"/>
      <c r="L366" s="72">
        <f>SUMIF(CE367:CE371, 1, L367:L371)</f>
        <v>5.05</v>
      </c>
      <c r="CE366">
        <v>1</v>
      </c>
    </row>
    <row r="367" spans="1:83" x14ac:dyDescent="0.2">
      <c r="A367" s="53"/>
      <c r="B367" s="53" t="s">
        <v>523</v>
      </c>
      <c r="C367" s="53" t="s">
        <v>525</v>
      </c>
      <c r="D367" s="67" t="s">
        <v>363</v>
      </c>
      <c r="E367" s="68">
        <v>18</v>
      </c>
      <c r="F367" s="68"/>
      <c r="G367" s="68">
        <f>SmtRes!CX109</f>
        <v>9.3600000000000003E-3</v>
      </c>
      <c r="H367" s="69">
        <f>SmtRes!CZ109</f>
        <v>622.62</v>
      </c>
      <c r="I367" s="67">
        <f>SmtRes!AJ109</f>
        <v>1.6</v>
      </c>
      <c r="J367" s="69">
        <f>ROUND(H367*I367, 2)</f>
        <v>996.19</v>
      </c>
      <c r="K367" s="67"/>
      <c r="L367" s="69">
        <f>SmtRes!DG109</f>
        <v>9.32</v>
      </c>
    </row>
    <row r="368" spans="1:83" x14ac:dyDescent="0.2">
      <c r="A368" s="53"/>
      <c r="B368" s="53" t="s">
        <v>364</v>
      </c>
      <c r="C368" s="53" t="s">
        <v>635</v>
      </c>
      <c r="D368" s="67" t="s">
        <v>359</v>
      </c>
      <c r="E368" s="68">
        <f>SmtRes!DO109*SmtRes!AT109</f>
        <v>18</v>
      </c>
      <c r="F368" s="68"/>
      <c r="G368" s="68">
        <f>ROUND(E368*G361, 7)</f>
        <v>9.3600000000000003E-3</v>
      </c>
      <c r="H368" s="69"/>
      <c r="I368" s="67"/>
      <c r="J368" s="69">
        <f>ROUND(SmtRes!AG109/SmtRes!DO109, 2)</f>
        <v>537.64</v>
      </c>
      <c r="K368" s="67"/>
      <c r="L368" s="69">
        <f>SmtRes!DH109</f>
        <v>5.03</v>
      </c>
      <c r="CE368">
        <v>1</v>
      </c>
    </row>
    <row r="369" spans="1:83" x14ac:dyDescent="0.2">
      <c r="A369" s="53"/>
      <c r="B369" s="53" t="s">
        <v>526</v>
      </c>
      <c r="C369" s="53" t="s">
        <v>528</v>
      </c>
      <c r="D369" s="67" t="s">
        <v>363</v>
      </c>
      <c r="E369" s="68">
        <v>5.93</v>
      </c>
      <c r="F369" s="68"/>
      <c r="G369" s="68">
        <f>SmtRes!CX110</f>
        <v>3.0836000000000001E-3</v>
      </c>
      <c r="H369" s="69">
        <f>SmtRes!CZ110</f>
        <v>8.5399999999999991</v>
      </c>
      <c r="I369" s="67">
        <f>SmtRes!AJ110</f>
        <v>1.91</v>
      </c>
      <c r="J369" s="69">
        <f>ROUND(H369*I369, 2)</f>
        <v>16.309999999999999</v>
      </c>
      <c r="K369" s="67"/>
      <c r="L369" s="69">
        <f>SmtRes!DG110</f>
        <v>0.05</v>
      </c>
    </row>
    <row r="370" spans="1:83" ht="25.5" x14ac:dyDescent="0.2">
      <c r="A370" s="53"/>
      <c r="B370" s="53" t="s">
        <v>441</v>
      </c>
      <c r="C370" s="53" t="s">
        <v>443</v>
      </c>
      <c r="D370" s="67" t="s">
        <v>363</v>
      </c>
      <c r="E370" s="68">
        <v>0.12</v>
      </c>
      <c r="F370" s="68"/>
      <c r="G370" s="68">
        <f>SmtRes!CX111</f>
        <v>6.2399999999999999E-5</v>
      </c>
      <c r="H370" s="69"/>
      <c r="I370" s="67"/>
      <c r="J370" s="69">
        <f>SmtRes!CZ111</f>
        <v>655.95</v>
      </c>
      <c r="K370" s="67"/>
      <c r="L370" s="69">
        <f>SmtRes!DG111</f>
        <v>0.04</v>
      </c>
    </row>
    <row r="371" spans="1:83" x14ac:dyDescent="0.2">
      <c r="A371" s="53"/>
      <c r="B371" s="53" t="s">
        <v>400</v>
      </c>
      <c r="C371" s="53" t="s">
        <v>683</v>
      </c>
      <c r="D371" s="67" t="s">
        <v>359</v>
      </c>
      <c r="E371" s="68">
        <f>SmtRes!DO111*SmtRes!AT111</f>
        <v>0.12</v>
      </c>
      <c r="F371" s="68"/>
      <c r="G371" s="68">
        <f>ROUND(E371*G361, 7)</f>
        <v>6.2399999999999999E-5</v>
      </c>
      <c r="H371" s="69"/>
      <c r="I371" s="67"/>
      <c r="J371" s="69">
        <f>ROUND(SmtRes!AG111/SmtRes!DO111, 2)</f>
        <v>400.24</v>
      </c>
      <c r="K371" s="67"/>
      <c r="L371" s="69">
        <f>SmtRes!DH111</f>
        <v>0.02</v>
      </c>
      <c r="CE371">
        <v>1</v>
      </c>
    </row>
    <row r="372" spans="1:83" x14ac:dyDescent="0.2">
      <c r="A372" s="70"/>
      <c r="B372" s="68">
        <v>4</v>
      </c>
      <c r="C372" s="70" t="s">
        <v>681</v>
      </c>
      <c r="D372" s="67"/>
      <c r="E372" s="71"/>
      <c r="F372" s="68"/>
      <c r="G372" s="68"/>
      <c r="H372" s="68"/>
      <c r="I372" s="68"/>
      <c r="J372" s="68"/>
      <c r="K372" s="68"/>
      <c r="L372" s="72">
        <f>SUM(L373:L374)-SUMIF(CE373:CE374, 1, L373:L374)</f>
        <v>1.85</v>
      </c>
    </row>
    <row r="373" spans="1:83" x14ac:dyDescent="0.2">
      <c r="A373" s="53"/>
      <c r="B373" s="53" t="s">
        <v>529</v>
      </c>
      <c r="C373" s="53" t="s">
        <v>531</v>
      </c>
      <c r="D373" s="67" t="s">
        <v>48</v>
      </c>
      <c r="E373" s="68">
        <v>1.75</v>
      </c>
      <c r="F373" s="68"/>
      <c r="G373" s="68">
        <f>SmtRes!CX112</f>
        <v>9.1E-4</v>
      </c>
      <c r="H373" s="69">
        <f>SmtRes!CZ112</f>
        <v>35.71</v>
      </c>
      <c r="I373" s="67">
        <f>SmtRes!AI112</f>
        <v>0.88</v>
      </c>
      <c r="J373" s="69">
        <f>ROUND(H373*I373, 2)</f>
        <v>31.42</v>
      </c>
      <c r="K373" s="67"/>
      <c r="L373" s="69">
        <f>SmtRes!DF112</f>
        <v>0.03</v>
      </c>
    </row>
    <row r="374" spans="1:83" x14ac:dyDescent="0.2">
      <c r="A374" s="53"/>
      <c r="B374" s="53" t="s">
        <v>532</v>
      </c>
      <c r="C374" s="53" t="s">
        <v>534</v>
      </c>
      <c r="D374" s="67" t="s">
        <v>535</v>
      </c>
      <c r="E374" s="68">
        <v>250</v>
      </c>
      <c r="F374" s="68"/>
      <c r="G374" s="68">
        <f>SmtRes!CX113</f>
        <v>0.13</v>
      </c>
      <c r="H374" s="69">
        <f>SmtRes!CZ113</f>
        <v>12.83</v>
      </c>
      <c r="I374" s="67">
        <f>SmtRes!AI113</f>
        <v>1.0900000000000001</v>
      </c>
      <c r="J374" s="69">
        <f>ROUND(H374*I374, 2)</f>
        <v>13.98</v>
      </c>
      <c r="K374" s="67"/>
      <c r="L374" s="69">
        <f>SmtRes!DF113</f>
        <v>1.82</v>
      </c>
    </row>
    <row r="375" spans="1:83" x14ac:dyDescent="0.2">
      <c r="A375" s="53"/>
      <c r="B375" s="53" t="str">
        <f>EtalonRes!I125</f>
        <v>04.1.02.05</v>
      </c>
      <c r="C375" s="73" t="str">
        <f>EtalonRes!K125</f>
        <v>Смеси бетонные тяжелого бетона</v>
      </c>
      <c r="D375" s="74" t="str">
        <f>EtalonRes!O125</f>
        <v>м3</v>
      </c>
      <c r="E375" s="75">
        <f>EtalonRes!X125</f>
        <v>102</v>
      </c>
      <c r="F375" s="75"/>
      <c r="G375" s="75">
        <f>ROUND(EtalonRes!AG125*Source!I94, 7)</f>
        <v>5.3039999999999997E-2</v>
      </c>
      <c r="H375" s="76"/>
      <c r="I375" s="74"/>
      <c r="J375" s="76"/>
      <c r="K375" s="74"/>
      <c r="L375" s="76"/>
    </row>
    <row r="376" spans="1:83" x14ac:dyDescent="0.2">
      <c r="A376" s="53"/>
      <c r="B376" s="53"/>
      <c r="C376" s="52" t="s">
        <v>269</v>
      </c>
      <c r="D376" s="67"/>
      <c r="E376" s="68"/>
      <c r="F376" s="68"/>
      <c r="G376" s="68"/>
      <c r="H376" s="69"/>
      <c r="I376" s="67"/>
      <c r="J376" s="69"/>
      <c r="K376" s="67"/>
      <c r="L376" s="69">
        <f>L363+L365+L366+L372</f>
        <v>39.17</v>
      </c>
    </row>
    <row r="377" spans="1:83" ht="25.5" x14ac:dyDescent="0.2">
      <c r="A377" s="66" t="s">
        <v>703</v>
      </c>
      <c r="B377" s="53" t="str">
        <f>Source!F95</f>
        <v>04.1.02.05-0110</v>
      </c>
      <c r="C377" s="53" t="str">
        <f>Source!G95</f>
        <v>Смеси бетонные тяжелого бетона (БСТ) на щебне из гравия, класс В7,5, F(1)50, W2</v>
      </c>
      <c r="D377" s="67" t="str">
        <f>Source!H95</f>
        <v>м3</v>
      </c>
      <c r="E377" s="68">
        <f>SmtRes!AT114</f>
        <v>102</v>
      </c>
      <c r="F377" s="68"/>
      <c r="G377" s="68">
        <f>Source!I95</f>
        <v>5.3039999999999997E-2</v>
      </c>
      <c r="H377" s="69">
        <f>Source!AL95+Source!AO95+Source!AM95+Source!AN95</f>
        <v>4044.61</v>
      </c>
      <c r="I377" s="67">
        <f>IF(Source!BC95&lt;&gt; 0, Source!BC95, 1)</f>
        <v>1.45</v>
      </c>
      <c r="J377" s="69">
        <f>ROUND(H377*I377, 2)</f>
        <v>5864.68</v>
      </c>
      <c r="K377" s="67"/>
      <c r="L377" s="69">
        <f>Source!P95</f>
        <v>311.06</v>
      </c>
      <c r="AD377">
        <f>ROUND((Source!AT95/100)*((ROUND(ROUND(Source!AO95,2)*Source!I95, 2)+ROUND(ROUND(Source!AN95,2)*Source!I95, 2))), 2)</f>
        <v>0</v>
      </c>
      <c r="AE377">
        <f>ROUND((Source!AU95/100)*((ROUND(ROUND(Source!AO95,2)*Source!I95, 2)+ROUND(ROUND(Source!AN95,2)*Source!I95, 2))), 2)</f>
        <v>0</v>
      </c>
      <c r="AN377">
        <f>L377</f>
        <v>311.06</v>
      </c>
      <c r="AW377">
        <f>L377</f>
        <v>311.06</v>
      </c>
      <c r="AZ377">
        <f>Source!X95</f>
        <v>0</v>
      </c>
      <c r="BA377">
        <f>Source!Y95</f>
        <v>0</v>
      </c>
      <c r="CD377">
        <v>1</v>
      </c>
    </row>
    <row r="378" spans="1:83" x14ac:dyDescent="0.2">
      <c r="A378" s="53"/>
      <c r="B378" s="53"/>
      <c r="C378" s="53" t="s">
        <v>637</v>
      </c>
      <c r="D378" s="67"/>
      <c r="E378" s="68"/>
      <c r="F378" s="68"/>
      <c r="G378" s="68"/>
      <c r="H378" s="69"/>
      <c r="I378" s="67"/>
      <c r="J378" s="69"/>
      <c r="K378" s="67"/>
      <c r="L378" s="69">
        <f>SUM(AR361:AR381)+SUM(AS361:AS381)+SUM(AT361:AT381)+SUM(AU361:AU381)+SUM(AV361:AV381)</f>
        <v>27.91</v>
      </c>
    </row>
    <row r="379" spans="1:83" ht="38.25" x14ac:dyDescent="0.2">
      <c r="A379" s="53"/>
      <c r="B379" s="53" t="s">
        <v>239</v>
      </c>
      <c r="C379" s="53" t="s">
        <v>704</v>
      </c>
      <c r="D379" s="67" t="s">
        <v>199</v>
      </c>
      <c r="E379" s="68">
        <f>Source!BZ94</f>
        <v>102</v>
      </c>
      <c r="F379" s="68"/>
      <c r="G379" s="68">
        <f>Source!AT94</f>
        <v>102</v>
      </c>
      <c r="H379" s="69"/>
      <c r="I379" s="67"/>
      <c r="J379" s="69"/>
      <c r="K379" s="67"/>
      <c r="L379" s="69">
        <f>SUM(AZ361:AZ381)</f>
        <v>28.47</v>
      </c>
    </row>
    <row r="380" spans="1:83" ht="38.25" x14ac:dyDescent="0.2">
      <c r="A380" s="73"/>
      <c r="B380" s="73" t="s">
        <v>240</v>
      </c>
      <c r="C380" s="73" t="s">
        <v>705</v>
      </c>
      <c r="D380" s="74" t="s">
        <v>199</v>
      </c>
      <c r="E380" s="75">
        <f>Source!CA94</f>
        <v>58</v>
      </c>
      <c r="F380" s="75"/>
      <c r="G380" s="75">
        <f>Source!AU94</f>
        <v>58</v>
      </c>
      <c r="H380" s="76"/>
      <c r="I380" s="74"/>
      <c r="J380" s="76"/>
      <c r="K380" s="74"/>
      <c r="L380" s="76">
        <f>SUM(BA361:BA381)</f>
        <v>16.190000000000001</v>
      </c>
    </row>
    <row r="381" spans="1:83" x14ac:dyDescent="0.2">
      <c r="A381" s="18"/>
      <c r="B381" s="18"/>
      <c r="C381" s="77" t="s">
        <v>640</v>
      </c>
      <c r="D381" s="77"/>
      <c r="E381" s="77"/>
      <c r="F381" s="77"/>
      <c r="G381" s="77"/>
      <c r="H381" s="77"/>
      <c r="I381" s="78">
        <f>IF(E361&lt;&gt;0,K381/E361, 0)</f>
        <v>759403.84615384624</v>
      </c>
      <c r="J381" s="78"/>
      <c r="K381" s="78">
        <f>L363+L365+L372+L379+L380+L366+SUM(L377:L377)</f>
        <v>394.89</v>
      </c>
      <c r="L381" s="78"/>
      <c r="AD381">
        <f>ROUND((Source!AT94/100)*((ROUND(SUMIF(SmtRes!AQ107:'SmtRes'!AQ114,"=1",SmtRes!AD107:'SmtRes'!AD114)*Source!I94, 2)+ROUND(SUMIF(SmtRes!AQ107:'SmtRes'!AQ114,"=1",SmtRes!AC107:'SmtRes'!AC114)*Source!I94, 2))), 2)</f>
        <v>0.67</v>
      </c>
      <c r="AE381">
        <f>ROUND((Source!AU94/100)*((ROUND(SUMIF(SmtRes!AQ107:'SmtRes'!AQ114,"=1",SmtRes!AD107:'SmtRes'!AD114)*Source!I94, 2)+ROUND(SUMIF(SmtRes!AQ107:'SmtRes'!AQ114,"=1",SmtRes!AC107:'SmtRes'!AC114)*Source!I94, 2))), 2)</f>
        <v>0.38</v>
      </c>
      <c r="AN381" s="17">
        <f>L363+L365+L372+L379+L380+L366</f>
        <v>83.83</v>
      </c>
      <c r="AO381" s="17">
        <f>L365</f>
        <v>9.4100000000000019</v>
      </c>
      <c r="AQ381" t="s">
        <v>641</v>
      </c>
      <c r="AR381" s="17">
        <f>L363</f>
        <v>22.86</v>
      </c>
      <c r="AT381" s="17">
        <f>L366</f>
        <v>5.05</v>
      </c>
      <c r="AV381" t="s">
        <v>641</v>
      </c>
      <c r="AW381" s="17">
        <f>L372</f>
        <v>1.85</v>
      </c>
      <c r="AZ381">
        <f>Source!X94</f>
        <v>28.47</v>
      </c>
      <c r="BA381">
        <f>Source!Y94</f>
        <v>16.190000000000001</v>
      </c>
      <c r="CD381">
        <v>1</v>
      </c>
    </row>
    <row r="382" spans="1:83" ht="25.5" x14ac:dyDescent="0.2">
      <c r="A382" s="66" t="s">
        <v>245</v>
      </c>
      <c r="B382" s="53" t="s">
        <v>706</v>
      </c>
      <c r="C382" s="53" t="str">
        <f>Source!G96</f>
        <v>Установка анкерных болтов: в готовые гнезда с заделкой длиной до 1 м</v>
      </c>
      <c r="D382" s="67" t="str">
        <f>Source!H96</f>
        <v>т</v>
      </c>
      <c r="E382" s="68">
        <f>Source!K96</f>
        <v>1E-3</v>
      </c>
      <c r="F382" s="68"/>
      <c r="G382" s="68">
        <f>Source!I96</f>
        <v>1E-3</v>
      </c>
      <c r="H382" s="69"/>
      <c r="I382" s="67"/>
      <c r="J382" s="69"/>
      <c r="K382" s="67"/>
      <c r="L382" s="69"/>
    </row>
    <row r="383" spans="1:83" x14ac:dyDescent="0.2">
      <c r="A383" s="70"/>
      <c r="B383" s="68">
        <v>1</v>
      </c>
      <c r="C383" s="70" t="s">
        <v>643</v>
      </c>
      <c r="D383" s="67" t="s">
        <v>359</v>
      </c>
      <c r="E383" s="71"/>
      <c r="F383" s="68"/>
      <c r="G383" s="68">
        <f>Source!U96</f>
        <v>0.28899999999999998</v>
      </c>
      <c r="H383" s="68"/>
      <c r="I383" s="68"/>
      <c r="J383" s="68"/>
      <c r="K383" s="68"/>
      <c r="L383" s="72">
        <f>SUM(L384:L384)-SUMIF(CE384:CE384, 1, L384:L384)</f>
        <v>106.61</v>
      </c>
    </row>
    <row r="384" spans="1:83" x14ac:dyDescent="0.2">
      <c r="A384" s="53"/>
      <c r="B384" s="53" t="s">
        <v>536</v>
      </c>
      <c r="C384" s="53" t="s">
        <v>537</v>
      </c>
      <c r="D384" s="67" t="s">
        <v>359</v>
      </c>
      <c r="E384" s="68">
        <v>289</v>
      </c>
      <c r="F384" s="68"/>
      <c r="G384" s="68">
        <f>SmtRes!CX115</f>
        <v>0.28899999999999998</v>
      </c>
      <c r="H384" s="69"/>
      <c r="I384" s="67"/>
      <c r="J384" s="69">
        <f>SmtRes!CZ115</f>
        <v>368.88</v>
      </c>
      <c r="K384" s="67"/>
      <c r="L384" s="69">
        <f>SmtRes!DI115</f>
        <v>106.61</v>
      </c>
    </row>
    <row r="385" spans="1:83" x14ac:dyDescent="0.2">
      <c r="A385" s="70"/>
      <c r="B385" s="68">
        <v>2</v>
      </c>
      <c r="C385" s="70" t="s">
        <v>634</v>
      </c>
      <c r="D385" s="67"/>
      <c r="E385" s="71"/>
      <c r="F385" s="68"/>
      <c r="G385" s="68"/>
      <c r="H385" s="68"/>
      <c r="I385" s="68"/>
      <c r="J385" s="68"/>
      <c r="K385" s="68"/>
      <c r="L385" s="72">
        <f>SUM(L386:L390)-SUMIF(CE386:CE390, 1, L386:L390)</f>
        <v>0.68000000000000016</v>
      </c>
    </row>
    <row r="386" spans="1:83" x14ac:dyDescent="0.2">
      <c r="A386" s="70"/>
      <c r="B386" s="68"/>
      <c r="C386" s="70" t="s">
        <v>636</v>
      </c>
      <c r="D386" s="67" t="s">
        <v>359</v>
      </c>
      <c r="E386" s="71"/>
      <c r="F386" s="68"/>
      <c r="G386" s="68">
        <f>Source!V96</f>
        <v>5.9000000000000003E-4</v>
      </c>
      <c r="H386" s="68"/>
      <c r="I386" s="68"/>
      <c r="J386" s="68"/>
      <c r="K386" s="68"/>
      <c r="L386" s="72">
        <f>SUMIF(CE387:CE390, 1, L387:L390)</f>
        <v>0.27</v>
      </c>
      <c r="CE386">
        <v>1</v>
      </c>
    </row>
    <row r="387" spans="1:83" ht="25.5" x14ac:dyDescent="0.2">
      <c r="A387" s="53"/>
      <c r="B387" s="53" t="s">
        <v>435</v>
      </c>
      <c r="C387" s="53" t="s">
        <v>437</v>
      </c>
      <c r="D387" s="67" t="s">
        <v>363</v>
      </c>
      <c r="E387" s="68">
        <v>0.25</v>
      </c>
      <c r="F387" s="68"/>
      <c r="G387" s="68">
        <f>SmtRes!CX117</f>
        <v>2.5000000000000001E-4</v>
      </c>
      <c r="H387" s="69"/>
      <c r="I387" s="67"/>
      <c r="J387" s="69">
        <f>SmtRes!CZ117</f>
        <v>1836.16</v>
      </c>
      <c r="K387" s="67"/>
      <c r="L387" s="69">
        <f>SmtRes!DG117</f>
        <v>0.46</v>
      </c>
    </row>
    <row r="388" spans="1:83" x14ac:dyDescent="0.2">
      <c r="A388" s="53"/>
      <c r="B388" s="53" t="s">
        <v>364</v>
      </c>
      <c r="C388" s="53" t="s">
        <v>635</v>
      </c>
      <c r="D388" s="67" t="s">
        <v>359</v>
      </c>
      <c r="E388" s="68">
        <f>SmtRes!DO117*SmtRes!AT117</f>
        <v>0.25</v>
      </c>
      <c r="F388" s="68"/>
      <c r="G388" s="68">
        <f>ROUND(E388*G382, 7)</f>
        <v>2.5000000000000001E-4</v>
      </c>
      <c r="H388" s="69"/>
      <c r="I388" s="67"/>
      <c r="J388" s="69">
        <f>ROUND(SmtRes!AG117/SmtRes!DO117, 2)</f>
        <v>537.64</v>
      </c>
      <c r="K388" s="67"/>
      <c r="L388" s="69">
        <f>SmtRes!DH117</f>
        <v>0.13</v>
      </c>
      <c r="CE388">
        <v>1</v>
      </c>
    </row>
    <row r="389" spans="1:83" ht="25.5" x14ac:dyDescent="0.2">
      <c r="A389" s="53"/>
      <c r="B389" s="53" t="s">
        <v>441</v>
      </c>
      <c r="C389" s="53" t="s">
        <v>443</v>
      </c>
      <c r="D389" s="67" t="s">
        <v>363</v>
      </c>
      <c r="E389" s="68">
        <v>0.34</v>
      </c>
      <c r="F389" s="68"/>
      <c r="G389" s="68">
        <f>SmtRes!CX118</f>
        <v>3.4000000000000002E-4</v>
      </c>
      <c r="H389" s="69"/>
      <c r="I389" s="67"/>
      <c r="J389" s="69">
        <f>SmtRes!CZ118</f>
        <v>655.95</v>
      </c>
      <c r="K389" s="67"/>
      <c r="L389" s="69">
        <f>SmtRes!DG118</f>
        <v>0.22</v>
      </c>
    </row>
    <row r="390" spans="1:83" x14ac:dyDescent="0.2">
      <c r="A390" s="53"/>
      <c r="B390" s="53" t="s">
        <v>400</v>
      </c>
      <c r="C390" s="53" t="s">
        <v>683</v>
      </c>
      <c r="D390" s="67" t="s">
        <v>359</v>
      </c>
      <c r="E390" s="68">
        <f>SmtRes!DO118*SmtRes!AT118</f>
        <v>0.34</v>
      </c>
      <c r="F390" s="68"/>
      <c r="G390" s="68">
        <f>ROUND(E390*G382, 7)</f>
        <v>3.4000000000000002E-4</v>
      </c>
      <c r="H390" s="69"/>
      <c r="I390" s="67"/>
      <c r="J390" s="69">
        <f>ROUND(SmtRes!AG118/SmtRes!DO118, 2)</f>
        <v>400.24</v>
      </c>
      <c r="K390" s="67"/>
      <c r="L390" s="69">
        <f>SmtRes!DH118</f>
        <v>0.14000000000000001</v>
      </c>
      <c r="CE390">
        <v>1</v>
      </c>
    </row>
    <row r="391" spans="1:83" x14ac:dyDescent="0.2">
      <c r="A391" s="70"/>
      <c r="B391" s="68">
        <v>4</v>
      </c>
      <c r="C391" s="70" t="s">
        <v>681</v>
      </c>
      <c r="D391" s="67"/>
      <c r="E391" s="71"/>
      <c r="F391" s="68"/>
      <c r="G391" s="68"/>
      <c r="H391" s="68"/>
      <c r="I391" s="68"/>
      <c r="J391" s="68"/>
      <c r="K391" s="68"/>
      <c r="L391" s="72">
        <f>SUM(L392:L392)-SUMIF(CE392:CE392, 1, L392:L392)</f>
        <v>0.82</v>
      </c>
    </row>
    <row r="392" spans="1:83" x14ac:dyDescent="0.2">
      <c r="A392" s="53"/>
      <c r="B392" s="53" t="s">
        <v>538</v>
      </c>
      <c r="C392" s="53" t="s">
        <v>540</v>
      </c>
      <c r="D392" s="67" t="s">
        <v>130</v>
      </c>
      <c r="E392" s="68">
        <v>0.01</v>
      </c>
      <c r="F392" s="68"/>
      <c r="G392" s="68">
        <f>SmtRes!CX119</f>
        <v>1.0000000000000001E-5</v>
      </c>
      <c r="H392" s="69">
        <f>SmtRes!CZ119</f>
        <v>61015.76</v>
      </c>
      <c r="I392" s="67">
        <f>SmtRes!AI119</f>
        <v>1.35</v>
      </c>
      <c r="J392" s="69">
        <f>ROUND(H392*I392, 2)</f>
        <v>82371.28</v>
      </c>
      <c r="K392" s="67"/>
      <c r="L392" s="69">
        <f>SmtRes!DF119</f>
        <v>0.82</v>
      </c>
    </row>
    <row r="393" spans="1:83" x14ac:dyDescent="0.2">
      <c r="A393" s="53"/>
      <c r="B393" s="53" t="str">
        <f>EtalonRes!I131</f>
        <v>08.4.01.01</v>
      </c>
      <c r="C393" s="73" t="str">
        <f>EtalonRes!K131</f>
        <v>Анкеры стальные фундаментные</v>
      </c>
      <c r="D393" s="74" t="str">
        <f>EtalonRes!O131</f>
        <v>т</v>
      </c>
      <c r="E393" s="75">
        <f>EtalonRes!X131</f>
        <v>1</v>
      </c>
      <c r="F393" s="75"/>
      <c r="G393" s="75">
        <f>ROUND(EtalonRes!AG131*Source!I96, 7)</f>
        <v>1E-3</v>
      </c>
      <c r="H393" s="76"/>
      <c r="I393" s="74"/>
      <c r="J393" s="76"/>
      <c r="K393" s="74"/>
      <c r="L393" s="76"/>
    </row>
    <row r="394" spans="1:83" x14ac:dyDescent="0.2">
      <c r="A394" s="53"/>
      <c r="B394" s="53"/>
      <c r="C394" s="52" t="s">
        <v>269</v>
      </c>
      <c r="D394" s="67"/>
      <c r="E394" s="68"/>
      <c r="F394" s="68"/>
      <c r="G394" s="68"/>
      <c r="H394" s="69"/>
      <c r="I394" s="67"/>
      <c r="J394" s="69"/>
      <c r="K394" s="67"/>
      <c r="L394" s="69">
        <f>L383+L385+L386+L391</f>
        <v>108.38</v>
      </c>
    </row>
    <row r="395" spans="1:83" ht="38.25" x14ac:dyDescent="0.2">
      <c r="A395" s="66" t="s">
        <v>707</v>
      </c>
      <c r="B395" s="53" t="str">
        <f>Source!F97</f>
        <v>08.4.01.01-0025</v>
      </c>
      <c r="C395" s="53" t="str">
        <f>Source!G97</f>
        <v>Болты анкерные фундаментные стальные в комплекте с двумя гайками М12 и шайбами М12, тип 1, диаметр М12</v>
      </c>
      <c r="D395" s="67" t="str">
        <f>Source!H97</f>
        <v>т</v>
      </c>
      <c r="E395" s="68">
        <f>SmtRes!AT120</f>
        <v>1</v>
      </c>
      <c r="F395" s="68"/>
      <c r="G395" s="68">
        <f>Source!I97</f>
        <v>1E-3</v>
      </c>
      <c r="H395" s="69">
        <f>Source!AL97+Source!AO97+Source!AM97+Source!AN97</f>
        <v>191710.91</v>
      </c>
      <c r="I395" s="67">
        <f>IF(Source!BC97&lt;&gt; 0, Source!BC97, 1)</f>
        <v>1.1200000000000001</v>
      </c>
      <c r="J395" s="69">
        <f>ROUND(H395*I395, 2)</f>
        <v>214716.22</v>
      </c>
      <c r="K395" s="67"/>
      <c r="L395" s="69">
        <f>Source!P97</f>
        <v>214.72</v>
      </c>
      <c r="AD395">
        <f>ROUND((Source!AT97/100)*((ROUND(ROUND(Source!AO97,2)*Source!I97, 2)+ROUND(ROUND(Source!AN97,2)*Source!I97, 2))), 2)</f>
        <v>0</v>
      </c>
      <c r="AE395">
        <f>ROUND((Source!AU97/100)*((ROUND(ROUND(Source!AO97,2)*Source!I97, 2)+ROUND(ROUND(Source!AN97,2)*Source!I97, 2))), 2)</f>
        <v>0</v>
      </c>
      <c r="AN395">
        <f>L395</f>
        <v>214.72</v>
      </c>
      <c r="AW395">
        <f>L395</f>
        <v>214.72</v>
      </c>
      <c r="AZ395">
        <f>Source!X97</f>
        <v>0</v>
      </c>
      <c r="BA395">
        <f>Source!Y97</f>
        <v>0</v>
      </c>
      <c r="CD395">
        <v>1</v>
      </c>
    </row>
    <row r="396" spans="1:83" x14ac:dyDescent="0.2">
      <c r="A396" s="53"/>
      <c r="B396" s="53"/>
      <c r="C396" s="53" t="s">
        <v>637</v>
      </c>
      <c r="D396" s="67"/>
      <c r="E396" s="68"/>
      <c r="F396" s="68"/>
      <c r="G396" s="68"/>
      <c r="H396" s="69"/>
      <c r="I396" s="67"/>
      <c r="J396" s="69"/>
      <c r="K396" s="67"/>
      <c r="L396" s="69">
        <f>SUM(AR382:AR399)+SUM(AS382:AS399)+SUM(AT382:AT399)+SUM(AU382:AU399)+SUM(AV382:AV399)</f>
        <v>106.88</v>
      </c>
    </row>
    <row r="397" spans="1:83" ht="38.25" x14ac:dyDescent="0.2">
      <c r="A397" s="53"/>
      <c r="B397" s="53" t="s">
        <v>239</v>
      </c>
      <c r="C397" s="53" t="s">
        <v>704</v>
      </c>
      <c r="D397" s="67" t="s">
        <v>199</v>
      </c>
      <c r="E397" s="68">
        <f>Source!BZ96</f>
        <v>102</v>
      </c>
      <c r="F397" s="68"/>
      <c r="G397" s="68">
        <f>Source!AT96</f>
        <v>102</v>
      </c>
      <c r="H397" s="69"/>
      <c r="I397" s="67"/>
      <c r="J397" s="69"/>
      <c r="K397" s="67"/>
      <c r="L397" s="69">
        <f>SUM(AZ382:AZ399)</f>
        <v>109.02</v>
      </c>
    </row>
    <row r="398" spans="1:83" ht="38.25" x14ac:dyDescent="0.2">
      <c r="A398" s="73"/>
      <c r="B398" s="73" t="s">
        <v>240</v>
      </c>
      <c r="C398" s="73" t="s">
        <v>705</v>
      </c>
      <c r="D398" s="74" t="s">
        <v>199</v>
      </c>
      <c r="E398" s="75">
        <f>Source!CA96</f>
        <v>58</v>
      </c>
      <c r="F398" s="75"/>
      <c r="G398" s="75">
        <f>Source!AU96</f>
        <v>58</v>
      </c>
      <c r="H398" s="76"/>
      <c r="I398" s="74"/>
      <c r="J398" s="76"/>
      <c r="K398" s="74"/>
      <c r="L398" s="76">
        <f>SUM(BA382:BA399)</f>
        <v>61.99</v>
      </c>
    </row>
    <row r="399" spans="1:83" x14ac:dyDescent="0.2">
      <c r="A399" s="18"/>
      <c r="B399" s="18"/>
      <c r="C399" s="77" t="s">
        <v>640</v>
      </c>
      <c r="D399" s="77"/>
      <c r="E399" s="77"/>
      <c r="F399" s="77"/>
      <c r="G399" s="77"/>
      <c r="H399" s="77"/>
      <c r="I399" s="78">
        <f>IF(E382&lt;&gt;0,K399/E382, 0)</f>
        <v>494110</v>
      </c>
      <c r="J399" s="78"/>
      <c r="K399" s="78">
        <f>L383+L385+L391+L397+L398+L386+SUM(L395:L395)</f>
        <v>494.11</v>
      </c>
      <c r="L399" s="78"/>
      <c r="AD399">
        <f>ROUND((Source!AT96/100)*((ROUND(SUMIF(SmtRes!AQ115:'SmtRes'!AQ120,"=1",SmtRes!AD115:'SmtRes'!AD120)*Source!I96, 2)+ROUND(SUMIF(SmtRes!AQ115:'SmtRes'!AQ120,"=1",SmtRes!AC115:'SmtRes'!AC120)*Source!I96, 2))), 2)</f>
        <v>1.34</v>
      </c>
      <c r="AE399">
        <f>ROUND((Source!AU96/100)*((ROUND(SUMIF(SmtRes!AQ115:'SmtRes'!AQ120,"=1",SmtRes!AD115:'SmtRes'!AD120)*Source!I96, 2)+ROUND(SUMIF(SmtRes!AQ115:'SmtRes'!AQ120,"=1",SmtRes!AC115:'SmtRes'!AC120)*Source!I96, 2))), 2)</f>
        <v>0.76</v>
      </c>
      <c r="AN399" s="17">
        <f>L383+L385+L391+L397+L398+L386</f>
        <v>279.39</v>
      </c>
      <c r="AO399" s="17">
        <f>L385</f>
        <v>0.68000000000000016</v>
      </c>
      <c r="AQ399" t="s">
        <v>641</v>
      </c>
      <c r="AR399" s="17">
        <f>L383</f>
        <v>106.61</v>
      </c>
      <c r="AT399" s="17">
        <f>L386</f>
        <v>0.27</v>
      </c>
      <c r="AV399" t="s">
        <v>641</v>
      </c>
      <c r="AW399" s="17">
        <f>L391</f>
        <v>0.82</v>
      </c>
      <c r="AZ399">
        <f>Source!X96</f>
        <v>109.02</v>
      </c>
      <c r="BA399">
        <f>Source!Y96</f>
        <v>61.99</v>
      </c>
      <c r="CD399">
        <v>1</v>
      </c>
    </row>
    <row r="400" spans="1:83" ht="38.25" x14ac:dyDescent="0.2">
      <c r="A400" s="66" t="s">
        <v>254</v>
      </c>
      <c r="B400" s="53" t="s">
        <v>708</v>
      </c>
      <c r="C400" s="53" t="str">
        <f>Source!G98</f>
        <v>Очистка полости трубопровода продувкой воздухом, номинальный диаметр газопровода: 50 мм</v>
      </c>
      <c r="D400" s="67" t="str">
        <f>Source!H98</f>
        <v>100 м</v>
      </c>
      <c r="E400" s="68">
        <f>Source!K98</f>
        <v>0.17</v>
      </c>
      <c r="F400" s="68"/>
      <c r="G400" s="68">
        <f>Source!I98</f>
        <v>0.17</v>
      </c>
      <c r="H400" s="69"/>
      <c r="I400" s="67"/>
      <c r="J400" s="69"/>
      <c r="K400" s="67"/>
      <c r="L400" s="69"/>
    </row>
    <row r="401" spans="1:83" x14ac:dyDescent="0.2">
      <c r="A401" s="18"/>
      <c r="B401" s="18"/>
      <c r="C401" s="51" t="str">
        <f>"Объем: "&amp;Source!I98&amp;"=17/"&amp;"100"</f>
        <v>Объем: 0,17=17/100</v>
      </c>
      <c r="D401" s="18"/>
      <c r="E401" s="18"/>
      <c r="F401" s="18"/>
      <c r="G401" s="18"/>
      <c r="H401" s="18"/>
      <c r="I401" s="18"/>
      <c r="J401" s="18"/>
      <c r="K401" s="18"/>
      <c r="L401" s="18"/>
    </row>
    <row r="402" spans="1:83" x14ac:dyDescent="0.2">
      <c r="A402" s="70"/>
      <c r="B402" s="68">
        <v>1</v>
      </c>
      <c r="C402" s="70" t="s">
        <v>643</v>
      </c>
      <c r="D402" s="67" t="s">
        <v>359</v>
      </c>
      <c r="E402" s="71"/>
      <c r="F402" s="68"/>
      <c r="G402" s="68">
        <f>Source!U98</f>
        <v>6.9699999999999998E-2</v>
      </c>
      <c r="H402" s="68"/>
      <c r="I402" s="68"/>
      <c r="J402" s="68"/>
      <c r="K402" s="68"/>
      <c r="L402" s="72">
        <f>SUM(L403:L403)-SUMIF(CE403:CE403, 1, L403:L403)</f>
        <v>27.9</v>
      </c>
    </row>
    <row r="403" spans="1:83" x14ac:dyDescent="0.2">
      <c r="A403" s="53"/>
      <c r="B403" s="53" t="s">
        <v>541</v>
      </c>
      <c r="C403" s="53" t="s">
        <v>542</v>
      </c>
      <c r="D403" s="67" t="s">
        <v>359</v>
      </c>
      <c r="E403" s="68">
        <v>0.41</v>
      </c>
      <c r="F403" s="68"/>
      <c r="G403" s="68">
        <f>SmtRes!CX121</f>
        <v>6.9699999999999998E-2</v>
      </c>
      <c r="H403" s="69"/>
      <c r="I403" s="67"/>
      <c r="J403" s="69">
        <f>SmtRes!CZ121</f>
        <v>400.24</v>
      </c>
      <c r="K403" s="67"/>
      <c r="L403" s="69">
        <f>SmtRes!DI121</f>
        <v>27.9</v>
      </c>
    </row>
    <row r="404" spans="1:83" x14ac:dyDescent="0.2">
      <c r="A404" s="70"/>
      <c r="B404" s="68">
        <v>2</v>
      </c>
      <c r="C404" s="70" t="s">
        <v>634</v>
      </c>
      <c r="D404" s="67"/>
      <c r="E404" s="71"/>
      <c r="F404" s="68"/>
      <c r="G404" s="68"/>
      <c r="H404" s="68"/>
      <c r="I404" s="68"/>
      <c r="J404" s="68"/>
      <c r="K404" s="68"/>
      <c r="L404" s="72">
        <f>SUM(L405:L407)-SUMIF(CE405:CE407, 1, L405:L407)</f>
        <v>14.18</v>
      </c>
    </row>
    <row r="405" spans="1:83" x14ac:dyDescent="0.2">
      <c r="A405" s="70"/>
      <c r="B405" s="68"/>
      <c r="C405" s="70" t="s">
        <v>636</v>
      </c>
      <c r="D405" s="67" t="s">
        <v>359</v>
      </c>
      <c r="E405" s="71"/>
      <c r="F405" s="68"/>
      <c r="G405" s="68">
        <f>Source!V98</f>
        <v>3.4000000000000002E-2</v>
      </c>
      <c r="H405" s="68"/>
      <c r="I405" s="68"/>
      <c r="J405" s="68"/>
      <c r="K405" s="68"/>
      <c r="L405" s="72">
        <f>SUMIF(CE406:CE407, 1, L406:L407)</f>
        <v>13.61</v>
      </c>
      <c r="CE405">
        <v>1</v>
      </c>
    </row>
    <row r="406" spans="1:83" ht="51" x14ac:dyDescent="0.2">
      <c r="A406" s="53"/>
      <c r="B406" s="53" t="s">
        <v>397</v>
      </c>
      <c r="C406" s="53" t="s">
        <v>399</v>
      </c>
      <c r="D406" s="67" t="s">
        <v>363</v>
      </c>
      <c r="E406" s="68">
        <v>0.2</v>
      </c>
      <c r="F406" s="68"/>
      <c r="G406" s="68">
        <f>SmtRes!CX123</f>
        <v>3.4000000000000002E-2</v>
      </c>
      <c r="H406" s="69"/>
      <c r="I406" s="67"/>
      <c r="J406" s="69">
        <f>SmtRes!CZ123</f>
        <v>417.12</v>
      </c>
      <c r="K406" s="67"/>
      <c r="L406" s="69">
        <f>SmtRes!DG123</f>
        <v>14.18</v>
      </c>
    </row>
    <row r="407" spans="1:83" x14ac:dyDescent="0.2">
      <c r="A407" s="53"/>
      <c r="B407" s="53" t="s">
        <v>400</v>
      </c>
      <c r="C407" s="73" t="s">
        <v>683</v>
      </c>
      <c r="D407" s="74" t="s">
        <v>359</v>
      </c>
      <c r="E407" s="75">
        <f>SmtRes!DO123*SmtRes!AT123</f>
        <v>0.2</v>
      </c>
      <c r="F407" s="75"/>
      <c r="G407" s="75">
        <f>ROUND(E407*G400, 7)</f>
        <v>3.4000000000000002E-2</v>
      </c>
      <c r="H407" s="76"/>
      <c r="I407" s="74"/>
      <c r="J407" s="76">
        <f>ROUND(SmtRes!AG123/SmtRes!DO123, 2)</f>
        <v>400.24</v>
      </c>
      <c r="K407" s="74"/>
      <c r="L407" s="76">
        <f>SmtRes!DH123</f>
        <v>13.61</v>
      </c>
      <c r="CE407">
        <v>1</v>
      </c>
    </row>
    <row r="408" spans="1:83" x14ac:dyDescent="0.2">
      <c r="A408" s="53"/>
      <c r="B408" s="53"/>
      <c r="C408" s="52" t="s">
        <v>269</v>
      </c>
      <c r="D408" s="67"/>
      <c r="E408" s="68"/>
      <c r="F408" s="68"/>
      <c r="G408" s="68"/>
      <c r="H408" s="69"/>
      <c r="I408" s="67"/>
      <c r="J408" s="69"/>
      <c r="K408" s="67"/>
      <c r="L408" s="69">
        <f>L402+L404+L405</f>
        <v>55.69</v>
      </c>
    </row>
    <row r="409" spans="1:83" x14ac:dyDescent="0.2">
      <c r="A409" s="53"/>
      <c r="B409" s="53"/>
      <c r="C409" s="53" t="s">
        <v>637</v>
      </c>
      <c r="D409" s="67"/>
      <c r="E409" s="68"/>
      <c r="F409" s="68"/>
      <c r="G409" s="68"/>
      <c r="H409" s="69"/>
      <c r="I409" s="67"/>
      <c r="J409" s="69"/>
      <c r="K409" s="67"/>
      <c r="L409" s="69">
        <f>SUM(AR400:AR412)+SUM(AS400:AS412)+SUM(AT400:AT412)+SUM(AU400:AU412)+SUM(AV400:AV412)</f>
        <v>41.51</v>
      </c>
    </row>
    <row r="410" spans="1:83" ht="38.25" x14ac:dyDescent="0.2">
      <c r="A410" s="53"/>
      <c r="B410" s="53" t="s">
        <v>43</v>
      </c>
      <c r="C410" s="53" t="s">
        <v>649</v>
      </c>
      <c r="D410" s="67" t="s">
        <v>199</v>
      </c>
      <c r="E410" s="68">
        <f>Source!BZ98</f>
        <v>117</v>
      </c>
      <c r="F410" s="68"/>
      <c r="G410" s="68">
        <f>Source!AT98</f>
        <v>117</v>
      </c>
      <c r="H410" s="69"/>
      <c r="I410" s="67"/>
      <c r="J410" s="69"/>
      <c r="K410" s="67"/>
      <c r="L410" s="69">
        <f>SUM(AZ400:AZ412)</f>
        <v>48.57</v>
      </c>
    </row>
    <row r="411" spans="1:83" ht="38.25" x14ac:dyDescent="0.2">
      <c r="A411" s="73"/>
      <c r="B411" s="73" t="s">
        <v>44</v>
      </c>
      <c r="C411" s="73" t="s">
        <v>650</v>
      </c>
      <c r="D411" s="74" t="s">
        <v>199</v>
      </c>
      <c r="E411" s="75">
        <f>Source!CA98</f>
        <v>74</v>
      </c>
      <c r="F411" s="75"/>
      <c r="G411" s="75">
        <f>Source!AU98</f>
        <v>74</v>
      </c>
      <c r="H411" s="76"/>
      <c r="I411" s="74"/>
      <c r="J411" s="76"/>
      <c r="K411" s="74"/>
      <c r="L411" s="76">
        <f>SUM(BA400:BA412)</f>
        <v>30.72</v>
      </c>
    </row>
    <row r="412" spans="1:83" x14ac:dyDescent="0.2">
      <c r="A412" s="18"/>
      <c r="B412" s="18"/>
      <c r="C412" s="77" t="s">
        <v>640</v>
      </c>
      <c r="D412" s="77"/>
      <c r="E412" s="77"/>
      <c r="F412" s="77"/>
      <c r="G412" s="77"/>
      <c r="H412" s="77"/>
      <c r="I412" s="78">
        <f>IF(E400&lt;&gt;0,K412/E400, 0)</f>
        <v>794</v>
      </c>
      <c r="J412" s="78"/>
      <c r="K412" s="78">
        <f>L402+L404+L410+L411+L405</f>
        <v>134.98000000000002</v>
      </c>
      <c r="L412" s="78"/>
      <c r="AD412">
        <f>ROUND((Source!AT98/100)*((ROUND(SUMIF(SmtRes!AQ121:'SmtRes'!AQ123,"=1",SmtRes!AD121:'SmtRes'!AD123)*Source!I98, 2)+ROUND(SUMIF(SmtRes!AQ121:'SmtRes'!AQ123,"=1",SmtRes!AC121:'SmtRes'!AC123)*Source!I98, 2))), 2)</f>
        <v>159.21</v>
      </c>
      <c r="AE412">
        <f>ROUND((Source!AU98/100)*((ROUND(SUMIF(SmtRes!AQ121:'SmtRes'!AQ123,"=1",SmtRes!AD121:'SmtRes'!AD123)*Source!I98, 2)+ROUND(SUMIF(SmtRes!AQ121:'SmtRes'!AQ123,"=1",SmtRes!AC121:'SmtRes'!AC123)*Source!I98, 2))), 2)</f>
        <v>100.7</v>
      </c>
      <c r="AN412" s="17">
        <f>L402+L404+L410+L411+L405</f>
        <v>134.98000000000002</v>
      </c>
      <c r="AO412" s="17">
        <f>L404</f>
        <v>14.18</v>
      </c>
      <c r="AQ412" t="s">
        <v>641</v>
      </c>
      <c r="AR412" s="17">
        <f>L402</f>
        <v>27.9</v>
      </c>
      <c r="AT412" s="17">
        <f>L405</f>
        <v>13.61</v>
      </c>
      <c r="AV412" t="s">
        <v>641</v>
      </c>
      <c r="AW412">
        <f>0</f>
        <v>0</v>
      </c>
      <c r="AZ412">
        <f>Source!X98</f>
        <v>48.57</v>
      </c>
      <c r="BA412">
        <f>Source!Y98</f>
        <v>30.72</v>
      </c>
      <c r="CD412">
        <v>1</v>
      </c>
    </row>
    <row r="413" spans="1:83" ht="25.5" x14ac:dyDescent="0.2">
      <c r="A413" s="66" t="s">
        <v>258</v>
      </c>
      <c r="B413" s="53" t="s">
        <v>709</v>
      </c>
      <c r="C413" s="53" t="str">
        <f>Source!G99</f>
        <v>Опрессовка газопровода из полиэтиленовых труб, диаметром: 63 мм</v>
      </c>
      <c r="D413" s="67" t="str">
        <f>Source!H99</f>
        <v>км</v>
      </c>
      <c r="E413" s="68">
        <f>Source!K99</f>
        <v>0.22</v>
      </c>
      <c r="F413" s="68"/>
      <c r="G413" s="68">
        <f>Source!I99</f>
        <v>0.22</v>
      </c>
      <c r="H413" s="69"/>
      <c r="I413" s="67"/>
      <c r="J413" s="69"/>
      <c r="K413" s="67"/>
      <c r="L413" s="69"/>
    </row>
    <row r="414" spans="1:83" x14ac:dyDescent="0.2">
      <c r="A414" s="70"/>
      <c r="B414" s="68">
        <v>1</v>
      </c>
      <c r="C414" s="70" t="s">
        <v>643</v>
      </c>
      <c r="D414" s="67" t="s">
        <v>359</v>
      </c>
      <c r="E414" s="71"/>
      <c r="F414" s="68"/>
      <c r="G414" s="68">
        <f>Source!U99</f>
        <v>8.7560000000000002</v>
      </c>
      <c r="H414" s="68"/>
      <c r="I414" s="68"/>
      <c r="J414" s="68"/>
      <c r="K414" s="68"/>
      <c r="L414" s="72">
        <f>SUM(L415:L416)-SUMIF(CE415:CE416, 1, L415:L416)</f>
        <v>3766.04</v>
      </c>
    </row>
    <row r="415" spans="1:83" x14ac:dyDescent="0.2">
      <c r="A415" s="53"/>
      <c r="B415" s="53" t="s">
        <v>479</v>
      </c>
      <c r="C415" s="53" t="s">
        <v>480</v>
      </c>
      <c r="D415" s="67" t="s">
        <v>478</v>
      </c>
      <c r="E415" s="68">
        <v>19.899999999999999</v>
      </c>
      <c r="F415" s="68"/>
      <c r="G415" s="68">
        <f>SmtRes!CX124</f>
        <v>4.3780000000000001</v>
      </c>
      <c r="H415" s="69"/>
      <c r="I415" s="67"/>
      <c r="J415" s="69">
        <f>SmtRes!CZ124</f>
        <v>400.24</v>
      </c>
      <c r="K415" s="67"/>
      <c r="L415" s="69">
        <f>SmtRes!DI124</f>
        <v>1752.25</v>
      </c>
    </row>
    <row r="416" spans="1:83" x14ac:dyDescent="0.2">
      <c r="A416" s="53"/>
      <c r="B416" s="53" t="s">
        <v>543</v>
      </c>
      <c r="C416" s="53" t="s">
        <v>544</v>
      </c>
      <c r="D416" s="67" t="s">
        <v>478</v>
      </c>
      <c r="E416" s="68">
        <v>19.899999999999999</v>
      </c>
      <c r="F416" s="68"/>
      <c r="G416" s="68">
        <f>SmtRes!CX125</f>
        <v>4.3780000000000001</v>
      </c>
      <c r="H416" s="69"/>
      <c r="I416" s="67"/>
      <c r="J416" s="69">
        <f>SmtRes!CZ125</f>
        <v>459.98</v>
      </c>
      <c r="K416" s="67"/>
      <c r="L416" s="69">
        <f>SmtRes!DI125</f>
        <v>2013.79</v>
      </c>
    </row>
    <row r="417" spans="1:83" x14ac:dyDescent="0.2">
      <c r="A417" s="70"/>
      <c r="B417" s="68">
        <v>2</v>
      </c>
      <c r="C417" s="70" t="s">
        <v>634</v>
      </c>
      <c r="D417" s="67"/>
      <c r="E417" s="71"/>
      <c r="F417" s="68"/>
      <c r="G417" s="68"/>
      <c r="H417" s="68"/>
      <c r="I417" s="68"/>
      <c r="J417" s="68"/>
      <c r="K417" s="68"/>
      <c r="L417" s="72">
        <f>SUM(L418:L420)-SUMIF(CE418:CE420, 1, L418:L420)</f>
        <v>9.5200000000000014</v>
      </c>
    </row>
    <row r="418" spans="1:83" x14ac:dyDescent="0.2">
      <c r="A418" s="70"/>
      <c r="B418" s="68"/>
      <c r="C418" s="70" t="s">
        <v>636</v>
      </c>
      <c r="D418" s="67" t="s">
        <v>359</v>
      </c>
      <c r="E418" s="71"/>
      <c r="F418" s="68"/>
      <c r="G418" s="68">
        <f>Source!V99</f>
        <v>2.2000000000000001E-3</v>
      </c>
      <c r="H418" s="68"/>
      <c r="I418" s="68"/>
      <c r="J418" s="68"/>
      <c r="K418" s="68"/>
      <c r="L418" s="72">
        <f>SUMIF(CE419:CE420, 1, L419:L420)</f>
        <v>0.88</v>
      </c>
      <c r="CE418">
        <v>1</v>
      </c>
    </row>
    <row r="419" spans="1:83" ht="51" x14ac:dyDescent="0.2">
      <c r="A419" s="53"/>
      <c r="B419" s="53" t="s">
        <v>545</v>
      </c>
      <c r="C419" s="53" t="s">
        <v>547</v>
      </c>
      <c r="D419" s="67" t="s">
        <v>363</v>
      </c>
      <c r="E419" s="68">
        <v>0.01</v>
      </c>
      <c r="F419" s="68"/>
      <c r="G419" s="68">
        <f>SmtRes!CX127</f>
        <v>2.2000000000000001E-3</v>
      </c>
      <c r="H419" s="69">
        <f>SmtRes!CZ127</f>
        <v>2445.0500000000002</v>
      </c>
      <c r="I419" s="67">
        <f>SmtRes!AJ127</f>
        <v>1.77</v>
      </c>
      <c r="J419" s="69">
        <f>ROUND(H419*I419, 2)</f>
        <v>4327.74</v>
      </c>
      <c r="K419" s="67"/>
      <c r="L419" s="69">
        <f>SmtRes!DG127</f>
        <v>9.52</v>
      </c>
    </row>
    <row r="420" spans="1:83" x14ac:dyDescent="0.2">
      <c r="A420" s="53"/>
      <c r="B420" s="53" t="s">
        <v>400</v>
      </c>
      <c r="C420" s="53" t="s">
        <v>683</v>
      </c>
      <c r="D420" s="67" t="s">
        <v>359</v>
      </c>
      <c r="E420" s="68">
        <f>SmtRes!DO127*SmtRes!AT127</f>
        <v>0.01</v>
      </c>
      <c r="F420" s="68"/>
      <c r="G420" s="68">
        <f>ROUND(E420*G413, 7)</f>
        <v>2.2000000000000001E-3</v>
      </c>
      <c r="H420" s="69"/>
      <c r="I420" s="67"/>
      <c r="J420" s="69">
        <f>ROUND(SmtRes!AG127/SmtRes!DO127, 2)</f>
        <v>400.24</v>
      </c>
      <c r="K420" s="67"/>
      <c r="L420" s="69">
        <f>SmtRes!DH127</f>
        <v>0.88</v>
      </c>
      <c r="CE420">
        <v>1</v>
      </c>
    </row>
    <row r="421" spans="1:83" x14ac:dyDescent="0.2">
      <c r="A421" s="70"/>
      <c r="B421" s="68">
        <v>4</v>
      </c>
      <c r="C421" s="70" t="s">
        <v>681</v>
      </c>
      <c r="D421" s="67"/>
      <c r="E421" s="71"/>
      <c r="F421" s="68"/>
      <c r="G421" s="68"/>
      <c r="H421" s="68"/>
      <c r="I421" s="68"/>
      <c r="J421" s="68"/>
      <c r="K421" s="68"/>
      <c r="L421" s="72">
        <f>SUM(L422:L423)-SUMIF(CE422:CE423, 1, L422:L423)</f>
        <v>0.94</v>
      </c>
    </row>
    <row r="422" spans="1:83" x14ac:dyDescent="0.2">
      <c r="A422" s="53"/>
      <c r="B422" s="53" t="s">
        <v>529</v>
      </c>
      <c r="C422" s="53" t="s">
        <v>531</v>
      </c>
      <c r="D422" s="67" t="s">
        <v>48</v>
      </c>
      <c r="E422" s="68">
        <v>0.1</v>
      </c>
      <c r="F422" s="68"/>
      <c r="G422" s="68">
        <f>SmtRes!CX128</f>
        <v>2.1999999999999999E-2</v>
      </c>
      <c r="H422" s="69">
        <f>SmtRes!CZ128</f>
        <v>35.71</v>
      </c>
      <c r="I422" s="67">
        <f>SmtRes!AI128</f>
        <v>0.88</v>
      </c>
      <c r="J422" s="69">
        <f>ROUND(H422*I422, 2)</f>
        <v>31.42</v>
      </c>
      <c r="K422" s="67"/>
      <c r="L422" s="69">
        <f>SmtRes!DF128</f>
        <v>0.69</v>
      </c>
    </row>
    <row r="423" spans="1:83" x14ac:dyDescent="0.2">
      <c r="A423" s="53"/>
      <c r="B423" s="53" t="s">
        <v>548</v>
      </c>
      <c r="C423" s="53" t="s">
        <v>550</v>
      </c>
      <c r="D423" s="67" t="s">
        <v>411</v>
      </c>
      <c r="E423" s="68">
        <v>0.01</v>
      </c>
      <c r="F423" s="68"/>
      <c r="G423" s="68">
        <f>SmtRes!CX129</f>
        <v>2.2000000000000001E-3</v>
      </c>
      <c r="H423" s="69"/>
      <c r="I423" s="67"/>
      <c r="J423" s="69">
        <f>SmtRes!CZ129</f>
        <v>114.25</v>
      </c>
      <c r="K423" s="67"/>
      <c r="L423" s="69">
        <f>SmtRes!DF129</f>
        <v>0.25</v>
      </c>
    </row>
    <row r="424" spans="1:83" x14ac:dyDescent="0.2">
      <c r="A424" s="53"/>
      <c r="B424" s="53" t="str">
        <f>EtalonRes!I141</f>
        <v>24.3.05.02</v>
      </c>
      <c r="C424" s="73" t="str">
        <f>EtalonRes!K141</f>
        <v>Заглушки полиэтиленовые</v>
      </c>
      <c r="D424" s="74" t="str">
        <f>EtalonRes!O141</f>
        <v>ШТ</v>
      </c>
      <c r="E424" s="75">
        <f>EtalonRes!X141</f>
        <v>0</v>
      </c>
      <c r="F424" s="75"/>
      <c r="G424" s="75">
        <f>ROUND(EtalonRes!AG141*Source!I99, 7)</f>
        <v>0</v>
      </c>
      <c r="H424" s="76"/>
      <c r="I424" s="74"/>
      <c r="J424" s="76"/>
      <c r="K424" s="74"/>
      <c r="L424" s="76"/>
    </row>
    <row r="425" spans="1:83" x14ac:dyDescent="0.2">
      <c r="A425" s="53"/>
      <c r="B425" s="53"/>
      <c r="C425" s="52" t="s">
        <v>269</v>
      </c>
      <c r="D425" s="67"/>
      <c r="E425" s="68"/>
      <c r="F425" s="68"/>
      <c r="G425" s="68"/>
      <c r="H425" s="69"/>
      <c r="I425" s="67"/>
      <c r="J425" s="69"/>
      <c r="K425" s="67"/>
      <c r="L425" s="69">
        <f>L414+L417+L418+L421</f>
        <v>3777.38</v>
      </c>
    </row>
    <row r="426" spans="1:83" x14ac:dyDescent="0.2">
      <c r="A426" s="53"/>
      <c r="B426" s="53"/>
      <c r="C426" s="53" t="s">
        <v>637</v>
      </c>
      <c r="D426" s="67"/>
      <c r="E426" s="68"/>
      <c r="F426" s="68"/>
      <c r="G426" s="68"/>
      <c r="H426" s="69"/>
      <c r="I426" s="67"/>
      <c r="J426" s="69"/>
      <c r="K426" s="67"/>
      <c r="L426" s="69">
        <f>SUM(AR413:AR429)+SUM(AS413:AS429)+SUM(AT413:AT429)+SUM(AU413:AU429)+SUM(AV413:AV429)</f>
        <v>3766.92</v>
      </c>
    </row>
    <row r="427" spans="1:83" ht="38.25" x14ac:dyDescent="0.2">
      <c r="A427" s="53"/>
      <c r="B427" s="53" t="s">
        <v>43</v>
      </c>
      <c r="C427" s="53" t="s">
        <v>649</v>
      </c>
      <c r="D427" s="67" t="s">
        <v>199</v>
      </c>
      <c r="E427" s="68">
        <f>Source!BZ99</f>
        <v>117</v>
      </c>
      <c r="F427" s="68"/>
      <c r="G427" s="68">
        <f>Source!AT99</f>
        <v>117</v>
      </c>
      <c r="H427" s="69"/>
      <c r="I427" s="67"/>
      <c r="J427" s="69"/>
      <c r="K427" s="67"/>
      <c r="L427" s="69">
        <f>SUM(AZ413:AZ429)</f>
        <v>4407.3</v>
      </c>
    </row>
    <row r="428" spans="1:83" ht="38.25" x14ac:dyDescent="0.2">
      <c r="A428" s="73"/>
      <c r="B428" s="73" t="s">
        <v>44</v>
      </c>
      <c r="C428" s="73" t="s">
        <v>650</v>
      </c>
      <c r="D428" s="74" t="s">
        <v>199</v>
      </c>
      <c r="E428" s="75">
        <f>Source!CA99</f>
        <v>74</v>
      </c>
      <c r="F428" s="75"/>
      <c r="G428" s="75">
        <f>Source!AU99</f>
        <v>74</v>
      </c>
      <c r="H428" s="76"/>
      <c r="I428" s="74"/>
      <c r="J428" s="76"/>
      <c r="K428" s="74"/>
      <c r="L428" s="76">
        <f>SUM(BA413:BA429)</f>
        <v>2787.52</v>
      </c>
    </row>
    <row r="429" spans="1:83" x14ac:dyDescent="0.2">
      <c r="A429" s="18"/>
      <c r="B429" s="18"/>
      <c r="C429" s="77" t="s">
        <v>640</v>
      </c>
      <c r="D429" s="77"/>
      <c r="E429" s="77"/>
      <c r="F429" s="77"/>
      <c r="G429" s="77"/>
      <c r="H429" s="77"/>
      <c r="I429" s="78">
        <f>IF(E413&lt;&gt;0,K429/E413, 0)</f>
        <v>49873.63636363636</v>
      </c>
      <c r="J429" s="78"/>
      <c r="K429" s="78">
        <f>L414+L417+L421+L427+L428+L418</f>
        <v>10972.199999999999</v>
      </c>
      <c r="L429" s="78"/>
      <c r="AD429">
        <f>ROUND((Source!AT99/100)*((ROUND(SUMIF(SmtRes!AQ124:'SmtRes'!AQ129,"=1",SmtRes!AD124:'SmtRes'!AD129)*Source!I99, 2)+ROUND(SUMIF(SmtRes!AQ124:'SmtRes'!AQ129,"=1",SmtRes!AC124:'SmtRes'!AC129)*Source!I99, 2))), 2)</f>
        <v>324.44</v>
      </c>
      <c r="AE429">
        <f>ROUND((Source!AU99/100)*((ROUND(SUMIF(SmtRes!AQ124:'SmtRes'!AQ129,"=1",SmtRes!AD124:'SmtRes'!AD129)*Source!I99, 2)+ROUND(SUMIF(SmtRes!AQ124:'SmtRes'!AQ129,"=1",SmtRes!AC124:'SmtRes'!AC129)*Source!I99, 2))), 2)</f>
        <v>205.2</v>
      </c>
      <c r="AN429" s="17">
        <f>L414+L417+L421+L427+L428+L418</f>
        <v>10972.199999999999</v>
      </c>
      <c r="AO429" s="17">
        <f>L417</f>
        <v>9.5200000000000014</v>
      </c>
      <c r="AQ429" t="s">
        <v>641</v>
      </c>
      <c r="AR429" s="17">
        <f>L414</f>
        <v>3766.04</v>
      </c>
      <c r="AT429" s="17">
        <f>L418</f>
        <v>0.88</v>
      </c>
      <c r="AV429" t="s">
        <v>641</v>
      </c>
      <c r="AW429" s="17">
        <f>L421</f>
        <v>0.94</v>
      </c>
      <c r="AZ429">
        <f>Source!X99</f>
        <v>4407.3</v>
      </c>
      <c r="BA429">
        <f>Source!Y99</f>
        <v>2787.52</v>
      </c>
      <c r="CD429">
        <v>1</v>
      </c>
    </row>
    <row r="430" spans="1:83" ht="51" x14ac:dyDescent="0.2">
      <c r="A430" s="66" t="s">
        <v>263</v>
      </c>
      <c r="B430" s="53" t="s">
        <v>710</v>
      </c>
      <c r="C430" s="53" t="str">
        <f>Source!G100</f>
        <v>Выдержка под давлением до 0,6 МПа при испытании на прочность и герметичность участка газопровода номинальным диаметром: 50-300 мм</v>
      </c>
      <c r="D430" s="67" t="str">
        <f>Source!H100</f>
        <v>участок</v>
      </c>
      <c r="E430" s="68">
        <f>Source!K100</f>
        <v>1</v>
      </c>
      <c r="F430" s="68"/>
      <c r="G430" s="68">
        <f>Source!I100</f>
        <v>1</v>
      </c>
      <c r="H430" s="69"/>
      <c r="I430" s="67"/>
      <c r="J430" s="69"/>
      <c r="K430" s="67"/>
      <c r="L430" s="69"/>
    </row>
    <row r="431" spans="1:83" x14ac:dyDescent="0.2">
      <c r="A431" s="70"/>
      <c r="B431" s="68">
        <v>1</v>
      </c>
      <c r="C431" s="70" t="s">
        <v>643</v>
      </c>
      <c r="D431" s="67" t="s">
        <v>359</v>
      </c>
      <c r="E431" s="71"/>
      <c r="F431" s="68"/>
      <c r="G431" s="68">
        <f>Source!U100</f>
        <v>14</v>
      </c>
      <c r="H431" s="68"/>
      <c r="I431" s="68"/>
      <c r="J431" s="68"/>
      <c r="K431" s="68"/>
      <c r="L431" s="72">
        <f>SUM(L432:L432)-SUMIF(CE432:CE432, 1, L432:L432)</f>
        <v>5603.36</v>
      </c>
    </row>
    <row r="432" spans="1:83" x14ac:dyDescent="0.2">
      <c r="A432" s="53"/>
      <c r="B432" s="53" t="s">
        <v>541</v>
      </c>
      <c r="C432" s="53" t="s">
        <v>542</v>
      </c>
      <c r="D432" s="67" t="s">
        <v>359</v>
      </c>
      <c r="E432" s="68">
        <v>14</v>
      </c>
      <c r="F432" s="68"/>
      <c r="G432" s="68">
        <f>SmtRes!CX130</f>
        <v>14</v>
      </c>
      <c r="H432" s="69"/>
      <c r="I432" s="67"/>
      <c r="J432" s="69">
        <f>SmtRes!CZ130</f>
        <v>400.24</v>
      </c>
      <c r="K432" s="67"/>
      <c r="L432" s="69">
        <f>SmtRes!DI130</f>
        <v>5603.36</v>
      </c>
    </row>
    <row r="433" spans="1:83" x14ac:dyDescent="0.2">
      <c r="A433" s="70"/>
      <c r="B433" s="68">
        <v>2</v>
      </c>
      <c r="C433" s="70" t="s">
        <v>634</v>
      </c>
      <c r="D433" s="67"/>
      <c r="E433" s="71"/>
      <c r="F433" s="68"/>
      <c r="G433" s="68"/>
      <c r="H433" s="68"/>
      <c r="I433" s="68"/>
      <c r="J433" s="68"/>
      <c r="K433" s="68"/>
      <c r="L433" s="72">
        <f>SUM(L434:L438)-SUMIF(CE434:CE438, 1, L434:L438)</f>
        <v>7388.02</v>
      </c>
    </row>
    <row r="434" spans="1:83" x14ac:dyDescent="0.2">
      <c r="A434" s="70"/>
      <c r="B434" s="68"/>
      <c r="C434" s="70" t="s">
        <v>636</v>
      </c>
      <c r="D434" s="67" t="s">
        <v>359</v>
      </c>
      <c r="E434" s="71"/>
      <c r="F434" s="68"/>
      <c r="G434" s="68">
        <f>Source!V100</f>
        <v>9.8000000000000007</v>
      </c>
      <c r="H434" s="68"/>
      <c r="I434" s="68"/>
      <c r="J434" s="68"/>
      <c r="K434" s="68"/>
      <c r="L434" s="72">
        <f>SUMIF(CE435:CE438, 1, L435:L438)</f>
        <v>4307.07</v>
      </c>
      <c r="CE434">
        <v>1</v>
      </c>
    </row>
    <row r="435" spans="1:83" ht="25.5" x14ac:dyDescent="0.2">
      <c r="A435" s="53"/>
      <c r="B435" s="53" t="s">
        <v>551</v>
      </c>
      <c r="C435" s="53" t="s">
        <v>553</v>
      </c>
      <c r="D435" s="67" t="s">
        <v>363</v>
      </c>
      <c r="E435" s="68">
        <v>2.8</v>
      </c>
      <c r="F435" s="68"/>
      <c r="G435" s="68">
        <f>SmtRes!CX132</f>
        <v>2.8</v>
      </c>
      <c r="H435" s="69">
        <f>SmtRes!CZ132</f>
        <v>1070.99</v>
      </c>
      <c r="I435" s="67">
        <f>SmtRes!AJ132</f>
        <v>1.49</v>
      </c>
      <c r="J435" s="69">
        <f>ROUND(H435*I435, 2)</f>
        <v>1595.78</v>
      </c>
      <c r="K435" s="67"/>
      <c r="L435" s="69">
        <f>SmtRes!DG132</f>
        <v>4468.18</v>
      </c>
    </row>
    <row r="436" spans="1:83" x14ac:dyDescent="0.2">
      <c r="A436" s="53"/>
      <c r="B436" s="53" t="s">
        <v>364</v>
      </c>
      <c r="C436" s="53" t="s">
        <v>635</v>
      </c>
      <c r="D436" s="67" t="s">
        <v>359</v>
      </c>
      <c r="E436" s="68">
        <f>SmtRes!DO132*SmtRes!AT132</f>
        <v>2.8</v>
      </c>
      <c r="F436" s="68"/>
      <c r="G436" s="68">
        <f>ROUND(E436*G430, 7)</f>
        <v>2.8</v>
      </c>
      <c r="H436" s="69"/>
      <c r="I436" s="67"/>
      <c r="J436" s="69">
        <f>ROUND(SmtRes!AG132/SmtRes!DO132, 2)</f>
        <v>537.64</v>
      </c>
      <c r="K436" s="67"/>
      <c r="L436" s="69">
        <f>SmtRes!DH132</f>
        <v>1505.39</v>
      </c>
      <c r="CE436">
        <v>1</v>
      </c>
    </row>
    <row r="437" spans="1:83" ht="51" x14ac:dyDescent="0.2">
      <c r="A437" s="53"/>
      <c r="B437" s="53" t="s">
        <v>397</v>
      </c>
      <c r="C437" s="53" t="s">
        <v>399</v>
      </c>
      <c r="D437" s="67" t="s">
        <v>363</v>
      </c>
      <c r="E437" s="68">
        <v>7</v>
      </c>
      <c r="F437" s="68"/>
      <c r="G437" s="68">
        <f>SmtRes!CX133</f>
        <v>7</v>
      </c>
      <c r="H437" s="69"/>
      <c r="I437" s="67"/>
      <c r="J437" s="69">
        <f>SmtRes!CZ133</f>
        <v>417.12</v>
      </c>
      <c r="K437" s="67"/>
      <c r="L437" s="69">
        <f>SmtRes!DG133</f>
        <v>2919.84</v>
      </c>
    </row>
    <row r="438" spans="1:83" x14ac:dyDescent="0.2">
      <c r="A438" s="53"/>
      <c r="B438" s="53" t="s">
        <v>400</v>
      </c>
      <c r="C438" s="73" t="s">
        <v>683</v>
      </c>
      <c r="D438" s="74" t="s">
        <v>359</v>
      </c>
      <c r="E438" s="75">
        <f>SmtRes!DO133*SmtRes!AT133</f>
        <v>7</v>
      </c>
      <c r="F438" s="75"/>
      <c r="G438" s="75">
        <f>ROUND(E438*G430, 7)</f>
        <v>7</v>
      </c>
      <c r="H438" s="76"/>
      <c r="I438" s="74"/>
      <c r="J438" s="76">
        <f>ROUND(SmtRes!AG133/SmtRes!DO133, 2)</f>
        <v>400.24</v>
      </c>
      <c r="K438" s="74"/>
      <c r="L438" s="76">
        <f>SmtRes!DH133</f>
        <v>2801.68</v>
      </c>
      <c r="CE438">
        <v>1</v>
      </c>
    </row>
    <row r="439" spans="1:83" x14ac:dyDescent="0.2">
      <c r="A439" s="53"/>
      <c r="B439" s="53"/>
      <c r="C439" s="52" t="s">
        <v>269</v>
      </c>
      <c r="D439" s="67"/>
      <c r="E439" s="68"/>
      <c r="F439" s="68"/>
      <c r="G439" s="68"/>
      <c r="H439" s="69"/>
      <c r="I439" s="67"/>
      <c r="J439" s="69"/>
      <c r="K439" s="67"/>
      <c r="L439" s="69">
        <f>L431+L433+L434</f>
        <v>17298.45</v>
      </c>
    </row>
    <row r="440" spans="1:83" x14ac:dyDescent="0.2">
      <c r="A440" s="53"/>
      <c r="B440" s="53"/>
      <c r="C440" s="53" t="s">
        <v>637</v>
      </c>
      <c r="D440" s="67"/>
      <c r="E440" s="68"/>
      <c r="F440" s="68"/>
      <c r="G440" s="68"/>
      <c r="H440" s="69"/>
      <c r="I440" s="67"/>
      <c r="J440" s="69"/>
      <c r="K440" s="67"/>
      <c r="L440" s="69">
        <f>SUM(AR430:AR443)+SUM(AS430:AS443)+SUM(AT430:AT443)+SUM(AU430:AU443)+SUM(AV430:AV443)</f>
        <v>9910.43</v>
      </c>
    </row>
    <row r="441" spans="1:83" ht="38.25" x14ac:dyDescent="0.2">
      <c r="A441" s="53"/>
      <c r="B441" s="53" t="s">
        <v>43</v>
      </c>
      <c r="C441" s="53" t="s">
        <v>649</v>
      </c>
      <c r="D441" s="67" t="s">
        <v>199</v>
      </c>
      <c r="E441" s="68">
        <f>Source!BZ100</f>
        <v>117</v>
      </c>
      <c r="F441" s="68"/>
      <c r="G441" s="68">
        <f>Source!AT100</f>
        <v>117</v>
      </c>
      <c r="H441" s="69"/>
      <c r="I441" s="67"/>
      <c r="J441" s="69"/>
      <c r="K441" s="67"/>
      <c r="L441" s="69">
        <f>SUM(AZ430:AZ443)</f>
        <v>11595.2</v>
      </c>
    </row>
    <row r="442" spans="1:83" ht="38.25" x14ac:dyDescent="0.2">
      <c r="A442" s="73"/>
      <c r="B442" s="73" t="s">
        <v>44</v>
      </c>
      <c r="C442" s="73" t="s">
        <v>650</v>
      </c>
      <c r="D442" s="74" t="s">
        <v>199</v>
      </c>
      <c r="E442" s="75">
        <f>Source!CA100</f>
        <v>74</v>
      </c>
      <c r="F442" s="75"/>
      <c r="G442" s="75">
        <f>Source!AU100</f>
        <v>74</v>
      </c>
      <c r="H442" s="76"/>
      <c r="I442" s="74"/>
      <c r="J442" s="76"/>
      <c r="K442" s="74"/>
      <c r="L442" s="76">
        <f>SUM(BA430:BA443)</f>
        <v>7333.72</v>
      </c>
    </row>
    <row r="443" spans="1:83" x14ac:dyDescent="0.2">
      <c r="A443" s="18"/>
      <c r="B443" s="18"/>
      <c r="C443" s="77" t="s">
        <v>640</v>
      </c>
      <c r="D443" s="77"/>
      <c r="E443" s="77"/>
      <c r="F443" s="77"/>
      <c r="G443" s="77"/>
      <c r="H443" s="77"/>
      <c r="I443" s="78">
        <f>IF(E430&lt;&gt;0,K443/E430, 0)</f>
        <v>36227.370000000003</v>
      </c>
      <c r="J443" s="78"/>
      <c r="K443" s="78">
        <f>L431+L433+L441+L442+L434</f>
        <v>36227.370000000003</v>
      </c>
      <c r="L443" s="78"/>
      <c r="AD443">
        <f>ROUND((Source!AT100/100)*((ROUND(SUMIF(SmtRes!AQ130:'SmtRes'!AQ133,"=1",SmtRes!AD130:'SmtRes'!AD133)*Source!I100, 2)+ROUND(SUMIF(SmtRes!AQ130:'SmtRes'!AQ133,"=1",SmtRes!AC130:'SmtRes'!AC133)*Source!I100, 2))), 2)</f>
        <v>1565.6</v>
      </c>
      <c r="AE443">
        <f>ROUND((Source!AU100/100)*((ROUND(SUMIF(SmtRes!AQ130:'SmtRes'!AQ133,"=1",SmtRes!AD130:'SmtRes'!AD133)*Source!I100, 2)+ROUND(SUMIF(SmtRes!AQ130:'SmtRes'!AQ133,"=1",SmtRes!AC130:'SmtRes'!AC133)*Source!I100, 2))), 2)</f>
        <v>990.21</v>
      </c>
      <c r="AN443" s="17">
        <f>L431+L433+L441+L442+L434</f>
        <v>36227.370000000003</v>
      </c>
      <c r="AO443" s="17">
        <f>L433</f>
        <v>7388.02</v>
      </c>
      <c r="AQ443" t="s">
        <v>641</v>
      </c>
      <c r="AR443" s="17">
        <f>L431</f>
        <v>5603.36</v>
      </c>
      <c r="AT443" s="17">
        <f>L434</f>
        <v>4307.07</v>
      </c>
      <c r="AV443" t="s">
        <v>641</v>
      </c>
      <c r="AW443">
        <f>0</f>
        <v>0</v>
      </c>
      <c r="AZ443">
        <f>Source!X100</f>
        <v>11595.2</v>
      </c>
      <c r="BA443">
        <f>Source!Y100</f>
        <v>7333.72</v>
      </c>
      <c r="CD443">
        <v>1</v>
      </c>
    </row>
    <row r="444" spans="1:83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</row>
    <row r="445" spans="1:83" x14ac:dyDescent="0.2">
      <c r="A445" s="79"/>
      <c r="B445" s="52"/>
      <c r="C445" s="65" t="s">
        <v>653</v>
      </c>
      <c r="D445" s="65"/>
      <c r="E445" s="65"/>
      <c r="F445" s="65"/>
      <c r="G445" s="65"/>
      <c r="H445" s="65"/>
      <c r="I445" s="72"/>
      <c r="J445" s="79"/>
      <c r="K445" s="80"/>
      <c r="L445" s="72">
        <f>L447+L448+L454+L458</f>
        <v>218236.65000000002</v>
      </c>
    </row>
    <row r="446" spans="1:83" x14ac:dyDescent="0.2">
      <c r="A446" s="81"/>
      <c r="B446" s="53"/>
      <c r="C446" s="82" t="s">
        <v>654</v>
      </c>
      <c r="D446" s="82"/>
      <c r="E446" s="82"/>
      <c r="F446" s="82"/>
      <c r="G446" s="82"/>
      <c r="H446" s="82"/>
      <c r="I446" s="69"/>
      <c r="J446" s="81"/>
      <c r="K446" s="68"/>
      <c r="L446" s="69"/>
    </row>
    <row r="447" spans="1:83" x14ac:dyDescent="0.2">
      <c r="A447" s="81"/>
      <c r="B447" s="53"/>
      <c r="C447" s="82" t="s">
        <v>655</v>
      </c>
      <c r="D447" s="82"/>
      <c r="E447" s="82"/>
      <c r="F447" s="82"/>
      <c r="G447" s="82"/>
      <c r="H447" s="82"/>
      <c r="I447" s="69"/>
      <c r="J447" s="81"/>
      <c r="K447" s="68"/>
      <c r="L447" s="69">
        <f>SUM(AR133:AR443)</f>
        <v>29245.350000000009</v>
      </c>
    </row>
    <row r="448" spans="1:83" hidden="1" x14ac:dyDescent="0.2">
      <c r="A448" s="81"/>
      <c r="B448" s="53"/>
      <c r="C448" s="82" t="s">
        <v>656</v>
      </c>
      <c r="D448" s="82"/>
      <c r="E448" s="82"/>
      <c r="F448" s="82"/>
      <c r="G448" s="82"/>
      <c r="H448" s="82"/>
      <c r="I448" s="69"/>
      <c r="J448" s="81"/>
      <c r="K448" s="68"/>
      <c r="L448" s="69">
        <f>L450+L453+L452</f>
        <v>26406.03</v>
      </c>
    </row>
    <row r="449" spans="1:12" hidden="1" x14ac:dyDescent="0.2">
      <c r="A449" s="81"/>
      <c r="B449" s="53"/>
      <c r="C449" s="82" t="s">
        <v>657</v>
      </c>
      <c r="D449" s="82"/>
      <c r="E449" s="82"/>
      <c r="F449" s="82"/>
      <c r="G449" s="82"/>
      <c r="H449" s="82"/>
      <c r="I449" s="69"/>
      <c r="J449" s="81"/>
      <c r="K449" s="68"/>
      <c r="L449" s="69"/>
    </row>
    <row r="450" spans="1:12" x14ac:dyDescent="0.2">
      <c r="A450" s="81"/>
      <c r="B450" s="53"/>
      <c r="C450" s="82" t="s">
        <v>656</v>
      </c>
      <c r="D450" s="82"/>
      <c r="E450" s="82"/>
      <c r="F450" s="82"/>
      <c r="G450" s="82"/>
      <c r="H450" s="82"/>
      <c r="I450" s="69"/>
      <c r="J450" s="81"/>
      <c r="K450" s="68"/>
      <c r="L450" s="69">
        <f>SUM(AO133:AO443)</f>
        <v>18701.68</v>
      </c>
    </row>
    <row r="451" spans="1:12" hidden="1" x14ac:dyDescent="0.2">
      <c r="A451" s="81"/>
      <c r="B451" s="53"/>
      <c r="C451" s="82" t="s">
        <v>658</v>
      </c>
      <c r="D451" s="82"/>
      <c r="E451" s="82"/>
      <c r="F451" s="82"/>
      <c r="G451" s="82"/>
      <c r="H451" s="82"/>
      <c r="I451" s="69"/>
      <c r="J451" s="81"/>
      <c r="K451" s="68"/>
      <c r="L451" s="69"/>
    </row>
    <row r="452" spans="1:12" x14ac:dyDescent="0.2">
      <c r="A452" s="81"/>
      <c r="B452" s="53"/>
      <c r="C452" s="82" t="s">
        <v>678</v>
      </c>
      <c r="D452" s="82"/>
      <c r="E452" s="82"/>
      <c r="F452" s="82"/>
      <c r="G452" s="82"/>
      <c r="H452" s="82"/>
      <c r="I452" s="69"/>
      <c r="J452" s="81"/>
      <c r="K452" s="68"/>
      <c r="L452" s="69">
        <f>SUM(AT133:AT443)</f>
        <v>7704.35</v>
      </c>
    </row>
    <row r="453" spans="1:12" hidden="1" x14ac:dyDescent="0.2">
      <c r="A453" s="81"/>
      <c r="B453" s="53"/>
      <c r="C453" s="82" t="s">
        <v>659</v>
      </c>
      <c r="D453" s="82"/>
      <c r="E453" s="82"/>
      <c r="F453" s="82"/>
      <c r="G453" s="82"/>
      <c r="H453" s="82"/>
      <c r="I453" s="69"/>
      <c r="J453" s="81"/>
      <c r="K453" s="68"/>
      <c r="L453" s="69">
        <f>SUM(AV133:AV443)</f>
        <v>0</v>
      </c>
    </row>
    <row r="454" spans="1:12" x14ac:dyDescent="0.2">
      <c r="A454" s="81"/>
      <c r="B454" s="53"/>
      <c r="C454" s="82" t="s">
        <v>660</v>
      </c>
      <c r="D454" s="82"/>
      <c r="E454" s="82"/>
      <c r="F454" s="82"/>
      <c r="G454" s="82"/>
      <c r="H454" s="82"/>
      <c r="I454" s="69"/>
      <c r="J454" s="81"/>
      <c r="K454" s="68"/>
      <c r="L454" s="69">
        <f>L456+L457</f>
        <v>162585.27000000002</v>
      </c>
    </row>
    <row r="455" spans="1:12" x14ac:dyDescent="0.2">
      <c r="A455" s="81"/>
      <c r="B455" s="53"/>
      <c r="C455" s="82" t="s">
        <v>657</v>
      </c>
      <c r="D455" s="82"/>
      <c r="E455" s="82"/>
      <c r="F455" s="82"/>
      <c r="G455" s="82"/>
      <c r="H455" s="82"/>
      <c r="I455" s="69"/>
      <c r="J455" s="81"/>
      <c r="K455" s="68"/>
      <c r="L455" s="69"/>
    </row>
    <row r="456" spans="1:12" x14ac:dyDescent="0.2">
      <c r="A456" s="81"/>
      <c r="B456" s="53"/>
      <c r="C456" s="82" t="s">
        <v>661</v>
      </c>
      <c r="D456" s="82"/>
      <c r="E456" s="82"/>
      <c r="F456" s="82"/>
      <c r="G456" s="82"/>
      <c r="H456" s="82"/>
      <c r="I456" s="69"/>
      <c r="J456" s="81"/>
      <c r="K456" s="68"/>
      <c r="L456" s="69">
        <f>SUM(AW133:AW443)-SUM(BK133:BK443)</f>
        <v>162585.27000000002</v>
      </c>
    </row>
    <row r="457" spans="1:12" hidden="1" x14ac:dyDescent="0.2">
      <c r="A457" s="81"/>
      <c r="B457" s="53"/>
      <c r="C457" s="82" t="s">
        <v>662</v>
      </c>
      <c r="D457" s="82"/>
      <c r="E457" s="82"/>
      <c r="F457" s="82"/>
      <c r="G457" s="82"/>
      <c r="H457" s="82"/>
      <c r="I457" s="69"/>
      <c r="J457" s="81"/>
      <c r="K457" s="68"/>
      <c r="L457" s="69">
        <f>SUM(BC133:BC443)</f>
        <v>0</v>
      </c>
    </row>
    <row r="458" spans="1:12" hidden="1" x14ac:dyDescent="0.2">
      <c r="A458" s="81"/>
      <c r="B458" s="53"/>
      <c r="C458" s="82" t="s">
        <v>663</v>
      </c>
      <c r="D458" s="82"/>
      <c r="E458" s="82"/>
      <c r="F458" s="82"/>
      <c r="G458" s="82"/>
      <c r="H458" s="82"/>
      <c r="I458" s="69"/>
      <c r="J458" s="81"/>
      <c r="K458" s="68"/>
      <c r="L458" s="69">
        <f>SUM(BB133:BB443)</f>
        <v>0</v>
      </c>
    </row>
    <row r="459" spans="1:12" x14ac:dyDescent="0.2">
      <c r="A459" s="81"/>
      <c r="B459" s="53"/>
      <c r="C459" s="82" t="s">
        <v>664</v>
      </c>
      <c r="D459" s="82"/>
      <c r="E459" s="82"/>
      <c r="F459" s="82"/>
      <c r="G459" s="82"/>
      <c r="H459" s="82"/>
      <c r="I459" s="69"/>
      <c r="J459" s="81"/>
      <c r="K459" s="68"/>
      <c r="L459" s="69">
        <f>SUM(AR133:AR443)+SUM(AT133:AT443)+SUM(AV133:AV443)</f>
        <v>36949.700000000012</v>
      </c>
    </row>
    <row r="460" spans="1:12" x14ac:dyDescent="0.2">
      <c r="A460" s="81"/>
      <c r="B460" s="53"/>
      <c r="C460" s="82" t="s">
        <v>665</v>
      </c>
      <c r="D460" s="82"/>
      <c r="E460" s="82"/>
      <c r="F460" s="82"/>
      <c r="G460" s="82"/>
      <c r="H460" s="82"/>
      <c r="I460" s="69"/>
      <c r="J460" s="81"/>
      <c r="K460" s="68"/>
      <c r="L460" s="69">
        <f>SUM(AZ133:AZ443)</f>
        <v>42909.72</v>
      </c>
    </row>
    <row r="461" spans="1:12" x14ac:dyDescent="0.2">
      <c r="A461" s="81"/>
      <c r="B461" s="53"/>
      <c r="C461" s="82" t="s">
        <v>666</v>
      </c>
      <c r="D461" s="82"/>
      <c r="E461" s="82"/>
      <c r="F461" s="82"/>
      <c r="G461" s="82"/>
      <c r="H461" s="82"/>
      <c r="I461" s="69"/>
      <c r="J461" s="81"/>
      <c r="K461" s="68"/>
      <c r="L461" s="69">
        <f>SUM(BA133:BA443)</f>
        <v>26111.56</v>
      </c>
    </row>
    <row r="462" spans="1:12" hidden="1" x14ac:dyDescent="0.2">
      <c r="A462" s="81"/>
      <c r="B462" s="53"/>
      <c r="C462" s="82" t="s">
        <v>667</v>
      </c>
      <c r="D462" s="82"/>
      <c r="E462" s="82"/>
      <c r="F462" s="82"/>
      <c r="G462" s="82"/>
      <c r="H462" s="82"/>
      <c r="I462" s="69"/>
      <c r="J462" s="81"/>
      <c r="K462" s="68"/>
      <c r="L462" s="69">
        <f>L464+L465</f>
        <v>0</v>
      </c>
    </row>
    <row r="463" spans="1:12" hidden="1" x14ac:dyDescent="0.2">
      <c r="A463" s="81"/>
      <c r="B463" s="53"/>
      <c r="C463" s="82" t="s">
        <v>654</v>
      </c>
      <c r="D463" s="82"/>
      <c r="E463" s="82"/>
      <c r="F463" s="82"/>
      <c r="G463" s="82"/>
      <c r="H463" s="82"/>
      <c r="I463" s="69"/>
      <c r="J463" s="81"/>
      <c r="K463" s="68"/>
      <c r="L463" s="69"/>
    </row>
    <row r="464" spans="1:12" hidden="1" x14ac:dyDescent="0.2">
      <c r="A464" s="81"/>
      <c r="B464" s="53"/>
      <c r="C464" s="82" t="s">
        <v>668</v>
      </c>
      <c r="D464" s="82"/>
      <c r="E464" s="82"/>
      <c r="F464" s="82"/>
      <c r="G464" s="82"/>
      <c r="H464" s="82"/>
      <c r="I464" s="69"/>
      <c r="J464" s="81"/>
      <c r="K464" s="68"/>
      <c r="L464" s="69">
        <f>SUM(BK133:BK443)</f>
        <v>0</v>
      </c>
    </row>
    <row r="465" spans="1:12" hidden="1" x14ac:dyDescent="0.2">
      <c r="A465" s="81"/>
      <c r="B465" s="53"/>
      <c r="C465" s="82" t="s">
        <v>669</v>
      </c>
      <c r="D465" s="82"/>
      <c r="E465" s="82"/>
      <c r="F465" s="82"/>
      <c r="G465" s="82"/>
      <c r="H465" s="82"/>
      <c r="I465" s="69"/>
      <c r="J465" s="81"/>
      <c r="K465" s="68"/>
      <c r="L465" s="69">
        <f>SUM(BD133:BD443)</f>
        <v>0</v>
      </c>
    </row>
    <row r="466" spans="1:12" hidden="1" x14ac:dyDescent="0.2">
      <c r="A466" s="81"/>
      <c r="B466" s="53"/>
      <c r="C466" s="82" t="s">
        <v>670</v>
      </c>
      <c r="D466" s="82"/>
      <c r="E466" s="82"/>
      <c r="F466" s="82"/>
      <c r="G466" s="82"/>
      <c r="H466" s="82"/>
      <c r="I466" s="69"/>
      <c r="J466" s="81"/>
      <c r="K466" s="68"/>
      <c r="L466" s="69"/>
    </row>
    <row r="467" spans="1:12" hidden="1" x14ac:dyDescent="0.2">
      <c r="A467" s="81"/>
      <c r="B467" s="53"/>
      <c r="C467" s="82" t="s">
        <v>670</v>
      </c>
      <c r="D467" s="82"/>
      <c r="E467" s="82"/>
      <c r="F467" s="82"/>
      <c r="G467" s="82"/>
      <c r="H467" s="82"/>
      <c r="I467" s="69"/>
      <c r="J467" s="81"/>
      <c r="K467" s="68"/>
      <c r="L467" s="69">
        <f>SUM(BQ133:BQ443)</f>
        <v>0</v>
      </c>
    </row>
    <row r="468" spans="1:12" hidden="1" x14ac:dyDescent="0.2">
      <c r="A468" s="81"/>
      <c r="B468" s="53"/>
      <c r="C468" s="82" t="s">
        <v>671</v>
      </c>
      <c r="D468" s="82"/>
      <c r="E468" s="82"/>
      <c r="F468" s="82"/>
      <c r="G468" s="82"/>
      <c r="H468" s="82"/>
      <c r="I468" s="69"/>
      <c r="J468" s="81"/>
      <c r="K468" s="68"/>
      <c r="L468" s="69">
        <f>SUM(BO133:BO443)</f>
        <v>0</v>
      </c>
    </row>
    <row r="469" spans="1:12" x14ac:dyDescent="0.2">
      <c r="A469" s="79"/>
      <c r="B469" s="52"/>
      <c r="C469" s="65" t="s">
        <v>672</v>
      </c>
      <c r="D469" s="65"/>
      <c r="E469" s="65"/>
      <c r="F469" s="65"/>
      <c r="G469" s="65"/>
      <c r="H469" s="65"/>
      <c r="I469" s="72"/>
      <c r="J469" s="79"/>
      <c r="K469" s="80"/>
      <c r="L469" s="72">
        <f>L445+L460+L461+L462+L467+L468</f>
        <v>287257.93000000005</v>
      </c>
    </row>
    <row r="470" spans="1:12" x14ac:dyDescent="0.2">
      <c r="A470" s="81"/>
      <c r="B470" s="53"/>
      <c r="C470" s="82" t="s">
        <v>673</v>
      </c>
      <c r="D470" s="82"/>
      <c r="E470" s="82"/>
      <c r="F470" s="82"/>
      <c r="G470" s="82"/>
      <c r="H470" s="82"/>
      <c r="I470" s="69"/>
      <c r="J470" s="81"/>
      <c r="K470" s="68"/>
      <c r="L470" s="69"/>
    </row>
    <row r="471" spans="1:12" hidden="1" x14ac:dyDescent="0.2">
      <c r="A471" s="81"/>
      <c r="B471" s="53"/>
      <c r="C471" s="82" t="s">
        <v>674</v>
      </c>
      <c r="D471" s="82"/>
      <c r="E471" s="82"/>
      <c r="F471" s="82"/>
      <c r="G471" s="82"/>
      <c r="H471" s="82"/>
      <c r="I471" s="69"/>
      <c r="J471" s="81"/>
      <c r="K471" s="68"/>
      <c r="L471" s="69">
        <f>SUM(AX133:AX443)</f>
        <v>0</v>
      </c>
    </row>
    <row r="472" spans="1:12" hidden="1" x14ac:dyDescent="0.2">
      <c r="A472" s="81"/>
      <c r="B472" s="53"/>
      <c r="C472" s="82" t="s">
        <v>675</v>
      </c>
      <c r="D472" s="82"/>
      <c r="E472" s="82"/>
      <c r="F472" s="82"/>
      <c r="G472" s="82"/>
      <c r="H472" s="82"/>
      <c r="I472" s="69"/>
      <c r="J472" s="81"/>
      <c r="K472" s="68"/>
      <c r="L472" s="69">
        <f>SUM(AY133:AY443)</f>
        <v>0</v>
      </c>
    </row>
    <row r="473" spans="1:12" x14ac:dyDescent="0.2">
      <c r="A473" s="81"/>
      <c r="B473" s="53"/>
      <c r="C473" s="82" t="s">
        <v>676</v>
      </c>
      <c r="D473" s="82"/>
      <c r="E473" s="82"/>
      <c r="F473" s="83"/>
      <c r="G473" s="71">
        <f>Source!F124</f>
        <v>71.873800000000003</v>
      </c>
      <c r="H473" s="81"/>
      <c r="I473" s="81"/>
      <c r="J473" s="81"/>
      <c r="K473" s="81"/>
      <c r="L473" s="81"/>
    </row>
    <row r="474" spans="1:12" x14ac:dyDescent="0.2">
      <c r="A474" s="81"/>
      <c r="B474" s="53"/>
      <c r="C474" s="82" t="s">
        <v>677</v>
      </c>
      <c r="D474" s="82"/>
      <c r="E474" s="82"/>
      <c r="F474" s="83"/>
      <c r="G474" s="71">
        <f>Source!F125</f>
        <v>17.130132400000001</v>
      </c>
      <c r="H474" s="81"/>
      <c r="I474" s="81"/>
      <c r="J474" s="81"/>
      <c r="K474" s="81"/>
      <c r="L474" s="81"/>
    </row>
    <row r="475" spans="1:12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</row>
    <row r="476" spans="1:12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</row>
    <row r="477" spans="1:12" x14ac:dyDescent="0.2">
      <c r="A477" s="85"/>
      <c r="B477" s="56"/>
      <c r="C477" s="86" t="s">
        <v>711</v>
      </c>
      <c r="D477" s="86"/>
      <c r="E477" s="86"/>
      <c r="F477" s="86"/>
      <c r="G477" s="86"/>
      <c r="H477" s="86"/>
      <c r="I477" s="87"/>
      <c r="J477" s="85"/>
      <c r="K477" s="88"/>
      <c r="L477" s="87"/>
    </row>
    <row r="478" spans="1:12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</row>
    <row r="479" spans="1:12" x14ac:dyDescent="0.2">
      <c r="A479" s="79"/>
      <c r="B479" s="52"/>
      <c r="C479" s="65" t="s">
        <v>712</v>
      </c>
      <c r="D479" s="65"/>
      <c r="E479" s="65"/>
      <c r="F479" s="65"/>
      <c r="G479" s="65"/>
      <c r="H479" s="65"/>
      <c r="I479" s="72"/>
      <c r="J479" s="79"/>
      <c r="K479" s="80"/>
      <c r="L479" s="72">
        <f>L481+L496+L497</f>
        <v>394076.73</v>
      </c>
    </row>
    <row r="480" spans="1:12" x14ac:dyDescent="0.2">
      <c r="A480" s="81"/>
      <c r="B480" s="53"/>
      <c r="C480" s="82" t="s">
        <v>654</v>
      </c>
      <c r="D480" s="82"/>
      <c r="E480" s="82"/>
      <c r="F480" s="82"/>
      <c r="G480" s="82"/>
      <c r="H480" s="82"/>
      <c r="I480" s="69"/>
      <c r="J480" s="81"/>
      <c r="K480" s="68"/>
      <c r="L480" s="69"/>
    </row>
    <row r="481" spans="1:12" x14ac:dyDescent="0.2">
      <c r="A481" s="81"/>
      <c r="B481" s="53"/>
      <c r="C481" s="82" t="s">
        <v>713</v>
      </c>
      <c r="D481" s="82"/>
      <c r="E481" s="82"/>
      <c r="F481" s="82"/>
      <c r="G481" s="82"/>
      <c r="H481" s="82"/>
      <c r="I481" s="69"/>
      <c r="J481" s="81"/>
      <c r="K481" s="68"/>
      <c r="L481" s="69">
        <f>L483+L484+L490+L494</f>
        <v>298606.08000000002</v>
      </c>
    </row>
    <row r="482" spans="1:12" x14ac:dyDescent="0.2">
      <c r="A482" s="81"/>
      <c r="B482" s="53"/>
      <c r="C482" s="82" t="s">
        <v>654</v>
      </c>
      <c r="D482" s="82"/>
      <c r="E482" s="82"/>
      <c r="F482" s="82"/>
      <c r="G482" s="82"/>
      <c r="H482" s="82"/>
      <c r="I482" s="69"/>
      <c r="J482" s="81"/>
      <c r="K482" s="68"/>
      <c r="L482" s="69"/>
    </row>
    <row r="483" spans="1:12" x14ac:dyDescent="0.2">
      <c r="A483" s="81"/>
      <c r="B483" s="53"/>
      <c r="C483" s="82" t="s">
        <v>714</v>
      </c>
      <c r="D483" s="82"/>
      <c r="E483" s="82"/>
      <c r="F483" s="82"/>
      <c r="G483" s="82"/>
      <c r="H483" s="82"/>
      <c r="I483" s="69"/>
      <c r="J483" s="81"/>
      <c r="K483" s="68"/>
      <c r="L483" s="69">
        <f>SUMIF(CD43:CD475, 1, AR43:AR475)</f>
        <v>42048.600000000006</v>
      </c>
    </row>
    <row r="484" spans="1:12" hidden="1" x14ac:dyDescent="0.2">
      <c r="A484" s="81"/>
      <c r="B484" s="53"/>
      <c r="C484" s="82" t="s">
        <v>656</v>
      </c>
      <c r="D484" s="82"/>
      <c r="E484" s="82"/>
      <c r="F484" s="82"/>
      <c r="G484" s="82"/>
      <c r="H484" s="82"/>
      <c r="I484" s="69"/>
      <c r="J484" s="81"/>
      <c r="K484" s="68"/>
      <c r="L484" s="69">
        <f>L486+L489+L488</f>
        <v>38543.11</v>
      </c>
    </row>
    <row r="485" spans="1:12" hidden="1" x14ac:dyDescent="0.2">
      <c r="A485" s="81"/>
      <c r="B485" s="53"/>
      <c r="C485" s="82" t="s">
        <v>657</v>
      </c>
      <c r="D485" s="82"/>
      <c r="E485" s="82"/>
      <c r="F485" s="82"/>
      <c r="G485" s="82"/>
      <c r="H485" s="82"/>
      <c r="I485" s="69"/>
      <c r="J485" s="81"/>
      <c r="K485" s="68"/>
      <c r="L485" s="69"/>
    </row>
    <row r="486" spans="1:12" x14ac:dyDescent="0.2">
      <c r="A486" s="81"/>
      <c r="B486" s="53"/>
      <c r="C486" s="82" t="s">
        <v>656</v>
      </c>
      <c r="D486" s="82"/>
      <c r="E486" s="82"/>
      <c r="F486" s="82"/>
      <c r="G486" s="82"/>
      <c r="H486" s="82"/>
      <c r="I486" s="69"/>
      <c r="J486" s="81"/>
      <c r="K486" s="68"/>
      <c r="L486" s="69">
        <f>SUMIF(CD43:CD475, 1, AO43:AO475)</f>
        <v>27466.81</v>
      </c>
    </row>
    <row r="487" spans="1:12" hidden="1" x14ac:dyDescent="0.2">
      <c r="A487" s="81"/>
      <c r="B487" s="53"/>
      <c r="C487" s="82" t="s">
        <v>658</v>
      </c>
      <c r="D487" s="82"/>
      <c r="E487" s="82"/>
      <c r="F487" s="82"/>
      <c r="G487" s="82"/>
      <c r="H487" s="82"/>
      <c r="I487" s="69"/>
      <c r="J487" s="81"/>
      <c r="K487" s="68"/>
      <c r="L487" s="69"/>
    </row>
    <row r="488" spans="1:12" x14ac:dyDescent="0.2">
      <c r="A488" s="81"/>
      <c r="B488" s="53"/>
      <c r="C488" s="82" t="s">
        <v>678</v>
      </c>
      <c r="D488" s="82"/>
      <c r="E488" s="82"/>
      <c r="F488" s="82"/>
      <c r="G488" s="82"/>
      <c r="H488" s="82"/>
      <c r="I488" s="69"/>
      <c r="J488" s="81"/>
      <c r="K488" s="68"/>
      <c r="L488" s="69">
        <f>SUMIF(CD43:CD475, 1, AT43:AT475)</f>
        <v>11076.300000000001</v>
      </c>
    </row>
    <row r="489" spans="1:12" hidden="1" x14ac:dyDescent="0.2">
      <c r="A489" s="81"/>
      <c r="B489" s="53"/>
      <c r="C489" s="82" t="s">
        <v>659</v>
      </c>
      <c r="D489" s="82"/>
      <c r="E489" s="82"/>
      <c r="F489" s="82"/>
      <c r="G489" s="82"/>
      <c r="H489" s="82"/>
      <c r="I489" s="69"/>
      <c r="J489" s="81"/>
      <c r="K489" s="68"/>
      <c r="L489" s="69">
        <f>SUMIF(CD43:CD475, 1, AV43:AV475)</f>
        <v>0</v>
      </c>
    </row>
    <row r="490" spans="1:12" x14ac:dyDescent="0.2">
      <c r="A490" s="81"/>
      <c r="B490" s="53"/>
      <c r="C490" s="82" t="s">
        <v>660</v>
      </c>
      <c r="D490" s="82"/>
      <c r="E490" s="82"/>
      <c r="F490" s="82"/>
      <c r="G490" s="82"/>
      <c r="H490" s="82"/>
      <c r="I490" s="69"/>
      <c r="J490" s="81"/>
      <c r="K490" s="68"/>
      <c r="L490" s="69">
        <f>L492+L493</f>
        <v>218014.37000000002</v>
      </c>
    </row>
    <row r="491" spans="1:12" x14ac:dyDescent="0.2">
      <c r="A491" s="81"/>
      <c r="B491" s="53"/>
      <c r="C491" s="82" t="s">
        <v>657</v>
      </c>
      <c r="D491" s="82"/>
      <c r="E491" s="82"/>
      <c r="F491" s="82"/>
      <c r="G491" s="82"/>
      <c r="H491" s="82"/>
      <c r="I491" s="69"/>
      <c r="J491" s="81"/>
      <c r="K491" s="68"/>
      <c r="L491" s="69"/>
    </row>
    <row r="492" spans="1:12" x14ac:dyDescent="0.2">
      <c r="A492" s="81"/>
      <c r="B492" s="53"/>
      <c r="C492" s="82" t="s">
        <v>661</v>
      </c>
      <c r="D492" s="82"/>
      <c r="E492" s="82"/>
      <c r="F492" s="82"/>
      <c r="G492" s="82"/>
      <c r="H492" s="82"/>
      <c r="I492" s="69"/>
      <c r="J492" s="81"/>
      <c r="K492" s="68"/>
      <c r="L492" s="69">
        <f>SUMIF(CD43:CD475, 1, AW43:AW475)-SUMIF(CD43:CD475, 1, BK43:BK475)</f>
        <v>218014.37000000002</v>
      </c>
    </row>
    <row r="493" spans="1:12" hidden="1" x14ac:dyDescent="0.2">
      <c r="A493" s="81"/>
      <c r="B493" s="53"/>
      <c r="C493" s="82" t="s">
        <v>662</v>
      </c>
      <c r="D493" s="82"/>
      <c r="E493" s="82"/>
      <c r="F493" s="82"/>
      <c r="G493" s="82"/>
      <c r="H493" s="82"/>
      <c r="I493" s="69"/>
      <c r="J493" s="81"/>
      <c r="K493" s="68"/>
      <c r="L493" s="69">
        <f>SUMIF(CD43:CD475, 1, BC43:BC475)</f>
        <v>0</v>
      </c>
    </row>
    <row r="494" spans="1:12" hidden="1" x14ac:dyDescent="0.2">
      <c r="A494" s="81"/>
      <c r="B494" s="53"/>
      <c r="C494" s="82" t="s">
        <v>663</v>
      </c>
      <c r="D494" s="82"/>
      <c r="E494" s="82"/>
      <c r="F494" s="82"/>
      <c r="G494" s="82"/>
      <c r="H494" s="82"/>
      <c r="I494" s="69"/>
      <c r="J494" s="81"/>
      <c r="K494" s="68"/>
      <c r="L494" s="69">
        <f>SUMIF(CD43:CD475, 1, BB43:BB475)</f>
        <v>0</v>
      </c>
    </row>
    <row r="495" spans="1:12" x14ac:dyDescent="0.2">
      <c r="A495" s="81"/>
      <c r="B495" s="53"/>
      <c r="C495" s="82" t="s">
        <v>715</v>
      </c>
      <c r="D495" s="82"/>
      <c r="E495" s="82"/>
      <c r="F495" s="82"/>
      <c r="G495" s="82"/>
      <c r="H495" s="82"/>
      <c r="I495" s="69"/>
      <c r="J495" s="81"/>
      <c r="K495" s="68"/>
      <c r="L495" s="69">
        <f>SUMIF(CD43:CD475, 1, AR43:AR475)+SUMIF(CD43:CD475, 1, AT43:AT475)+SUMIF(CD43:CD475, 1, AV43:AV475)</f>
        <v>53124.900000000009</v>
      </c>
    </row>
    <row r="496" spans="1:12" x14ac:dyDescent="0.2">
      <c r="A496" s="81"/>
      <c r="B496" s="53"/>
      <c r="C496" s="82" t="s">
        <v>716</v>
      </c>
      <c r="D496" s="82"/>
      <c r="E496" s="82"/>
      <c r="F496" s="82"/>
      <c r="G496" s="82"/>
      <c r="H496" s="82"/>
      <c r="I496" s="69"/>
      <c r="J496" s="81"/>
      <c r="K496" s="68"/>
      <c r="L496" s="69">
        <f>SUMIF(CD43:CD475, 1, AZ43:AZ475)</f>
        <v>59376.619999999995</v>
      </c>
    </row>
    <row r="497" spans="1:12" x14ac:dyDescent="0.2">
      <c r="A497" s="81"/>
      <c r="B497" s="53"/>
      <c r="C497" s="82" t="s">
        <v>717</v>
      </c>
      <c r="D497" s="82"/>
      <c r="E497" s="82"/>
      <c r="F497" s="82"/>
      <c r="G497" s="82"/>
      <c r="H497" s="82"/>
      <c r="I497" s="69"/>
      <c r="J497" s="81"/>
      <c r="K497" s="68"/>
      <c r="L497" s="69">
        <f>SUMIF(CD43:CD475, 1, BA43:BA475)</f>
        <v>36094.03</v>
      </c>
    </row>
    <row r="498" spans="1:12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</row>
    <row r="499" spans="1:12" x14ac:dyDescent="0.2">
      <c r="A499" s="79"/>
      <c r="B499" s="52"/>
      <c r="C499" s="65" t="s">
        <v>718</v>
      </c>
      <c r="D499" s="65"/>
      <c r="E499" s="65"/>
      <c r="F499" s="65"/>
      <c r="G499" s="65"/>
      <c r="H499" s="65"/>
      <c r="I499" s="72"/>
      <c r="J499" s="79"/>
      <c r="K499" s="80"/>
      <c r="L499" s="72">
        <f>L501+L516+L517</f>
        <v>31343.73</v>
      </c>
    </row>
    <row r="500" spans="1:12" x14ac:dyDescent="0.2">
      <c r="A500" s="81"/>
      <c r="B500" s="53"/>
      <c r="C500" s="82" t="s">
        <v>654</v>
      </c>
      <c r="D500" s="82"/>
      <c r="E500" s="82"/>
      <c r="F500" s="82"/>
      <c r="G500" s="82"/>
      <c r="H500" s="82"/>
      <c r="I500" s="69"/>
      <c r="J500" s="81"/>
      <c r="K500" s="68"/>
      <c r="L500" s="69"/>
    </row>
    <row r="501" spans="1:12" x14ac:dyDescent="0.2">
      <c r="A501" s="81"/>
      <c r="B501" s="53"/>
      <c r="C501" s="82" t="s">
        <v>713</v>
      </c>
      <c r="D501" s="82"/>
      <c r="E501" s="82"/>
      <c r="F501" s="82"/>
      <c r="G501" s="82"/>
      <c r="H501" s="82"/>
      <c r="I501" s="69"/>
      <c r="J501" s="81"/>
      <c r="K501" s="68"/>
      <c r="L501" s="69">
        <f>L503+L504+L510+L514</f>
        <v>21446.11</v>
      </c>
    </row>
    <row r="502" spans="1:12" x14ac:dyDescent="0.2">
      <c r="A502" s="81"/>
      <c r="B502" s="53"/>
      <c r="C502" s="82" t="s">
        <v>654</v>
      </c>
      <c r="D502" s="82"/>
      <c r="E502" s="82"/>
      <c r="F502" s="82"/>
      <c r="G502" s="82"/>
      <c r="H502" s="82"/>
      <c r="I502" s="69"/>
      <c r="J502" s="81"/>
      <c r="K502" s="68"/>
      <c r="L502" s="69"/>
    </row>
    <row r="503" spans="1:12" x14ac:dyDescent="0.2">
      <c r="A503" s="81"/>
      <c r="B503" s="53"/>
      <c r="C503" s="82" t="s">
        <v>714</v>
      </c>
      <c r="D503" s="82"/>
      <c r="E503" s="82"/>
      <c r="F503" s="82"/>
      <c r="G503" s="82"/>
      <c r="H503" s="82"/>
      <c r="I503" s="69"/>
      <c r="J503" s="81"/>
      <c r="K503" s="68"/>
      <c r="L503" s="69">
        <f>SUMIF(CD43:CD497, 2, AR43:AR497)</f>
        <v>4549.9399999999996</v>
      </c>
    </row>
    <row r="504" spans="1:12" hidden="1" x14ac:dyDescent="0.2">
      <c r="A504" s="81"/>
      <c r="B504" s="53"/>
      <c r="C504" s="82" t="s">
        <v>656</v>
      </c>
      <c r="D504" s="82"/>
      <c r="E504" s="82"/>
      <c r="F504" s="82"/>
      <c r="G504" s="82"/>
      <c r="H504" s="82"/>
      <c r="I504" s="69"/>
      <c r="J504" s="81"/>
      <c r="K504" s="68"/>
      <c r="L504" s="69">
        <f>L506+L509+L508</f>
        <v>6171.3200000000006</v>
      </c>
    </row>
    <row r="505" spans="1:12" hidden="1" x14ac:dyDescent="0.2">
      <c r="A505" s="81"/>
      <c r="B505" s="53"/>
      <c r="C505" s="82" t="s">
        <v>657</v>
      </c>
      <c r="D505" s="82"/>
      <c r="E505" s="82"/>
      <c r="F505" s="82"/>
      <c r="G505" s="82"/>
      <c r="H505" s="82"/>
      <c r="I505" s="69"/>
      <c r="J505" s="81"/>
      <c r="K505" s="68"/>
      <c r="L505" s="69"/>
    </row>
    <row r="506" spans="1:12" x14ac:dyDescent="0.2">
      <c r="A506" s="81"/>
      <c r="B506" s="53"/>
      <c r="C506" s="82" t="s">
        <v>656</v>
      </c>
      <c r="D506" s="82"/>
      <c r="E506" s="82"/>
      <c r="F506" s="82"/>
      <c r="G506" s="82"/>
      <c r="H506" s="82"/>
      <c r="I506" s="69"/>
      <c r="J506" s="81"/>
      <c r="K506" s="68"/>
      <c r="L506" s="69">
        <f>SUMIF(CD43:CD497, 2, AO43:AO497)</f>
        <v>4649.1000000000004</v>
      </c>
    </row>
    <row r="507" spans="1:12" hidden="1" x14ac:dyDescent="0.2">
      <c r="A507" s="81"/>
      <c r="B507" s="53"/>
      <c r="C507" s="82" t="s">
        <v>658</v>
      </c>
      <c r="D507" s="82"/>
      <c r="E507" s="82"/>
      <c r="F507" s="82"/>
      <c r="G507" s="82"/>
      <c r="H507" s="82"/>
      <c r="I507" s="69"/>
      <c r="J507" s="81"/>
      <c r="K507" s="68"/>
      <c r="L507" s="69"/>
    </row>
    <row r="508" spans="1:12" x14ac:dyDescent="0.2">
      <c r="A508" s="81"/>
      <c r="B508" s="53"/>
      <c r="C508" s="82" t="s">
        <v>678</v>
      </c>
      <c r="D508" s="82"/>
      <c r="E508" s="82"/>
      <c r="F508" s="82"/>
      <c r="G508" s="82"/>
      <c r="H508" s="82"/>
      <c r="I508" s="69"/>
      <c r="J508" s="81"/>
      <c r="K508" s="68"/>
      <c r="L508" s="69">
        <f>SUMIF(CD43:CD497, 2, AT43:AT497)</f>
        <v>1522.22</v>
      </c>
    </row>
    <row r="509" spans="1:12" hidden="1" x14ac:dyDescent="0.2">
      <c r="A509" s="81"/>
      <c r="B509" s="53"/>
      <c r="C509" s="82" t="s">
        <v>659</v>
      </c>
      <c r="D509" s="82"/>
      <c r="E509" s="82"/>
      <c r="F509" s="82"/>
      <c r="G509" s="82"/>
      <c r="H509" s="82"/>
      <c r="I509" s="69"/>
      <c r="J509" s="81"/>
      <c r="K509" s="68"/>
      <c r="L509" s="69">
        <f>SUMIF(CD43:CD497, 2, AV43:AV497)</f>
        <v>0</v>
      </c>
    </row>
    <row r="510" spans="1:12" x14ac:dyDescent="0.2">
      <c r="A510" s="81"/>
      <c r="B510" s="53"/>
      <c r="C510" s="82" t="s">
        <v>660</v>
      </c>
      <c r="D510" s="82"/>
      <c r="E510" s="82"/>
      <c r="F510" s="82"/>
      <c r="G510" s="82"/>
      <c r="H510" s="82"/>
      <c r="I510" s="69"/>
      <c r="J510" s="81"/>
      <c r="K510" s="68"/>
      <c r="L510" s="69">
        <f>L512+L513</f>
        <v>10724.85</v>
      </c>
    </row>
    <row r="511" spans="1:12" x14ac:dyDescent="0.2">
      <c r="A511" s="81"/>
      <c r="B511" s="53"/>
      <c r="C511" s="82" t="s">
        <v>657</v>
      </c>
      <c r="D511" s="82"/>
      <c r="E511" s="82"/>
      <c r="F511" s="82"/>
      <c r="G511" s="82"/>
      <c r="H511" s="82"/>
      <c r="I511" s="69"/>
      <c r="J511" s="81"/>
      <c r="K511" s="68"/>
      <c r="L511" s="69"/>
    </row>
    <row r="512" spans="1:12" x14ac:dyDescent="0.2">
      <c r="A512" s="81"/>
      <c r="B512" s="53"/>
      <c r="C512" s="82" t="s">
        <v>661</v>
      </c>
      <c r="D512" s="82"/>
      <c r="E512" s="82"/>
      <c r="F512" s="82"/>
      <c r="G512" s="82"/>
      <c r="H512" s="82"/>
      <c r="I512" s="69"/>
      <c r="J512" s="81"/>
      <c r="K512" s="68"/>
      <c r="L512" s="69">
        <f>SUMIF(CD43:CD497, 2, AW43:AW497)-SUMIF(CD43:CD497, 2, BK43:BK497)</f>
        <v>10724.85</v>
      </c>
    </row>
    <row r="513" spans="1:12" hidden="1" x14ac:dyDescent="0.2">
      <c r="A513" s="81"/>
      <c r="B513" s="53"/>
      <c r="C513" s="82" t="s">
        <v>662</v>
      </c>
      <c r="D513" s="82"/>
      <c r="E513" s="82"/>
      <c r="F513" s="82"/>
      <c r="G513" s="82"/>
      <c r="H513" s="82"/>
      <c r="I513" s="69"/>
      <c r="J513" s="81"/>
      <c r="K513" s="68"/>
      <c r="L513" s="69">
        <f>SUMIF(CD43:CD497, 2, BC43:BC497)</f>
        <v>0</v>
      </c>
    </row>
    <row r="514" spans="1:12" hidden="1" x14ac:dyDescent="0.2">
      <c r="A514" s="81"/>
      <c r="B514" s="53"/>
      <c r="C514" s="82" t="s">
        <v>663</v>
      </c>
      <c r="D514" s="82"/>
      <c r="E514" s="82"/>
      <c r="F514" s="82"/>
      <c r="G514" s="82"/>
      <c r="H514" s="82"/>
      <c r="I514" s="69"/>
      <c r="J514" s="81"/>
      <c r="K514" s="68"/>
      <c r="L514" s="69">
        <f>SUMIF(CD43:CD497, 2, BB43:BB497)</f>
        <v>0</v>
      </c>
    </row>
    <row r="515" spans="1:12" x14ac:dyDescent="0.2">
      <c r="A515" s="81"/>
      <c r="B515" s="53"/>
      <c r="C515" s="82" t="s">
        <v>715</v>
      </c>
      <c r="D515" s="82"/>
      <c r="E515" s="82"/>
      <c r="F515" s="82"/>
      <c r="G515" s="82"/>
      <c r="H515" s="82"/>
      <c r="I515" s="69"/>
      <c r="J515" s="81"/>
      <c r="K515" s="68"/>
      <c r="L515" s="69">
        <f>SUMIF(CD43:CD497, 2, AR43:AR497)+SUMIF(CD43:CD497, 2, AT43:AT497)+SUMIF(CD43:CD497, 2, AV43:AV497)</f>
        <v>6072.16</v>
      </c>
    </row>
    <row r="516" spans="1:12" x14ac:dyDescent="0.2">
      <c r="A516" s="81"/>
      <c r="B516" s="53"/>
      <c r="C516" s="82" t="s">
        <v>716</v>
      </c>
      <c r="D516" s="82"/>
      <c r="E516" s="82"/>
      <c r="F516" s="82"/>
      <c r="G516" s="82"/>
      <c r="H516" s="82"/>
      <c r="I516" s="69"/>
      <c r="J516" s="81"/>
      <c r="K516" s="68"/>
      <c r="L516" s="69">
        <f>SUMIF(CD43:CD497, 2, AZ43:AZ497)</f>
        <v>6740.1</v>
      </c>
    </row>
    <row r="517" spans="1:12" x14ac:dyDescent="0.2">
      <c r="A517" s="81"/>
      <c r="B517" s="53"/>
      <c r="C517" s="82" t="s">
        <v>717</v>
      </c>
      <c r="D517" s="82"/>
      <c r="E517" s="82"/>
      <c r="F517" s="82"/>
      <c r="G517" s="82"/>
      <c r="H517" s="82"/>
      <c r="I517" s="69"/>
      <c r="J517" s="81"/>
      <c r="K517" s="68"/>
      <c r="L517" s="69">
        <f>SUMIF(CD43:CD497, 2, BA43:BA497)</f>
        <v>3157.52</v>
      </c>
    </row>
    <row r="518" spans="1:12" hidden="1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</row>
    <row r="519" spans="1:12" hidden="1" x14ac:dyDescent="0.2">
      <c r="A519" s="79"/>
      <c r="B519" s="52"/>
      <c r="C519" s="65" t="s">
        <v>719</v>
      </c>
      <c r="D519" s="65"/>
      <c r="E519" s="65"/>
      <c r="F519" s="65"/>
      <c r="G519" s="65"/>
      <c r="H519" s="65"/>
      <c r="I519" s="72"/>
      <c r="J519" s="79"/>
      <c r="K519" s="80"/>
      <c r="L519" s="72">
        <f>L521+L522</f>
        <v>0</v>
      </c>
    </row>
    <row r="520" spans="1:12" hidden="1" x14ac:dyDescent="0.2">
      <c r="A520" s="81"/>
      <c r="B520" s="53"/>
      <c r="C520" s="82" t="s">
        <v>654</v>
      </c>
      <c r="D520" s="82"/>
      <c r="E520" s="82"/>
      <c r="F520" s="82"/>
      <c r="G520" s="82"/>
      <c r="H520" s="82"/>
      <c r="I520" s="69"/>
      <c r="J520" s="81"/>
      <c r="K520" s="68"/>
      <c r="L520" s="69"/>
    </row>
    <row r="521" spans="1:12" hidden="1" x14ac:dyDescent="0.2">
      <c r="A521" s="81"/>
      <c r="B521" s="53"/>
      <c r="C521" s="82" t="s">
        <v>668</v>
      </c>
      <c r="D521" s="82"/>
      <c r="E521" s="82"/>
      <c r="F521" s="82"/>
      <c r="G521" s="82"/>
      <c r="H521" s="82"/>
      <c r="I521" s="69"/>
      <c r="J521" s="81"/>
      <c r="K521" s="68"/>
      <c r="L521" s="69">
        <f>SUMIF(CD43:CD517, 3, BK43:BK517)</f>
        <v>0</v>
      </c>
    </row>
    <row r="522" spans="1:12" hidden="1" x14ac:dyDescent="0.2">
      <c r="A522" s="81"/>
      <c r="B522" s="53"/>
      <c r="C522" s="82" t="s">
        <v>669</v>
      </c>
      <c r="D522" s="82"/>
      <c r="E522" s="82"/>
      <c r="F522" s="82"/>
      <c r="G522" s="82"/>
      <c r="H522" s="82"/>
      <c r="I522" s="69"/>
      <c r="J522" s="81"/>
      <c r="K522" s="68"/>
      <c r="L522" s="69">
        <f>SUMIF(CD43:CD517, 3, BD43:BD517)</f>
        <v>0</v>
      </c>
    </row>
    <row r="523" spans="1:12" hidden="1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</row>
    <row r="524" spans="1:12" hidden="1" x14ac:dyDescent="0.2">
      <c r="A524" s="79"/>
      <c r="B524" s="52"/>
      <c r="C524" s="65" t="s">
        <v>720</v>
      </c>
      <c r="D524" s="65"/>
      <c r="E524" s="65"/>
      <c r="F524" s="65"/>
      <c r="G524" s="65"/>
      <c r="H524" s="65"/>
      <c r="I524" s="72"/>
      <c r="J524" s="79"/>
      <c r="K524" s="80"/>
      <c r="L524" s="72">
        <f>L532+L547+L548+L526+L527+L528+L529</f>
        <v>0</v>
      </c>
    </row>
    <row r="525" spans="1:12" hidden="1" x14ac:dyDescent="0.2">
      <c r="A525" s="81"/>
      <c r="B525" s="53"/>
      <c r="C525" s="82" t="s">
        <v>654</v>
      </c>
      <c r="D525" s="82"/>
      <c r="E525" s="82"/>
      <c r="F525" s="82"/>
      <c r="G525" s="82"/>
      <c r="H525" s="82"/>
      <c r="I525" s="69"/>
      <c r="J525" s="81"/>
      <c r="K525" s="68"/>
      <c r="L525" s="69"/>
    </row>
    <row r="526" spans="1:12" hidden="1" x14ac:dyDescent="0.2">
      <c r="A526" s="81"/>
      <c r="B526" s="53"/>
      <c r="C526" s="82" t="s">
        <v>721</v>
      </c>
      <c r="D526" s="82"/>
      <c r="E526" s="82"/>
      <c r="F526" s="82"/>
      <c r="G526" s="82"/>
      <c r="H526" s="82"/>
      <c r="I526" s="69"/>
      <c r="J526" s="81"/>
      <c r="K526" s="68"/>
      <c r="L526" s="69"/>
    </row>
    <row r="527" spans="1:12" hidden="1" x14ac:dyDescent="0.2">
      <c r="A527" s="81"/>
      <c r="B527" s="53"/>
      <c r="C527" s="82" t="s">
        <v>721</v>
      </c>
      <c r="D527" s="82"/>
      <c r="E527" s="82"/>
      <c r="F527" s="82"/>
      <c r="G527" s="82"/>
      <c r="H527" s="82"/>
      <c r="I527" s="69"/>
      <c r="J527" s="81"/>
      <c r="K527" s="68"/>
      <c r="L527" s="69">
        <f>SUM(BQ43:BQ522)</f>
        <v>0</v>
      </c>
    </row>
    <row r="528" spans="1:12" hidden="1" x14ac:dyDescent="0.2">
      <c r="A528" s="81"/>
      <c r="B528" s="53"/>
      <c r="C528" s="82" t="s">
        <v>722</v>
      </c>
      <c r="D528" s="82"/>
      <c r="E528" s="82"/>
      <c r="F528" s="82"/>
      <c r="G528" s="82"/>
      <c r="H528" s="82"/>
      <c r="I528" s="69"/>
      <c r="J528" s="81"/>
      <c r="K528" s="68"/>
      <c r="L528" s="69">
        <f>SUMIF(CD43:CD522, 4, BB43:BB522)+SUMIF(CD43:CD522, 4, BC43:BC522)+SUMIF(CD43:CD522, 4, BD43:BD522)</f>
        <v>0</v>
      </c>
    </row>
    <row r="529" spans="1:12" hidden="1" x14ac:dyDescent="0.2">
      <c r="A529" s="81"/>
      <c r="B529" s="53"/>
      <c r="C529" s="82" t="s">
        <v>723</v>
      </c>
      <c r="D529" s="82"/>
      <c r="E529" s="82"/>
      <c r="F529" s="82"/>
      <c r="G529" s="82"/>
      <c r="H529" s="82"/>
      <c r="I529" s="69"/>
      <c r="J529" s="81"/>
      <c r="K529" s="68"/>
      <c r="L529" s="69">
        <f>SUM(BO43:BO522)</f>
        <v>0</v>
      </c>
    </row>
    <row r="530" spans="1:12" hidden="1" x14ac:dyDescent="0.2">
      <c r="A530" s="81"/>
      <c r="B530" s="53"/>
      <c r="C530" s="82" t="s">
        <v>724</v>
      </c>
      <c r="D530" s="82"/>
      <c r="E530" s="82"/>
      <c r="F530" s="82"/>
      <c r="G530" s="82"/>
      <c r="H530" s="82"/>
      <c r="I530" s="69"/>
      <c r="J530" s="81"/>
      <c r="K530" s="68"/>
      <c r="L530" s="69">
        <f>L532+L547+L548</f>
        <v>0</v>
      </c>
    </row>
    <row r="531" spans="1:12" hidden="1" x14ac:dyDescent="0.2">
      <c r="A531" s="81"/>
      <c r="B531" s="53"/>
      <c r="C531" s="82" t="s">
        <v>654</v>
      </c>
      <c r="D531" s="82"/>
      <c r="E531" s="82"/>
      <c r="F531" s="82"/>
      <c r="G531" s="82"/>
      <c r="H531" s="82"/>
      <c r="I531" s="69"/>
      <c r="J531" s="81"/>
      <c r="K531" s="68"/>
      <c r="L531" s="69"/>
    </row>
    <row r="532" spans="1:12" hidden="1" x14ac:dyDescent="0.2">
      <c r="A532" s="81"/>
      <c r="B532" s="53"/>
      <c r="C532" s="82" t="s">
        <v>713</v>
      </c>
      <c r="D532" s="82"/>
      <c r="E532" s="82"/>
      <c r="F532" s="82"/>
      <c r="G532" s="82"/>
      <c r="H532" s="82"/>
      <c r="I532" s="69"/>
      <c r="J532" s="81"/>
      <c r="K532" s="68"/>
      <c r="L532" s="69">
        <f>L534+L535+L541+L545</f>
        <v>0</v>
      </c>
    </row>
    <row r="533" spans="1:12" hidden="1" x14ac:dyDescent="0.2">
      <c r="A533" s="81"/>
      <c r="B533" s="53"/>
      <c r="C533" s="82" t="s">
        <v>654</v>
      </c>
      <c r="D533" s="82"/>
      <c r="E533" s="82"/>
      <c r="F533" s="82"/>
      <c r="G533" s="82"/>
      <c r="H533" s="82"/>
      <c r="I533" s="69"/>
      <c r="J533" s="81"/>
      <c r="K533" s="68"/>
      <c r="L533" s="69"/>
    </row>
    <row r="534" spans="1:12" hidden="1" x14ac:dyDescent="0.2">
      <c r="A534" s="81"/>
      <c r="B534" s="53"/>
      <c r="C534" s="82" t="s">
        <v>714</v>
      </c>
      <c r="D534" s="82"/>
      <c r="E534" s="82"/>
      <c r="F534" s="82"/>
      <c r="G534" s="82"/>
      <c r="H534" s="82"/>
      <c r="I534" s="69"/>
      <c r="J534" s="81"/>
      <c r="K534" s="68"/>
      <c r="L534" s="69">
        <f>SUMIF(CD43:CD522, 4, AR43:AR522)</f>
        <v>0</v>
      </c>
    </row>
    <row r="535" spans="1:12" hidden="1" x14ac:dyDescent="0.2">
      <c r="A535" s="81"/>
      <c r="B535" s="53"/>
      <c r="C535" s="82" t="s">
        <v>656</v>
      </c>
      <c r="D535" s="82"/>
      <c r="E535" s="82"/>
      <c r="F535" s="82"/>
      <c r="G535" s="82"/>
      <c r="H535" s="82"/>
      <c r="I535" s="69"/>
      <c r="J535" s="81"/>
      <c r="K535" s="68"/>
      <c r="L535" s="69">
        <f>L537+L540+L539</f>
        <v>0</v>
      </c>
    </row>
    <row r="536" spans="1:12" hidden="1" x14ac:dyDescent="0.2">
      <c r="A536" s="81"/>
      <c r="B536" s="53"/>
      <c r="C536" s="82" t="s">
        <v>657</v>
      </c>
      <c r="D536" s="82"/>
      <c r="E536" s="82"/>
      <c r="F536" s="82"/>
      <c r="G536" s="82"/>
      <c r="H536" s="82"/>
      <c r="I536" s="69"/>
      <c r="J536" s="81"/>
      <c r="K536" s="68"/>
      <c r="L536" s="69"/>
    </row>
    <row r="537" spans="1:12" hidden="1" x14ac:dyDescent="0.2">
      <c r="A537" s="81"/>
      <c r="B537" s="53"/>
      <c r="C537" s="82" t="s">
        <v>656</v>
      </c>
      <c r="D537" s="82"/>
      <c r="E537" s="82"/>
      <c r="F537" s="82"/>
      <c r="G537" s="82"/>
      <c r="H537" s="82"/>
      <c r="I537" s="69"/>
      <c r="J537" s="81"/>
      <c r="K537" s="68"/>
      <c r="L537" s="69">
        <f>SUMIF(CD43:CD522, 4, AO43:AO522)</f>
        <v>0</v>
      </c>
    </row>
    <row r="538" spans="1:12" hidden="1" x14ac:dyDescent="0.2">
      <c r="A538" s="81"/>
      <c r="B538" s="53"/>
      <c r="C538" s="82" t="s">
        <v>658</v>
      </c>
      <c r="D538" s="82"/>
      <c r="E538" s="82"/>
      <c r="F538" s="82"/>
      <c r="G538" s="82"/>
      <c r="H538" s="82"/>
      <c r="I538" s="69"/>
      <c r="J538" s="81"/>
      <c r="K538" s="68"/>
      <c r="L538" s="69"/>
    </row>
    <row r="539" spans="1:12" hidden="1" x14ac:dyDescent="0.2">
      <c r="A539" s="81"/>
      <c r="B539" s="53"/>
      <c r="C539" s="82" t="s">
        <v>678</v>
      </c>
      <c r="D539" s="82"/>
      <c r="E539" s="82"/>
      <c r="F539" s="82"/>
      <c r="G539" s="82"/>
      <c r="H539" s="82"/>
      <c r="I539" s="69"/>
      <c r="J539" s="81"/>
      <c r="K539" s="68"/>
      <c r="L539" s="69">
        <f>SUMIF(CD43:CD522, 4, AT43:AT522)</f>
        <v>0</v>
      </c>
    </row>
    <row r="540" spans="1:12" hidden="1" x14ac:dyDescent="0.2">
      <c r="A540" s="81"/>
      <c r="B540" s="53"/>
      <c r="C540" s="82" t="s">
        <v>659</v>
      </c>
      <c r="D540" s="82"/>
      <c r="E540" s="82"/>
      <c r="F540" s="82"/>
      <c r="G540" s="82"/>
      <c r="H540" s="82"/>
      <c r="I540" s="69"/>
      <c r="J540" s="81"/>
      <c r="K540" s="68"/>
      <c r="L540" s="69">
        <f>SUMIF(CD43:CD522, 4, AV43:AV522)</f>
        <v>0</v>
      </c>
    </row>
    <row r="541" spans="1:12" hidden="1" x14ac:dyDescent="0.2">
      <c r="A541" s="81"/>
      <c r="B541" s="53"/>
      <c r="C541" s="82" t="s">
        <v>660</v>
      </c>
      <c r="D541" s="82"/>
      <c r="E541" s="82"/>
      <c r="F541" s="82"/>
      <c r="G541" s="82"/>
      <c r="H541" s="82"/>
      <c r="I541" s="69"/>
      <c r="J541" s="81"/>
      <c r="K541" s="68"/>
      <c r="L541" s="69">
        <f>L543+L544</f>
        <v>0</v>
      </c>
    </row>
    <row r="542" spans="1:12" hidden="1" x14ac:dyDescent="0.2">
      <c r="A542" s="81"/>
      <c r="B542" s="53"/>
      <c r="C542" s="82" t="s">
        <v>657</v>
      </c>
      <c r="D542" s="82"/>
      <c r="E542" s="82"/>
      <c r="F542" s="82"/>
      <c r="G542" s="82"/>
      <c r="H542" s="82"/>
      <c r="I542" s="69"/>
      <c r="J542" s="81"/>
      <c r="K542" s="68"/>
      <c r="L542" s="69"/>
    </row>
    <row r="543" spans="1:12" hidden="1" x14ac:dyDescent="0.2">
      <c r="A543" s="81"/>
      <c r="B543" s="53"/>
      <c r="C543" s="82" t="s">
        <v>661</v>
      </c>
      <c r="D543" s="82"/>
      <c r="E543" s="82"/>
      <c r="F543" s="82"/>
      <c r="G543" s="82"/>
      <c r="H543" s="82"/>
      <c r="I543" s="69"/>
      <c r="J543" s="81"/>
      <c r="K543" s="68"/>
      <c r="L543" s="69">
        <f>SUMIF(CD43:CD522, 4, AW43:AW522)-SUMIF(CD43:CD522, 4, BK43:BK522)</f>
        <v>0</v>
      </c>
    </row>
    <row r="544" spans="1:12" hidden="1" x14ac:dyDescent="0.2">
      <c r="A544" s="81"/>
      <c r="B544" s="53"/>
      <c r="C544" s="82" t="s">
        <v>662</v>
      </c>
      <c r="D544" s="82"/>
      <c r="E544" s="82"/>
      <c r="F544" s="82"/>
      <c r="G544" s="82"/>
      <c r="H544" s="82"/>
      <c r="I544" s="69"/>
      <c r="J544" s="81"/>
      <c r="K544" s="68"/>
      <c r="L544" s="69">
        <f>SUMIF(CD43:CD522, 4, BC43:BC522)</f>
        <v>0</v>
      </c>
    </row>
    <row r="545" spans="1:12" hidden="1" x14ac:dyDescent="0.2">
      <c r="A545" s="81"/>
      <c r="B545" s="53"/>
      <c r="C545" s="82" t="s">
        <v>663</v>
      </c>
      <c r="D545" s="82"/>
      <c r="E545" s="82"/>
      <c r="F545" s="82"/>
      <c r="G545" s="82"/>
      <c r="H545" s="82"/>
      <c r="I545" s="69"/>
      <c r="J545" s="81"/>
      <c r="K545" s="68"/>
      <c r="L545" s="69">
        <f>SUMIF(CD43:CD522, 4, BB43:BB522)</f>
        <v>0</v>
      </c>
    </row>
    <row r="546" spans="1:12" hidden="1" x14ac:dyDescent="0.2">
      <c r="A546" s="81"/>
      <c r="B546" s="53"/>
      <c r="C546" s="82" t="s">
        <v>715</v>
      </c>
      <c r="D546" s="82"/>
      <c r="E546" s="82"/>
      <c r="F546" s="82"/>
      <c r="G546" s="82"/>
      <c r="H546" s="82"/>
      <c r="I546" s="69"/>
      <c r="J546" s="81"/>
      <c r="K546" s="68"/>
      <c r="L546" s="69">
        <f>SUMIF(CD43:CD522, 4, AR43:AR522)+SUMIF(CD43:CD522, 4, AT43:AT522)+SUMIF(CD43:CD522, 4, AV43:AV522)</f>
        <v>0</v>
      </c>
    </row>
    <row r="547" spans="1:12" hidden="1" x14ac:dyDescent="0.2">
      <c r="A547" s="81"/>
      <c r="B547" s="53"/>
      <c r="C547" s="82" t="s">
        <v>716</v>
      </c>
      <c r="D547" s="82"/>
      <c r="E547" s="82"/>
      <c r="F547" s="82"/>
      <c r="G547" s="82"/>
      <c r="H547" s="82"/>
      <c r="I547" s="69"/>
      <c r="J547" s="81"/>
      <c r="K547" s="68"/>
      <c r="L547" s="69">
        <f>SUMIF(CD43:CD522, 4, AZ43:AZ522)</f>
        <v>0</v>
      </c>
    </row>
    <row r="548" spans="1:12" hidden="1" x14ac:dyDescent="0.2">
      <c r="A548" s="81"/>
      <c r="B548" s="53"/>
      <c r="C548" s="82" t="s">
        <v>717</v>
      </c>
      <c r="D548" s="82"/>
      <c r="E548" s="82"/>
      <c r="F548" s="82"/>
      <c r="G548" s="82"/>
      <c r="H548" s="82"/>
      <c r="I548" s="69"/>
      <c r="J548" s="81"/>
      <c r="K548" s="68"/>
      <c r="L548" s="69">
        <f>SUMIF(CD43:CD522, 4, BA43:BA522)</f>
        <v>0</v>
      </c>
    </row>
    <row r="549" spans="1:12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</row>
    <row r="550" spans="1:12" x14ac:dyDescent="0.2">
      <c r="A550" s="79"/>
      <c r="B550" s="52"/>
      <c r="C550" s="65" t="s">
        <v>725</v>
      </c>
      <c r="D550" s="65"/>
      <c r="E550" s="65"/>
      <c r="F550" s="65"/>
      <c r="G550" s="65"/>
      <c r="H550" s="65"/>
      <c r="I550" s="72"/>
      <c r="J550" s="79"/>
      <c r="K550" s="80"/>
      <c r="L550" s="72">
        <f>L479+L499+L519+L524</f>
        <v>425420.45999999996</v>
      </c>
    </row>
    <row r="551" spans="1:12" x14ac:dyDescent="0.2">
      <c r="A551" s="81"/>
      <c r="B551" s="53"/>
      <c r="C551" s="82" t="s">
        <v>654</v>
      </c>
      <c r="D551" s="82"/>
      <c r="E551" s="82"/>
      <c r="F551" s="82"/>
      <c r="G551" s="82"/>
      <c r="H551" s="82"/>
      <c r="I551" s="69"/>
      <c r="J551" s="81"/>
      <c r="K551" s="68"/>
      <c r="L551" s="69"/>
    </row>
    <row r="552" spans="1:12" x14ac:dyDescent="0.2">
      <c r="A552" s="81"/>
      <c r="B552" s="53"/>
      <c r="C552" s="82" t="s">
        <v>713</v>
      </c>
      <c r="D552" s="82"/>
      <c r="E552" s="82"/>
      <c r="F552" s="82"/>
      <c r="G552" s="82"/>
      <c r="H552" s="82"/>
      <c r="I552" s="69"/>
      <c r="J552" s="81"/>
      <c r="K552" s="68"/>
      <c r="L552" s="69">
        <f>L554+L555+L561+L565</f>
        <v>320052.19000000006</v>
      </c>
    </row>
    <row r="553" spans="1:12" x14ac:dyDescent="0.2">
      <c r="A553" s="81"/>
      <c r="B553" s="53"/>
      <c r="C553" s="82" t="s">
        <v>654</v>
      </c>
      <c r="D553" s="82"/>
      <c r="E553" s="82"/>
      <c r="F553" s="82"/>
      <c r="G553" s="82"/>
      <c r="H553" s="82"/>
      <c r="I553" s="69"/>
      <c r="J553" s="81"/>
      <c r="K553" s="68"/>
      <c r="L553" s="69"/>
    </row>
    <row r="554" spans="1:12" x14ac:dyDescent="0.2">
      <c r="A554" s="81"/>
      <c r="B554" s="53"/>
      <c r="C554" s="82" t="s">
        <v>714</v>
      </c>
      <c r="D554" s="82"/>
      <c r="E554" s="82"/>
      <c r="F554" s="82"/>
      <c r="G554" s="82"/>
      <c r="H554" s="82"/>
      <c r="I554" s="69"/>
      <c r="J554" s="81"/>
      <c r="K554" s="68"/>
      <c r="L554" s="69">
        <f>SUM(AR43:AR548)</f>
        <v>46598.540000000008</v>
      </c>
    </row>
    <row r="555" spans="1:12" hidden="1" x14ac:dyDescent="0.2">
      <c r="A555" s="81"/>
      <c r="B555" s="53"/>
      <c r="C555" s="82" t="s">
        <v>656</v>
      </c>
      <c r="D555" s="82"/>
      <c r="E555" s="82"/>
      <c r="F555" s="82"/>
      <c r="G555" s="82"/>
      <c r="H555" s="82"/>
      <c r="I555" s="69"/>
      <c r="J555" s="81"/>
      <c r="K555" s="68"/>
      <c r="L555" s="69">
        <f>L557+L560+L559</f>
        <v>44714.43</v>
      </c>
    </row>
    <row r="556" spans="1:12" hidden="1" x14ac:dyDescent="0.2">
      <c r="A556" s="81"/>
      <c r="B556" s="53"/>
      <c r="C556" s="82" t="s">
        <v>657</v>
      </c>
      <c r="D556" s="82"/>
      <c r="E556" s="82"/>
      <c r="F556" s="82"/>
      <c r="G556" s="82"/>
      <c r="H556" s="82"/>
      <c r="I556" s="69"/>
      <c r="J556" s="81"/>
      <c r="K556" s="68"/>
      <c r="L556" s="69"/>
    </row>
    <row r="557" spans="1:12" x14ac:dyDescent="0.2">
      <c r="A557" s="81"/>
      <c r="B557" s="53"/>
      <c r="C557" s="82" t="s">
        <v>656</v>
      </c>
      <c r="D557" s="82"/>
      <c r="E557" s="82"/>
      <c r="F557" s="82"/>
      <c r="G557" s="82"/>
      <c r="H557" s="82"/>
      <c r="I557" s="69"/>
      <c r="J557" s="81"/>
      <c r="K557" s="68"/>
      <c r="L557" s="69">
        <f>SUM(AO43:AO548)</f>
        <v>32115.91</v>
      </c>
    </row>
    <row r="558" spans="1:12" hidden="1" x14ac:dyDescent="0.2">
      <c r="A558" s="81"/>
      <c r="B558" s="53"/>
      <c r="C558" s="82" t="s">
        <v>658</v>
      </c>
      <c r="D558" s="82"/>
      <c r="E558" s="82"/>
      <c r="F558" s="82"/>
      <c r="G558" s="82"/>
      <c r="H558" s="82"/>
      <c r="I558" s="69"/>
      <c r="J558" s="81"/>
      <c r="K558" s="68"/>
      <c r="L558" s="69"/>
    </row>
    <row r="559" spans="1:12" x14ac:dyDescent="0.2">
      <c r="A559" s="81"/>
      <c r="B559" s="53"/>
      <c r="C559" s="82" t="s">
        <v>678</v>
      </c>
      <c r="D559" s="82"/>
      <c r="E559" s="82"/>
      <c r="F559" s="82"/>
      <c r="G559" s="82"/>
      <c r="H559" s="82"/>
      <c r="I559" s="69"/>
      <c r="J559" s="81"/>
      <c r="K559" s="68"/>
      <c r="L559" s="69">
        <f>SUM(AT43:AT548)</f>
        <v>12598.519999999999</v>
      </c>
    </row>
    <row r="560" spans="1:12" hidden="1" x14ac:dyDescent="0.2">
      <c r="A560" s="81"/>
      <c r="B560" s="53"/>
      <c r="C560" s="82" t="s">
        <v>659</v>
      </c>
      <c r="D560" s="82"/>
      <c r="E560" s="82"/>
      <c r="F560" s="82"/>
      <c r="G560" s="82"/>
      <c r="H560" s="82"/>
      <c r="I560" s="69"/>
      <c r="J560" s="81"/>
      <c r="K560" s="68"/>
      <c r="L560" s="69">
        <f>SUM(AV43:AV548)</f>
        <v>0</v>
      </c>
    </row>
    <row r="561" spans="1:12" x14ac:dyDescent="0.2">
      <c r="A561" s="81"/>
      <c r="B561" s="53"/>
      <c r="C561" s="82" t="s">
        <v>660</v>
      </c>
      <c r="D561" s="82"/>
      <c r="E561" s="82"/>
      <c r="F561" s="82"/>
      <c r="G561" s="82"/>
      <c r="H561" s="82"/>
      <c r="I561" s="69"/>
      <c r="J561" s="81"/>
      <c r="K561" s="68"/>
      <c r="L561" s="69">
        <f>L563+L564</f>
        <v>228739.22000000003</v>
      </c>
    </row>
    <row r="562" spans="1:12" x14ac:dyDescent="0.2">
      <c r="A562" s="81"/>
      <c r="B562" s="53"/>
      <c r="C562" s="82" t="s">
        <v>657</v>
      </c>
      <c r="D562" s="82"/>
      <c r="E562" s="82"/>
      <c r="F562" s="82"/>
      <c r="G562" s="82"/>
      <c r="H562" s="82"/>
      <c r="I562" s="69"/>
      <c r="J562" s="81"/>
      <c r="K562" s="68"/>
      <c r="L562" s="69"/>
    </row>
    <row r="563" spans="1:12" x14ac:dyDescent="0.2">
      <c r="A563" s="81"/>
      <c r="B563" s="53"/>
      <c r="C563" s="82" t="s">
        <v>661</v>
      </c>
      <c r="D563" s="82"/>
      <c r="E563" s="82"/>
      <c r="F563" s="82"/>
      <c r="G563" s="82"/>
      <c r="H563" s="82"/>
      <c r="I563" s="69"/>
      <c r="J563" s="81"/>
      <c r="K563" s="68"/>
      <c r="L563" s="69">
        <f>SUM(AW43:AW548)-SUM(BK43:BK548)</f>
        <v>228739.22000000003</v>
      </c>
    </row>
    <row r="564" spans="1:12" hidden="1" x14ac:dyDescent="0.2">
      <c r="A564" s="81"/>
      <c r="B564" s="53"/>
      <c r="C564" s="82" t="s">
        <v>662</v>
      </c>
      <c r="D564" s="82"/>
      <c r="E564" s="82"/>
      <c r="F564" s="82"/>
      <c r="G564" s="82"/>
      <c r="H564" s="82"/>
      <c r="I564" s="69"/>
      <c r="J564" s="81"/>
      <c r="K564" s="68"/>
      <c r="L564" s="69">
        <f>SUM(BC43:BC548)</f>
        <v>0</v>
      </c>
    </row>
    <row r="565" spans="1:12" hidden="1" x14ac:dyDescent="0.2">
      <c r="A565" s="81"/>
      <c r="B565" s="53"/>
      <c r="C565" s="82" t="s">
        <v>663</v>
      </c>
      <c r="D565" s="82"/>
      <c r="E565" s="82"/>
      <c r="F565" s="82"/>
      <c r="G565" s="82"/>
      <c r="H565" s="82"/>
      <c r="I565" s="69"/>
      <c r="J565" s="81"/>
      <c r="K565" s="68"/>
      <c r="L565" s="69">
        <f>SUM(BB43:BB548)</f>
        <v>0</v>
      </c>
    </row>
    <row r="566" spans="1:12" x14ac:dyDescent="0.2">
      <c r="A566" s="81"/>
      <c r="B566" s="53"/>
      <c r="C566" s="82" t="s">
        <v>664</v>
      </c>
      <c r="D566" s="82"/>
      <c r="E566" s="82"/>
      <c r="F566" s="82"/>
      <c r="G566" s="82"/>
      <c r="H566" s="82"/>
      <c r="I566" s="69"/>
      <c r="J566" s="81"/>
      <c r="K566" s="68"/>
      <c r="L566" s="69">
        <f>SUM(AR43:AR548)+SUM(AT43:AT548)+SUM(AV43:AV548)</f>
        <v>59197.060000000005</v>
      </c>
    </row>
    <row r="567" spans="1:12" x14ac:dyDescent="0.2">
      <c r="A567" s="81"/>
      <c r="B567" s="53"/>
      <c r="C567" s="82" t="s">
        <v>665</v>
      </c>
      <c r="D567" s="82"/>
      <c r="E567" s="82"/>
      <c r="F567" s="82"/>
      <c r="G567" s="82"/>
      <c r="H567" s="82"/>
      <c r="I567" s="69"/>
      <c r="J567" s="81"/>
      <c r="K567" s="68"/>
      <c r="L567" s="69">
        <f>SUM(AZ43:AZ548)</f>
        <v>66116.72</v>
      </c>
    </row>
    <row r="568" spans="1:12" x14ac:dyDescent="0.2">
      <c r="A568" s="81"/>
      <c r="B568" s="53"/>
      <c r="C568" s="82" t="s">
        <v>666</v>
      </c>
      <c r="D568" s="82"/>
      <c r="E568" s="82"/>
      <c r="F568" s="82"/>
      <c r="G568" s="82"/>
      <c r="H568" s="82"/>
      <c r="I568" s="69"/>
      <c r="J568" s="81"/>
      <c r="K568" s="68"/>
      <c r="L568" s="69">
        <f>SUM(BA43:BA548)</f>
        <v>39251.549999999996</v>
      </c>
    </row>
    <row r="569" spans="1:12" hidden="1" x14ac:dyDescent="0.2">
      <c r="A569" s="81"/>
      <c r="B569" s="53"/>
      <c r="C569" s="82" t="s">
        <v>726</v>
      </c>
      <c r="D569" s="82"/>
      <c r="E569" s="82"/>
      <c r="F569" s="82"/>
      <c r="G569" s="82"/>
      <c r="H569" s="82"/>
      <c r="I569" s="69"/>
      <c r="J569" s="81"/>
      <c r="K569" s="68"/>
      <c r="L569" s="69">
        <f>L571+L572</f>
        <v>0</v>
      </c>
    </row>
    <row r="570" spans="1:12" hidden="1" x14ac:dyDescent="0.2">
      <c r="A570" s="81"/>
      <c r="B570" s="53"/>
      <c r="C570" s="82" t="s">
        <v>654</v>
      </c>
      <c r="D570" s="82"/>
      <c r="E570" s="82"/>
      <c r="F570" s="82"/>
      <c r="G570" s="82"/>
      <c r="H570" s="82"/>
      <c r="I570" s="69"/>
      <c r="J570" s="81"/>
      <c r="K570" s="68"/>
      <c r="L570" s="69"/>
    </row>
    <row r="571" spans="1:12" hidden="1" x14ac:dyDescent="0.2">
      <c r="A571" s="81"/>
      <c r="B571" s="53"/>
      <c r="C571" s="82" t="s">
        <v>668</v>
      </c>
      <c r="D571" s="82"/>
      <c r="E571" s="82"/>
      <c r="F571" s="82"/>
      <c r="G571" s="82"/>
      <c r="H571" s="82"/>
      <c r="I571" s="69"/>
      <c r="J571" s="81"/>
      <c r="K571" s="68"/>
      <c r="L571" s="69">
        <f>SUM(BK43:BK548)</f>
        <v>0</v>
      </c>
    </row>
    <row r="572" spans="1:12" hidden="1" x14ac:dyDescent="0.2">
      <c r="A572" s="81"/>
      <c r="B572" s="53"/>
      <c r="C572" s="82" t="s">
        <v>669</v>
      </c>
      <c r="D572" s="82"/>
      <c r="E572" s="82"/>
      <c r="F572" s="82"/>
      <c r="G572" s="82"/>
      <c r="H572" s="82"/>
      <c r="I572" s="69"/>
      <c r="J572" s="81"/>
      <c r="K572" s="68"/>
      <c r="L572" s="69">
        <f>SUM(BD43:BD548)</f>
        <v>0</v>
      </c>
    </row>
    <row r="573" spans="1:12" hidden="1" x14ac:dyDescent="0.2">
      <c r="A573" s="81"/>
      <c r="B573" s="53"/>
      <c r="C573" s="82" t="s">
        <v>727</v>
      </c>
      <c r="D573" s="82"/>
      <c r="E573" s="82"/>
      <c r="F573" s="82"/>
      <c r="G573" s="82"/>
      <c r="H573" s="82"/>
      <c r="I573" s="69"/>
      <c r="J573" s="81"/>
      <c r="K573" s="68"/>
      <c r="L573" s="69">
        <f>L524</f>
        <v>0</v>
      </c>
    </row>
    <row r="574" spans="1:12" x14ac:dyDescent="0.2">
      <c r="A574" s="81"/>
      <c r="B574" s="53"/>
      <c r="C574" s="65" t="s">
        <v>673</v>
      </c>
      <c r="D574" s="82"/>
      <c r="E574" s="82"/>
      <c r="F574" s="82"/>
      <c r="G574" s="82"/>
      <c r="H574" s="82"/>
      <c r="I574" s="69"/>
      <c r="J574" s="81"/>
      <c r="K574" s="68"/>
      <c r="L574" s="69"/>
    </row>
    <row r="575" spans="1:12" hidden="1" x14ac:dyDescent="0.2">
      <c r="A575" s="81"/>
      <c r="B575" s="53"/>
      <c r="C575" s="82" t="s">
        <v>674</v>
      </c>
      <c r="D575" s="82"/>
      <c r="E575" s="82"/>
      <c r="F575" s="82"/>
      <c r="G575" s="82"/>
      <c r="H575" s="82"/>
      <c r="I575" s="69"/>
      <c r="J575" s="81"/>
      <c r="K575" s="68"/>
      <c r="L575" s="69">
        <f>SUM(AX43:AX548)</f>
        <v>0</v>
      </c>
    </row>
    <row r="576" spans="1:12" hidden="1" x14ac:dyDescent="0.2">
      <c r="A576" s="81"/>
      <c r="B576" s="53"/>
      <c r="C576" s="82" t="s">
        <v>675</v>
      </c>
      <c r="D576" s="82"/>
      <c r="E576" s="82"/>
      <c r="F576" s="82"/>
      <c r="G576" s="82"/>
      <c r="H576" s="82"/>
      <c r="I576" s="69"/>
      <c r="J576" s="81"/>
      <c r="K576" s="68"/>
      <c r="L576" s="69">
        <f>SUM(AY43:AY548)</f>
        <v>0</v>
      </c>
    </row>
    <row r="577" spans="1:12" x14ac:dyDescent="0.2">
      <c r="A577" s="81"/>
      <c r="B577" s="53"/>
      <c r="C577" s="82" t="s">
        <v>676</v>
      </c>
      <c r="D577" s="82"/>
      <c r="E577" s="82"/>
      <c r="F577" s="83"/>
      <c r="G577" s="71">
        <f>Source!F154</f>
        <v>123.9438</v>
      </c>
      <c r="H577" s="81"/>
      <c r="I577" s="81"/>
      <c r="J577" s="81"/>
      <c r="K577" s="81"/>
      <c r="L577" s="81"/>
    </row>
    <row r="578" spans="1:12" x14ac:dyDescent="0.2">
      <c r="A578" s="81"/>
      <c r="B578" s="53"/>
      <c r="C578" s="82" t="s">
        <v>677</v>
      </c>
      <c r="D578" s="82"/>
      <c r="E578" s="82"/>
      <c r="F578" s="83"/>
      <c r="G578" s="71">
        <f>Source!F155</f>
        <v>26.642112399999998</v>
      </c>
      <c r="H578" s="81"/>
      <c r="I578" s="81"/>
      <c r="J578" s="81"/>
      <c r="K578" s="81"/>
      <c r="L578" s="81"/>
    </row>
    <row r="579" spans="1:12" x14ac:dyDescent="0.2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</row>
    <row r="580" spans="1:12" x14ac:dyDescent="0.2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</row>
    <row r="581" spans="1:12" x14ac:dyDescent="0.2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</row>
    <row r="582" spans="1:12" ht="14.25" customHeight="1" x14ac:dyDescent="0.2">
      <c r="A582" s="57"/>
      <c r="B582" s="58" t="s">
        <v>728</v>
      </c>
      <c r="C582" s="89" t="str">
        <f>IF(Source!AC12&lt;&gt;"", Source!AC12," ")</f>
        <v xml:space="preserve"> </v>
      </c>
      <c r="D582" s="64"/>
      <c r="E582" s="64"/>
      <c r="F582" s="64"/>
      <c r="G582" s="64"/>
      <c r="H582" s="60" t="str">
        <f>IF(Source!AB12&lt;&gt;"", Source!AB12," ")</f>
        <v xml:space="preserve"> </v>
      </c>
      <c r="I582" s="59"/>
      <c r="J582" s="59"/>
      <c r="K582" s="59"/>
      <c r="L582" s="59"/>
    </row>
    <row r="583" spans="1:12" ht="14.25" customHeight="1" x14ac:dyDescent="0.2">
      <c r="A583" s="57"/>
      <c r="B583" s="34"/>
      <c r="C583" s="90" t="s">
        <v>729</v>
      </c>
      <c r="D583" s="90"/>
      <c r="E583" s="90"/>
      <c r="F583" s="90"/>
      <c r="G583" s="90"/>
      <c r="H583" s="59"/>
      <c r="I583" s="59"/>
      <c r="J583" s="59"/>
      <c r="K583" s="59"/>
      <c r="L583" s="59"/>
    </row>
    <row r="584" spans="1:12" ht="14.25" customHeight="1" x14ac:dyDescent="0.2">
      <c r="A584" s="57"/>
      <c r="B584" s="34"/>
      <c r="C584" s="14"/>
      <c r="D584" s="14"/>
      <c r="E584" s="14"/>
      <c r="F584" s="14"/>
      <c r="G584" s="14"/>
      <c r="H584" s="59"/>
      <c r="I584" s="59"/>
      <c r="J584" s="59"/>
      <c r="K584" s="59"/>
      <c r="L584" s="59"/>
    </row>
    <row r="585" spans="1:12" ht="14.25" customHeight="1" x14ac:dyDescent="0.2">
      <c r="A585" s="57"/>
      <c r="B585" s="58" t="s">
        <v>730</v>
      </c>
      <c r="C585" s="89" t="str">
        <f>IF(Source!AE12&lt;&gt;"", Source!AE12," ")</f>
        <v xml:space="preserve"> </v>
      </c>
      <c r="D585" s="64"/>
      <c r="E585" s="64"/>
      <c r="F585" s="64"/>
      <c r="G585" s="64"/>
      <c r="H585" s="60" t="str">
        <f>IF(Source!AD12&lt;&gt;"", Source!AD12," ")</f>
        <v xml:space="preserve"> </v>
      </c>
      <c r="I585" s="59"/>
      <c r="J585" s="59"/>
      <c r="K585" s="59"/>
      <c r="L585" s="59"/>
    </row>
    <row r="586" spans="1:12" ht="14.25" customHeight="1" x14ac:dyDescent="0.2">
      <c r="A586" s="14"/>
      <c r="B586" s="14"/>
      <c r="C586" s="90" t="s">
        <v>729</v>
      </c>
      <c r="D586" s="90"/>
      <c r="E586" s="90"/>
      <c r="F586" s="90"/>
      <c r="G586" s="90"/>
      <c r="H586" s="59"/>
      <c r="I586" s="59"/>
      <c r="J586" s="59"/>
      <c r="K586" s="59"/>
      <c r="L586" s="59"/>
    </row>
    <row r="587" spans="1:12" x14ac:dyDescent="0.2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</row>
    <row r="588" spans="1:12" x14ac:dyDescent="0.2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</row>
    <row r="589" spans="1:12" x14ac:dyDescent="0.2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</row>
    <row r="590" spans="1:12" x14ac:dyDescent="0.2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</row>
    <row r="591" spans="1:12" x14ac:dyDescent="0.2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</row>
    <row r="592" spans="1:12" x14ac:dyDescent="0.2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</row>
    <row r="593" spans="1:12" x14ac:dyDescent="0.2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</row>
    <row r="594" spans="1:12" x14ac:dyDescent="0.2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</row>
    <row r="595" spans="1:12" x14ac:dyDescent="0.2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</row>
    <row r="596" spans="1:12" x14ac:dyDescent="0.2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</row>
    <row r="597" spans="1:12" x14ac:dyDescent="0.2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</row>
    <row r="598" spans="1:12" x14ac:dyDescent="0.2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</row>
    <row r="599" spans="1:12" x14ac:dyDescent="0.2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</row>
    <row r="600" spans="1:12" x14ac:dyDescent="0.2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</row>
    <row r="601" spans="1:12" x14ac:dyDescent="0.2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</row>
  </sheetData>
  <mergeCells count="279">
    <mergeCell ref="C575:H575"/>
    <mergeCell ref="C576:H576"/>
    <mergeCell ref="C577:F577"/>
    <mergeCell ref="C578:F578"/>
    <mergeCell ref="C583:G583"/>
    <mergeCell ref="C586:G586"/>
    <mergeCell ref="C569:H569"/>
    <mergeCell ref="C570:H570"/>
    <mergeCell ref="C571:H571"/>
    <mergeCell ref="C572:H572"/>
    <mergeCell ref="C573:H573"/>
    <mergeCell ref="C574:H574"/>
    <mergeCell ref="C563:H563"/>
    <mergeCell ref="C564:H564"/>
    <mergeCell ref="C565:H565"/>
    <mergeCell ref="C566:H566"/>
    <mergeCell ref="C567:H567"/>
    <mergeCell ref="C568:H568"/>
    <mergeCell ref="C557:H557"/>
    <mergeCell ref="C558:H558"/>
    <mergeCell ref="C559:H559"/>
    <mergeCell ref="C560:H560"/>
    <mergeCell ref="C561:H561"/>
    <mergeCell ref="C562:H562"/>
    <mergeCell ref="C551:H551"/>
    <mergeCell ref="C552:H552"/>
    <mergeCell ref="C553:H553"/>
    <mergeCell ref="C554:H554"/>
    <mergeCell ref="C555:H555"/>
    <mergeCell ref="C556:H556"/>
    <mergeCell ref="C544:H544"/>
    <mergeCell ref="C545:H545"/>
    <mergeCell ref="C546:H546"/>
    <mergeCell ref="C547:H547"/>
    <mergeCell ref="C548:H548"/>
    <mergeCell ref="C550:H550"/>
    <mergeCell ref="C538:H538"/>
    <mergeCell ref="C539:H539"/>
    <mergeCell ref="C540:H540"/>
    <mergeCell ref="C541:H541"/>
    <mergeCell ref="C542:H542"/>
    <mergeCell ref="C543:H543"/>
    <mergeCell ref="C532:H532"/>
    <mergeCell ref="C533:H533"/>
    <mergeCell ref="C534:H534"/>
    <mergeCell ref="C535:H535"/>
    <mergeCell ref="C536:H536"/>
    <mergeCell ref="C537:H537"/>
    <mergeCell ref="C526:H526"/>
    <mergeCell ref="C527:H527"/>
    <mergeCell ref="C528:H528"/>
    <mergeCell ref="C529:H529"/>
    <mergeCell ref="C530:H530"/>
    <mergeCell ref="C531:H531"/>
    <mergeCell ref="C519:H519"/>
    <mergeCell ref="C520:H520"/>
    <mergeCell ref="C521:H521"/>
    <mergeCell ref="C522:H522"/>
    <mergeCell ref="C524:H524"/>
    <mergeCell ref="C525:H525"/>
    <mergeCell ref="C512:H512"/>
    <mergeCell ref="C513:H513"/>
    <mergeCell ref="C514:H514"/>
    <mergeCell ref="C515:H515"/>
    <mergeCell ref="C516:H516"/>
    <mergeCell ref="C517:H517"/>
    <mergeCell ref="C506:H506"/>
    <mergeCell ref="C507:H507"/>
    <mergeCell ref="C508:H508"/>
    <mergeCell ref="C509:H509"/>
    <mergeCell ref="C510:H510"/>
    <mergeCell ref="C511:H511"/>
    <mergeCell ref="C500:H500"/>
    <mergeCell ref="C501:H501"/>
    <mergeCell ref="C502:H502"/>
    <mergeCell ref="C503:H503"/>
    <mergeCell ref="C504:H504"/>
    <mergeCell ref="C505:H505"/>
    <mergeCell ref="C493:H493"/>
    <mergeCell ref="C494:H494"/>
    <mergeCell ref="C495:H495"/>
    <mergeCell ref="C496:H496"/>
    <mergeCell ref="C497:H497"/>
    <mergeCell ref="C499:H499"/>
    <mergeCell ref="C487:H487"/>
    <mergeCell ref="C488:H488"/>
    <mergeCell ref="C489:H489"/>
    <mergeCell ref="C490:H490"/>
    <mergeCell ref="C491:H491"/>
    <mergeCell ref="C492:H492"/>
    <mergeCell ref="C481:H481"/>
    <mergeCell ref="C482:H482"/>
    <mergeCell ref="C483:H483"/>
    <mergeCell ref="C484:H484"/>
    <mergeCell ref="C485:H485"/>
    <mergeCell ref="C486:H486"/>
    <mergeCell ref="C472:H472"/>
    <mergeCell ref="C473:F473"/>
    <mergeCell ref="C474:F474"/>
    <mergeCell ref="C477:H477"/>
    <mergeCell ref="C479:H479"/>
    <mergeCell ref="C480:H480"/>
    <mergeCell ref="C466:H466"/>
    <mergeCell ref="C467:H467"/>
    <mergeCell ref="C468:H468"/>
    <mergeCell ref="C469:H469"/>
    <mergeCell ref="C470:H470"/>
    <mergeCell ref="C471:H471"/>
    <mergeCell ref="C460:H460"/>
    <mergeCell ref="C461:H461"/>
    <mergeCell ref="C462:H462"/>
    <mergeCell ref="C463:H463"/>
    <mergeCell ref="C464:H464"/>
    <mergeCell ref="C465:H465"/>
    <mergeCell ref="C454:H454"/>
    <mergeCell ref="C455:H455"/>
    <mergeCell ref="C456:H456"/>
    <mergeCell ref="C457:H457"/>
    <mergeCell ref="C458:H458"/>
    <mergeCell ref="C459:H459"/>
    <mergeCell ref="C448:H448"/>
    <mergeCell ref="C449:H449"/>
    <mergeCell ref="C450:H450"/>
    <mergeCell ref="C451:H451"/>
    <mergeCell ref="C452:H452"/>
    <mergeCell ref="C453:H453"/>
    <mergeCell ref="C443:H443"/>
    <mergeCell ref="I443:J443"/>
    <mergeCell ref="K443:L443"/>
    <mergeCell ref="C445:H445"/>
    <mergeCell ref="C446:H446"/>
    <mergeCell ref="C447:H447"/>
    <mergeCell ref="C412:H412"/>
    <mergeCell ref="I412:J412"/>
    <mergeCell ref="K412:L412"/>
    <mergeCell ref="C429:H429"/>
    <mergeCell ref="I429:J429"/>
    <mergeCell ref="K429:L429"/>
    <mergeCell ref="C381:H381"/>
    <mergeCell ref="I381:J381"/>
    <mergeCell ref="K381:L381"/>
    <mergeCell ref="C399:H399"/>
    <mergeCell ref="I399:J399"/>
    <mergeCell ref="K399:L399"/>
    <mergeCell ref="C358:H358"/>
    <mergeCell ref="I358:J358"/>
    <mergeCell ref="K358:L358"/>
    <mergeCell ref="C360:H360"/>
    <mergeCell ref="I360:J360"/>
    <mergeCell ref="K360:L360"/>
    <mergeCell ref="C340:H340"/>
    <mergeCell ref="I340:J340"/>
    <mergeCell ref="K340:L340"/>
    <mergeCell ref="C355:H355"/>
    <mergeCell ref="I355:J355"/>
    <mergeCell ref="K355:L355"/>
    <mergeCell ref="C323:H323"/>
    <mergeCell ref="I323:J323"/>
    <mergeCell ref="K323:L323"/>
    <mergeCell ref="C337:H337"/>
    <mergeCell ref="I337:J337"/>
    <mergeCell ref="K337:L337"/>
    <mergeCell ref="C306:H306"/>
    <mergeCell ref="I306:J306"/>
    <mergeCell ref="K306:L306"/>
    <mergeCell ref="C320:H320"/>
    <mergeCell ref="I320:J320"/>
    <mergeCell ref="K320:L320"/>
    <mergeCell ref="C278:H278"/>
    <mergeCell ref="I278:J278"/>
    <mergeCell ref="K278:L278"/>
    <mergeCell ref="C304:H304"/>
    <mergeCell ref="I304:J304"/>
    <mergeCell ref="K304:L304"/>
    <mergeCell ref="C251:H251"/>
    <mergeCell ref="I251:J251"/>
    <mergeCell ref="K251:L251"/>
    <mergeCell ref="C253:H253"/>
    <mergeCell ref="I253:J253"/>
    <mergeCell ref="K253:L253"/>
    <mergeCell ref="C212:H212"/>
    <mergeCell ref="I212:J212"/>
    <mergeCell ref="K212:L212"/>
    <mergeCell ref="C229:H229"/>
    <mergeCell ref="I229:J229"/>
    <mergeCell ref="K229:L229"/>
    <mergeCell ref="C152:H152"/>
    <mergeCell ref="I152:J152"/>
    <mergeCell ref="K152:L152"/>
    <mergeCell ref="C180:H180"/>
    <mergeCell ref="I180:J180"/>
    <mergeCell ref="K180:L180"/>
    <mergeCell ref="A133:L133"/>
    <mergeCell ref="C148:H148"/>
    <mergeCell ref="I148:J148"/>
    <mergeCell ref="K148:L148"/>
    <mergeCell ref="C150:H150"/>
    <mergeCell ref="I150:J150"/>
    <mergeCell ref="K150:L150"/>
    <mergeCell ref="C125:H125"/>
    <mergeCell ref="C126:H126"/>
    <mergeCell ref="C127:H127"/>
    <mergeCell ref="C128:H128"/>
    <mergeCell ref="C129:F129"/>
    <mergeCell ref="C130:F130"/>
    <mergeCell ref="C119:H119"/>
    <mergeCell ref="C120:H120"/>
    <mergeCell ref="C121:H121"/>
    <mergeCell ref="C122:H122"/>
    <mergeCell ref="C123:H123"/>
    <mergeCell ref="C124:H124"/>
    <mergeCell ref="C113:H113"/>
    <mergeCell ref="C114:H114"/>
    <mergeCell ref="C115:H115"/>
    <mergeCell ref="C116:H116"/>
    <mergeCell ref="C117:H117"/>
    <mergeCell ref="C118:H118"/>
    <mergeCell ref="C107:H107"/>
    <mergeCell ref="C108:H108"/>
    <mergeCell ref="C109:H109"/>
    <mergeCell ref="C110:H110"/>
    <mergeCell ref="C111:H111"/>
    <mergeCell ref="C112:H112"/>
    <mergeCell ref="C101:H101"/>
    <mergeCell ref="C102:H102"/>
    <mergeCell ref="C103:H103"/>
    <mergeCell ref="C104:H104"/>
    <mergeCell ref="C105:H105"/>
    <mergeCell ref="C106:H106"/>
    <mergeCell ref="C90:H90"/>
    <mergeCell ref="I90:J90"/>
    <mergeCell ref="K90:L90"/>
    <mergeCell ref="C99:H99"/>
    <mergeCell ref="I99:J99"/>
    <mergeCell ref="K99:L99"/>
    <mergeCell ref="C64:H64"/>
    <mergeCell ref="I64:J64"/>
    <mergeCell ref="K64:L64"/>
    <mergeCell ref="C79:H79"/>
    <mergeCell ref="I79:J79"/>
    <mergeCell ref="K79:L79"/>
    <mergeCell ref="E37:G40"/>
    <mergeCell ref="H37:L40"/>
    <mergeCell ref="A44:L44"/>
    <mergeCell ref="C55:H55"/>
    <mergeCell ref="I55:J55"/>
    <mergeCell ref="K55:L55"/>
    <mergeCell ref="C35:D35"/>
    <mergeCell ref="C36:D36"/>
    <mergeCell ref="A37:A41"/>
    <mergeCell ref="B37:B41"/>
    <mergeCell ref="C37:C41"/>
    <mergeCell ref="D37:D41"/>
    <mergeCell ref="A23:L23"/>
    <mergeCell ref="C26:L26"/>
    <mergeCell ref="C27:L27"/>
    <mergeCell ref="C30:D30"/>
    <mergeCell ref="C33:D33"/>
    <mergeCell ref="C34:D34"/>
    <mergeCell ref="A16:L16"/>
    <mergeCell ref="A18:L18"/>
    <mergeCell ref="A19:L19"/>
    <mergeCell ref="A21:L21"/>
    <mergeCell ref="A22:L22"/>
    <mergeCell ref="A14:L15"/>
    <mergeCell ref="A9:E9"/>
    <mergeCell ref="F9:L9"/>
    <mergeCell ref="A11:E11"/>
    <mergeCell ref="F11:L11"/>
    <mergeCell ref="A12:E12"/>
    <mergeCell ref="F12:L12"/>
    <mergeCell ref="A3:E3"/>
    <mergeCell ref="F3:L3"/>
    <mergeCell ref="A5:E5"/>
    <mergeCell ref="F5:L5"/>
    <mergeCell ref="A7:E7"/>
    <mergeCell ref="F7:L7"/>
    <mergeCell ref="A1:E1"/>
    <mergeCell ref="F1:L1"/>
  </mergeCells>
  <pageMargins left="0.4" right="0.2" top="0.2" bottom="0.4" header="0.2" footer="0.2"/>
  <pageSetup paperSize="9" scale="70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3"/>
  <sheetViews>
    <sheetView workbookViewId="0">
      <selection activeCell="A229" sqref="A229:AX229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33" x14ac:dyDescent="0.2">
      <c r="A12" s="1">
        <v>1</v>
      </c>
      <c r="B12" s="1">
        <v>227</v>
      </c>
      <c r="C12" s="1">
        <v>0</v>
      </c>
      <c r="D12" s="1">
        <f>ROW(A162)</f>
        <v>162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>
        <v>0</v>
      </c>
      <c r="M12" s="1">
        <v>523</v>
      </c>
      <c r="N12" s="1"/>
      <c r="O12" s="1">
        <v>0</v>
      </c>
      <c r="P12" s="1">
        <v>0</v>
      </c>
      <c r="Q12" s="1">
        <v>7</v>
      </c>
      <c r="R12" s="1">
        <v>0</v>
      </c>
      <c r="S12" s="1"/>
      <c r="T12" s="1">
        <v>4</v>
      </c>
      <c r="U12" s="1" t="s">
        <v>3</v>
      </c>
      <c r="V12" s="1">
        <v>0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1"/>
      <c r="AL12" s="1" t="s">
        <v>3</v>
      </c>
      <c r="AM12" s="1" t="s">
        <v>3</v>
      </c>
      <c r="AN12" s="1" t="s">
        <v>3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3</v>
      </c>
      <c r="AY12" s="1" t="s">
        <v>3</v>
      </c>
      <c r="AZ12" s="1" t="s">
        <v>3</v>
      </c>
      <c r="BA12" s="1"/>
      <c r="BB12" s="1">
        <v>0</v>
      </c>
      <c r="BC12" s="1"/>
      <c r="BD12" s="1"/>
      <c r="BE12" s="1"/>
      <c r="BF12" s="1"/>
      <c r="BG12" s="1"/>
      <c r="BH12" s="1" t="s">
        <v>6</v>
      </c>
      <c r="BI12" s="1" t="s">
        <v>7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8</v>
      </c>
      <c r="BZ12" s="1" t="s">
        <v>9</v>
      </c>
      <c r="CA12" s="1" t="s">
        <v>10</v>
      </c>
      <c r="CB12" s="1" t="s">
        <v>10</v>
      </c>
      <c r="CC12" s="1" t="s">
        <v>10</v>
      </c>
      <c r="CD12" s="1" t="s">
        <v>10</v>
      </c>
      <c r="CE12" s="1" t="s">
        <v>11</v>
      </c>
      <c r="CF12" s="1">
        <v>0</v>
      </c>
      <c r="CG12" s="1">
        <v>0</v>
      </c>
      <c r="CH12" s="1">
        <v>487096328</v>
      </c>
      <c r="CI12" s="1" t="s">
        <v>3</v>
      </c>
      <c r="CJ12" s="1" t="s">
        <v>3</v>
      </c>
      <c r="CK12" s="1">
        <v>19</v>
      </c>
      <c r="CL12" s="1"/>
      <c r="CM12" s="1"/>
      <c r="CN12" s="1"/>
      <c r="CO12" s="1"/>
      <c r="CP12" s="1"/>
      <c r="CQ12" s="1" t="s">
        <v>12</v>
      </c>
      <c r="CR12" s="1" t="s">
        <v>13</v>
      </c>
      <c r="CS12" s="1">
        <v>46248</v>
      </c>
      <c r="CT12" s="1">
        <v>570</v>
      </c>
      <c r="CU12" s="1">
        <v>19</v>
      </c>
      <c r="CV12" s="1" t="s">
        <v>589</v>
      </c>
      <c r="CW12" s="1"/>
      <c r="CX12" s="1"/>
      <c r="CY12" s="1">
        <v>0</v>
      </c>
      <c r="CZ12" s="1" t="s">
        <v>3</v>
      </c>
      <c r="DA12" s="1" t="s">
        <v>3</v>
      </c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3">
        <v>52</v>
      </c>
      <c r="B18" s="3">
        <f t="shared" ref="B18:G18" si="0">B162</f>
        <v>227</v>
      </c>
      <c r="C18" s="3">
        <f t="shared" si="0"/>
        <v>1</v>
      </c>
      <c r="D18" s="3">
        <f t="shared" si="0"/>
        <v>12</v>
      </c>
      <c r="E18" s="3">
        <f t="shared" si="0"/>
        <v>0</v>
      </c>
      <c r="F18" s="3" t="str">
        <f t="shared" si="0"/>
        <v>Новый объект_(Копия)_(Копия)_(Копия)_(Копия)_(Копия)_(Копия)</v>
      </c>
      <c r="G18" s="3" t="str">
        <f t="shared" si="0"/>
        <v>Газопровод низкого давления к жилому дому,расположенному по адресу: Пензенская область,Лопатинский район,Старовершаутский сельсовет</v>
      </c>
      <c r="H18" s="3"/>
      <c r="I18" s="3"/>
      <c r="J18" s="3"/>
      <c r="K18" s="3"/>
      <c r="L18" s="3"/>
      <c r="M18" s="3"/>
      <c r="N18" s="3"/>
      <c r="O18" s="3">
        <f t="shared" ref="O18:AT18" si="1">O162</f>
        <v>320052.19</v>
      </c>
      <c r="P18" s="3">
        <f t="shared" si="1"/>
        <v>228739.22</v>
      </c>
      <c r="Q18" s="3">
        <f t="shared" si="1"/>
        <v>32115.91</v>
      </c>
      <c r="R18" s="3">
        <f t="shared" si="1"/>
        <v>12598.52</v>
      </c>
      <c r="S18" s="3">
        <f t="shared" si="1"/>
        <v>46598.54</v>
      </c>
      <c r="T18" s="3">
        <f t="shared" si="1"/>
        <v>0</v>
      </c>
      <c r="U18" s="3">
        <f t="shared" si="1"/>
        <v>123.94379999999998</v>
      </c>
      <c r="V18" s="3">
        <f t="shared" si="1"/>
        <v>26.642112400000002</v>
      </c>
      <c r="W18" s="3">
        <f t="shared" si="1"/>
        <v>0</v>
      </c>
      <c r="X18" s="3">
        <f t="shared" si="1"/>
        <v>66116.72</v>
      </c>
      <c r="Y18" s="3">
        <f t="shared" si="1"/>
        <v>39251.550000000003</v>
      </c>
      <c r="Z18" s="3">
        <f t="shared" si="1"/>
        <v>0</v>
      </c>
      <c r="AA18" s="3">
        <f t="shared" si="1"/>
        <v>0</v>
      </c>
      <c r="AB18" s="3">
        <f t="shared" si="1"/>
        <v>0</v>
      </c>
      <c r="AC18" s="3">
        <f t="shared" si="1"/>
        <v>0</v>
      </c>
      <c r="AD18" s="3">
        <f t="shared" si="1"/>
        <v>0</v>
      </c>
      <c r="AE18" s="3">
        <f t="shared" si="1"/>
        <v>0</v>
      </c>
      <c r="AF18" s="3">
        <f t="shared" si="1"/>
        <v>0</v>
      </c>
      <c r="AG18" s="3">
        <f t="shared" si="1"/>
        <v>0</v>
      </c>
      <c r="AH18" s="3">
        <f t="shared" si="1"/>
        <v>0</v>
      </c>
      <c r="AI18" s="3">
        <f t="shared" si="1"/>
        <v>0</v>
      </c>
      <c r="AJ18" s="3">
        <f t="shared" si="1"/>
        <v>0</v>
      </c>
      <c r="AK18" s="3">
        <f t="shared" si="1"/>
        <v>0</v>
      </c>
      <c r="AL18" s="3">
        <f t="shared" si="1"/>
        <v>0</v>
      </c>
      <c r="AM18" s="3">
        <f t="shared" si="1"/>
        <v>0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0</v>
      </c>
      <c r="AR18" s="3">
        <f t="shared" si="1"/>
        <v>425420.46</v>
      </c>
      <c r="AS18" s="3">
        <f t="shared" si="1"/>
        <v>394076.73</v>
      </c>
      <c r="AT18" s="3">
        <f t="shared" si="1"/>
        <v>31343.73</v>
      </c>
      <c r="AU18" s="3">
        <f t="shared" ref="AU18:BZ18" si="2">AU162</f>
        <v>0</v>
      </c>
      <c r="AV18" s="3">
        <f t="shared" si="2"/>
        <v>228739.22</v>
      </c>
      <c r="AW18" s="3">
        <f t="shared" si="2"/>
        <v>228739.22</v>
      </c>
      <c r="AX18" s="3">
        <f t="shared" si="2"/>
        <v>0</v>
      </c>
      <c r="AY18" s="3">
        <f t="shared" si="2"/>
        <v>228739.22</v>
      </c>
      <c r="AZ18" s="3">
        <f t="shared" si="2"/>
        <v>0</v>
      </c>
      <c r="BA18" s="3">
        <f t="shared" si="2"/>
        <v>0</v>
      </c>
      <c r="BB18" s="3">
        <f t="shared" si="2"/>
        <v>0</v>
      </c>
      <c r="BC18" s="3">
        <f t="shared" si="2"/>
        <v>0</v>
      </c>
      <c r="BD18" s="3">
        <f t="shared" si="2"/>
        <v>0</v>
      </c>
      <c r="BE18" s="3">
        <f t="shared" si="2"/>
        <v>0</v>
      </c>
      <c r="BF18" s="3">
        <f t="shared" si="2"/>
        <v>0</v>
      </c>
      <c r="BG18" s="3">
        <f t="shared" si="2"/>
        <v>0</v>
      </c>
      <c r="BH18" s="3">
        <f t="shared" si="2"/>
        <v>0</v>
      </c>
      <c r="BI18" s="3">
        <f t="shared" si="2"/>
        <v>0</v>
      </c>
      <c r="BJ18" s="3">
        <f t="shared" si="2"/>
        <v>0</v>
      </c>
      <c r="BK18" s="3">
        <f t="shared" si="2"/>
        <v>0</v>
      </c>
      <c r="BL18" s="3">
        <f t="shared" si="2"/>
        <v>0</v>
      </c>
      <c r="BM18" s="3">
        <f t="shared" si="2"/>
        <v>0</v>
      </c>
      <c r="BN18" s="3">
        <f t="shared" si="2"/>
        <v>0</v>
      </c>
      <c r="BO18" s="3">
        <f t="shared" si="2"/>
        <v>0</v>
      </c>
      <c r="BP18" s="3">
        <f t="shared" si="2"/>
        <v>0</v>
      </c>
      <c r="BQ18" s="3">
        <f t="shared" si="2"/>
        <v>0</v>
      </c>
      <c r="BR18" s="3">
        <f t="shared" si="2"/>
        <v>0</v>
      </c>
      <c r="BS18" s="3">
        <f t="shared" si="2"/>
        <v>0</v>
      </c>
      <c r="BT18" s="3">
        <f t="shared" si="2"/>
        <v>0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ref="CA18:DF18" si="3">CA162</f>
        <v>0</v>
      </c>
      <c r="CB18" s="3">
        <f t="shared" si="3"/>
        <v>0</v>
      </c>
      <c r="CC18" s="3">
        <f t="shared" si="3"/>
        <v>0</v>
      </c>
      <c r="CD18" s="3">
        <f t="shared" si="3"/>
        <v>0</v>
      </c>
      <c r="CE18" s="3">
        <f t="shared" si="3"/>
        <v>0</v>
      </c>
      <c r="CF18" s="3">
        <f t="shared" si="3"/>
        <v>0</v>
      </c>
      <c r="CG18" s="3">
        <f t="shared" si="3"/>
        <v>0</v>
      </c>
      <c r="CH18" s="3">
        <f t="shared" si="3"/>
        <v>0</v>
      </c>
      <c r="CI18" s="3">
        <f t="shared" si="3"/>
        <v>0</v>
      </c>
      <c r="CJ18" s="3">
        <f t="shared" si="3"/>
        <v>0</v>
      </c>
      <c r="CK18" s="3">
        <f t="shared" si="3"/>
        <v>0</v>
      </c>
      <c r="CL18" s="3">
        <f t="shared" si="3"/>
        <v>0</v>
      </c>
      <c r="CM18" s="3">
        <f t="shared" si="3"/>
        <v>0</v>
      </c>
      <c r="CN18" s="3">
        <f t="shared" si="3"/>
        <v>0</v>
      </c>
      <c r="CO18" s="3">
        <f t="shared" si="3"/>
        <v>0</v>
      </c>
      <c r="CP18" s="3">
        <f t="shared" si="3"/>
        <v>0</v>
      </c>
      <c r="CQ18" s="3">
        <f t="shared" si="3"/>
        <v>0</v>
      </c>
      <c r="CR18" s="3">
        <f t="shared" si="3"/>
        <v>0</v>
      </c>
      <c r="CS18" s="3">
        <f t="shared" si="3"/>
        <v>0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0</v>
      </c>
      <c r="DA18" s="3">
        <f t="shared" si="3"/>
        <v>0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0</v>
      </c>
      <c r="DG18" s="4">
        <f t="shared" ref="DG18:EL18" si="4">DG162</f>
        <v>0</v>
      </c>
      <c r="DH18" s="4">
        <f t="shared" si="4"/>
        <v>0</v>
      </c>
      <c r="DI18" s="4">
        <f t="shared" si="4"/>
        <v>0</v>
      </c>
      <c r="DJ18" s="4">
        <f t="shared" si="4"/>
        <v>0</v>
      </c>
      <c r="DK18" s="4">
        <f t="shared" si="4"/>
        <v>0</v>
      </c>
      <c r="DL18" s="4">
        <f t="shared" si="4"/>
        <v>0</v>
      </c>
      <c r="DM18" s="4">
        <f t="shared" si="4"/>
        <v>0</v>
      </c>
      <c r="DN18" s="4">
        <f t="shared" si="4"/>
        <v>0</v>
      </c>
      <c r="DO18" s="4">
        <f t="shared" si="4"/>
        <v>0</v>
      </c>
      <c r="DP18" s="4">
        <f t="shared" si="4"/>
        <v>0</v>
      </c>
      <c r="DQ18" s="4">
        <f t="shared" si="4"/>
        <v>0</v>
      </c>
      <c r="DR18" s="4">
        <f t="shared" si="4"/>
        <v>0</v>
      </c>
      <c r="DS18" s="4">
        <f t="shared" si="4"/>
        <v>0</v>
      </c>
      <c r="DT18" s="4">
        <f t="shared" si="4"/>
        <v>0</v>
      </c>
      <c r="DU18" s="4">
        <f t="shared" si="4"/>
        <v>0</v>
      </c>
      <c r="DV18" s="4">
        <f t="shared" si="4"/>
        <v>0</v>
      </c>
      <c r="DW18" s="4">
        <f t="shared" si="4"/>
        <v>0</v>
      </c>
      <c r="DX18" s="4">
        <f t="shared" si="4"/>
        <v>0</v>
      </c>
      <c r="DY18" s="4">
        <f t="shared" si="4"/>
        <v>0</v>
      </c>
      <c r="DZ18" s="4">
        <f t="shared" si="4"/>
        <v>0</v>
      </c>
      <c r="EA18" s="4">
        <f t="shared" si="4"/>
        <v>0</v>
      </c>
      <c r="EB18" s="4">
        <f t="shared" si="4"/>
        <v>0</v>
      </c>
      <c r="EC18" s="4">
        <f t="shared" si="4"/>
        <v>0</v>
      </c>
      <c r="ED18" s="4">
        <f t="shared" si="4"/>
        <v>0</v>
      </c>
      <c r="EE18" s="4">
        <f t="shared" si="4"/>
        <v>0</v>
      </c>
      <c r="EF18" s="4">
        <f t="shared" si="4"/>
        <v>0</v>
      </c>
      <c r="EG18" s="4">
        <f t="shared" si="4"/>
        <v>0</v>
      </c>
      <c r="EH18" s="4">
        <f t="shared" si="4"/>
        <v>0</v>
      </c>
      <c r="EI18" s="4">
        <f t="shared" si="4"/>
        <v>0</v>
      </c>
      <c r="EJ18" s="4">
        <f t="shared" si="4"/>
        <v>0</v>
      </c>
      <c r="EK18" s="4">
        <f t="shared" si="4"/>
        <v>0</v>
      </c>
      <c r="EL18" s="4">
        <f t="shared" si="4"/>
        <v>0</v>
      </c>
      <c r="EM18" s="4">
        <f t="shared" ref="EM18:FR18" si="5">EM162</f>
        <v>0</v>
      </c>
      <c r="EN18" s="4">
        <f t="shared" si="5"/>
        <v>0</v>
      </c>
      <c r="EO18" s="4">
        <f t="shared" si="5"/>
        <v>0</v>
      </c>
      <c r="EP18" s="4">
        <f t="shared" si="5"/>
        <v>0</v>
      </c>
      <c r="EQ18" s="4">
        <f t="shared" si="5"/>
        <v>0</v>
      </c>
      <c r="ER18" s="4">
        <f t="shared" si="5"/>
        <v>0</v>
      </c>
      <c r="ES18" s="4">
        <f t="shared" si="5"/>
        <v>0</v>
      </c>
      <c r="ET18" s="4">
        <f t="shared" si="5"/>
        <v>0</v>
      </c>
      <c r="EU18" s="4">
        <f t="shared" si="5"/>
        <v>0</v>
      </c>
      <c r="EV18" s="4">
        <f t="shared" si="5"/>
        <v>0</v>
      </c>
      <c r="EW18" s="4">
        <f t="shared" si="5"/>
        <v>0</v>
      </c>
      <c r="EX18" s="4">
        <f t="shared" si="5"/>
        <v>0</v>
      </c>
      <c r="EY18" s="4">
        <f t="shared" si="5"/>
        <v>0</v>
      </c>
      <c r="EZ18" s="4">
        <f t="shared" si="5"/>
        <v>0</v>
      </c>
      <c r="FA18" s="4">
        <f t="shared" si="5"/>
        <v>0</v>
      </c>
      <c r="FB18" s="4">
        <f t="shared" si="5"/>
        <v>0</v>
      </c>
      <c r="FC18" s="4">
        <f t="shared" si="5"/>
        <v>0</v>
      </c>
      <c r="FD18" s="4">
        <f t="shared" si="5"/>
        <v>0</v>
      </c>
      <c r="FE18" s="4">
        <f t="shared" si="5"/>
        <v>0</v>
      </c>
      <c r="FF18" s="4">
        <f t="shared" si="5"/>
        <v>0</v>
      </c>
      <c r="FG18" s="4">
        <f t="shared" si="5"/>
        <v>0</v>
      </c>
      <c r="FH18" s="4">
        <f t="shared" si="5"/>
        <v>0</v>
      </c>
      <c r="FI18" s="4">
        <f t="shared" si="5"/>
        <v>0</v>
      </c>
      <c r="FJ18" s="4">
        <f t="shared" si="5"/>
        <v>0</v>
      </c>
      <c r="FK18" s="4">
        <f t="shared" si="5"/>
        <v>0</v>
      </c>
      <c r="FL18" s="4">
        <f t="shared" si="5"/>
        <v>0</v>
      </c>
      <c r="FM18" s="4">
        <f t="shared" si="5"/>
        <v>0</v>
      </c>
      <c r="FN18" s="4">
        <f t="shared" si="5"/>
        <v>0</v>
      </c>
      <c r="FO18" s="4">
        <f t="shared" si="5"/>
        <v>0</v>
      </c>
      <c r="FP18" s="4">
        <f t="shared" si="5"/>
        <v>0</v>
      </c>
      <c r="FQ18" s="4">
        <f t="shared" si="5"/>
        <v>0</v>
      </c>
      <c r="FR18" s="4">
        <f t="shared" si="5"/>
        <v>0</v>
      </c>
      <c r="FS18" s="4">
        <f t="shared" ref="FS18:GX18" si="6">FS162</f>
        <v>0</v>
      </c>
      <c r="FT18" s="4">
        <f t="shared" si="6"/>
        <v>0</v>
      </c>
      <c r="FU18" s="4">
        <f t="shared" si="6"/>
        <v>0</v>
      </c>
      <c r="FV18" s="4">
        <f t="shared" si="6"/>
        <v>0</v>
      </c>
      <c r="FW18" s="4">
        <f t="shared" si="6"/>
        <v>0</v>
      </c>
      <c r="FX18" s="4">
        <f t="shared" si="6"/>
        <v>0</v>
      </c>
      <c r="FY18" s="4">
        <f t="shared" si="6"/>
        <v>0</v>
      </c>
      <c r="FZ18" s="4">
        <f t="shared" si="6"/>
        <v>0</v>
      </c>
      <c r="GA18" s="4">
        <f t="shared" si="6"/>
        <v>0</v>
      </c>
      <c r="GB18" s="4">
        <f t="shared" si="6"/>
        <v>0</v>
      </c>
      <c r="GC18" s="4">
        <f t="shared" si="6"/>
        <v>0</v>
      </c>
      <c r="GD18" s="4">
        <f t="shared" si="6"/>
        <v>0</v>
      </c>
      <c r="GE18" s="4">
        <f t="shared" si="6"/>
        <v>0</v>
      </c>
      <c r="GF18" s="4">
        <f t="shared" si="6"/>
        <v>0</v>
      </c>
      <c r="GG18" s="4">
        <f t="shared" si="6"/>
        <v>0</v>
      </c>
      <c r="GH18" s="4">
        <f t="shared" si="6"/>
        <v>0</v>
      </c>
      <c r="GI18" s="4">
        <f t="shared" si="6"/>
        <v>0</v>
      </c>
      <c r="GJ18" s="4">
        <f t="shared" si="6"/>
        <v>0</v>
      </c>
      <c r="GK18" s="4">
        <f t="shared" si="6"/>
        <v>0</v>
      </c>
      <c r="GL18" s="4">
        <f t="shared" si="6"/>
        <v>0</v>
      </c>
      <c r="GM18" s="4">
        <f t="shared" si="6"/>
        <v>0</v>
      </c>
      <c r="GN18" s="4">
        <f t="shared" si="6"/>
        <v>0</v>
      </c>
      <c r="GO18" s="4">
        <f t="shared" si="6"/>
        <v>0</v>
      </c>
      <c r="GP18" s="4">
        <f t="shared" si="6"/>
        <v>0</v>
      </c>
      <c r="GQ18" s="4">
        <f t="shared" si="6"/>
        <v>0</v>
      </c>
      <c r="GR18" s="4">
        <f t="shared" si="6"/>
        <v>0</v>
      </c>
      <c r="GS18" s="4">
        <f t="shared" si="6"/>
        <v>0</v>
      </c>
      <c r="GT18" s="4">
        <f t="shared" si="6"/>
        <v>0</v>
      </c>
      <c r="GU18" s="4">
        <f t="shared" si="6"/>
        <v>0</v>
      </c>
      <c r="GV18" s="4">
        <f t="shared" si="6"/>
        <v>0</v>
      </c>
      <c r="GW18" s="4">
        <f t="shared" si="6"/>
        <v>0</v>
      </c>
      <c r="GX18" s="4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ROW(A132)</f>
        <v>132</v>
      </c>
      <c r="E20" s="1"/>
      <c r="F20" s="1" t="s">
        <v>14</v>
      </c>
      <c r="G20" s="1" t="s">
        <v>15</v>
      </c>
      <c r="H20" s="1" t="s">
        <v>3</v>
      </c>
      <c r="I20" s="1">
        <v>0</v>
      </c>
      <c r="J20" s="1" t="s">
        <v>3</v>
      </c>
      <c r="K20" s="1">
        <v>-1</v>
      </c>
      <c r="L20" s="1" t="s">
        <v>14</v>
      </c>
      <c r="M20" s="1" t="s">
        <v>3</v>
      </c>
      <c r="N20" s="1"/>
      <c r="O20" s="1"/>
      <c r="P20" s="1"/>
      <c r="Q20" s="1"/>
      <c r="R20" s="1"/>
      <c r="S20" s="1">
        <v>0</v>
      </c>
      <c r="T20" s="1"/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55" x14ac:dyDescent="0.2">
      <c r="A22" s="3">
        <v>52</v>
      </c>
      <c r="B22" s="3">
        <f t="shared" ref="B22:G22" si="7">B132</f>
        <v>1</v>
      </c>
      <c r="C22" s="3">
        <f t="shared" si="7"/>
        <v>3</v>
      </c>
      <c r="D22" s="3">
        <f t="shared" si="7"/>
        <v>20</v>
      </c>
      <c r="E22" s="3">
        <f t="shared" si="7"/>
        <v>0</v>
      </c>
      <c r="F22" s="3" t="str">
        <f t="shared" si="7"/>
        <v>Новая локальная смета</v>
      </c>
      <c r="G22" s="3" t="str">
        <f t="shared" si="7"/>
        <v>Газопровод  низкого давленияя</v>
      </c>
      <c r="H22" s="3"/>
      <c r="I22" s="3"/>
      <c r="J22" s="3"/>
      <c r="K22" s="3"/>
      <c r="L22" s="3"/>
      <c r="M22" s="3"/>
      <c r="N22" s="3"/>
      <c r="O22" s="3">
        <f t="shared" ref="O22:AT22" si="8">O132</f>
        <v>320052.19</v>
      </c>
      <c r="P22" s="3">
        <f t="shared" si="8"/>
        <v>228739.22</v>
      </c>
      <c r="Q22" s="3">
        <f t="shared" si="8"/>
        <v>32115.91</v>
      </c>
      <c r="R22" s="3">
        <f t="shared" si="8"/>
        <v>12598.52</v>
      </c>
      <c r="S22" s="3">
        <f t="shared" si="8"/>
        <v>46598.54</v>
      </c>
      <c r="T22" s="3">
        <f t="shared" si="8"/>
        <v>0</v>
      </c>
      <c r="U22" s="3">
        <f t="shared" si="8"/>
        <v>123.94379999999998</v>
      </c>
      <c r="V22" s="3">
        <f t="shared" si="8"/>
        <v>26.642112400000002</v>
      </c>
      <c r="W22" s="3">
        <f t="shared" si="8"/>
        <v>0</v>
      </c>
      <c r="X22" s="3">
        <f t="shared" si="8"/>
        <v>66116.72</v>
      </c>
      <c r="Y22" s="3">
        <f t="shared" si="8"/>
        <v>39251.550000000003</v>
      </c>
      <c r="Z22" s="3">
        <f t="shared" si="8"/>
        <v>0</v>
      </c>
      <c r="AA22" s="3">
        <f t="shared" si="8"/>
        <v>0</v>
      </c>
      <c r="AB22" s="3">
        <f t="shared" si="8"/>
        <v>0</v>
      </c>
      <c r="AC22" s="3">
        <f t="shared" si="8"/>
        <v>0</v>
      </c>
      <c r="AD22" s="3">
        <f t="shared" si="8"/>
        <v>0</v>
      </c>
      <c r="AE22" s="3">
        <f t="shared" si="8"/>
        <v>0</v>
      </c>
      <c r="AF22" s="3">
        <f t="shared" si="8"/>
        <v>0</v>
      </c>
      <c r="AG22" s="3">
        <f t="shared" si="8"/>
        <v>0</v>
      </c>
      <c r="AH22" s="3">
        <f t="shared" si="8"/>
        <v>0</v>
      </c>
      <c r="AI22" s="3">
        <f t="shared" si="8"/>
        <v>0</v>
      </c>
      <c r="AJ22" s="3">
        <f t="shared" si="8"/>
        <v>0</v>
      </c>
      <c r="AK22" s="3">
        <f t="shared" si="8"/>
        <v>0</v>
      </c>
      <c r="AL22" s="3">
        <f t="shared" si="8"/>
        <v>0</v>
      </c>
      <c r="AM22" s="3">
        <f t="shared" si="8"/>
        <v>0</v>
      </c>
      <c r="AN22" s="3">
        <f t="shared" si="8"/>
        <v>0</v>
      </c>
      <c r="AO22" s="3">
        <f t="shared" si="8"/>
        <v>0</v>
      </c>
      <c r="AP22" s="3">
        <f t="shared" si="8"/>
        <v>0</v>
      </c>
      <c r="AQ22" s="3">
        <f t="shared" si="8"/>
        <v>0</v>
      </c>
      <c r="AR22" s="3">
        <f t="shared" si="8"/>
        <v>425420.46</v>
      </c>
      <c r="AS22" s="3">
        <f t="shared" si="8"/>
        <v>394076.73</v>
      </c>
      <c r="AT22" s="3">
        <f t="shared" si="8"/>
        <v>31343.73</v>
      </c>
      <c r="AU22" s="3">
        <f t="shared" ref="AU22:BZ22" si="9">AU132</f>
        <v>0</v>
      </c>
      <c r="AV22" s="3">
        <f t="shared" si="9"/>
        <v>228739.22</v>
      </c>
      <c r="AW22" s="3">
        <f t="shared" si="9"/>
        <v>228739.22</v>
      </c>
      <c r="AX22" s="3">
        <f t="shared" si="9"/>
        <v>0</v>
      </c>
      <c r="AY22" s="3">
        <f t="shared" si="9"/>
        <v>228739.22</v>
      </c>
      <c r="AZ22" s="3">
        <f t="shared" si="9"/>
        <v>0</v>
      </c>
      <c r="BA22" s="3">
        <f t="shared" si="9"/>
        <v>0</v>
      </c>
      <c r="BB22" s="3">
        <f t="shared" si="9"/>
        <v>0</v>
      </c>
      <c r="BC22" s="3">
        <f t="shared" si="9"/>
        <v>0</v>
      </c>
      <c r="BD22" s="3">
        <f t="shared" si="9"/>
        <v>0</v>
      </c>
      <c r="BE22" s="3">
        <f t="shared" si="9"/>
        <v>0</v>
      </c>
      <c r="BF22" s="3">
        <f t="shared" si="9"/>
        <v>0</v>
      </c>
      <c r="BG22" s="3">
        <f t="shared" si="9"/>
        <v>0</v>
      </c>
      <c r="BH22" s="3">
        <f t="shared" si="9"/>
        <v>0</v>
      </c>
      <c r="BI22" s="3">
        <f t="shared" si="9"/>
        <v>0</v>
      </c>
      <c r="BJ22" s="3">
        <f t="shared" si="9"/>
        <v>0</v>
      </c>
      <c r="BK22" s="3">
        <f t="shared" si="9"/>
        <v>0</v>
      </c>
      <c r="BL22" s="3">
        <f t="shared" si="9"/>
        <v>0</v>
      </c>
      <c r="BM22" s="3">
        <f t="shared" si="9"/>
        <v>0</v>
      </c>
      <c r="BN22" s="3">
        <f t="shared" si="9"/>
        <v>0</v>
      </c>
      <c r="BO22" s="3">
        <f t="shared" si="9"/>
        <v>0</v>
      </c>
      <c r="BP22" s="3">
        <f t="shared" si="9"/>
        <v>0</v>
      </c>
      <c r="BQ22" s="3">
        <f t="shared" si="9"/>
        <v>0</v>
      </c>
      <c r="BR22" s="3">
        <f t="shared" si="9"/>
        <v>0</v>
      </c>
      <c r="BS22" s="3">
        <f t="shared" si="9"/>
        <v>0</v>
      </c>
      <c r="BT22" s="3">
        <f t="shared" si="9"/>
        <v>0</v>
      </c>
      <c r="BU22" s="3">
        <f t="shared" si="9"/>
        <v>0</v>
      </c>
      <c r="BV22" s="3">
        <f t="shared" si="9"/>
        <v>0</v>
      </c>
      <c r="BW22" s="3">
        <f t="shared" si="9"/>
        <v>0</v>
      </c>
      <c r="BX22" s="3">
        <f t="shared" si="9"/>
        <v>0</v>
      </c>
      <c r="BY22" s="3">
        <f t="shared" si="9"/>
        <v>0</v>
      </c>
      <c r="BZ22" s="3">
        <f t="shared" si="9"/>
        <v>0</v>
      </c>
      <c r="CA22" s="3">
        <f t="shared" ref="CA22:DF22" si="10">CA132</f>
        <v>0</v>
      </c>
      <c r="CB22" s="3">
        <f t="shared" si="10"/>
        <v>0</v>
      </c>
      <c r="CC22" s="3">
        <f t="shared" si="10"/>
        <v>0</v>
      </c>
      <c r="CD22" s="3">
        <f t="shared" si="10"/>
        <v>0</v>
      </c>
      <c r="CE22" s="3">
        <f t="shared" si="10"/>
        <v>0</v>
      </c>
      <c r="CF22" s="3">
        <f t="shared" si="10"/>
        <v>0</v>
      </c>
      <c r="CG22" s="3">
        <f t="shared" si="10"/>
        <v>0</v>
      </c>
      <c r="CH22" s="3">
        <f t="shared" si="10"/>
        <v>0</v>
      </c>
      <c r="CI22" s="3">
        <f t="shared" si="10"/>
        <v>0</v>
      </c>
      <c r="CJ22" s="3">
        <f t="shared" si="10"/>
        <v>0</v>
      </c>
      <c r="CK22" s="3">
        <f t="shared" si="10"/>
        <v>0</v>
      </c>
      <c r="CL22" s="3">
        <f t="shared" si="10"/>
        <v>0</v>
      </c>
      <c r="CM22" s="3">
        <f t="shared" si="10"/>
        <v>0</v>
      </c>
      <c r="CN22" s="3">
        <f t="shared" si="10"/>
        <v>0</v>
      </c>
      <c r="CO22" s="3">
        <f t="shared" si="10"/>
        <v>0</v>
      </c>
      <c r="CP22" s="3">
        <f t="shared" si="10"/>
        <v>0</v>
      </c>
      <c r="CQ22" s="3">
        <f t="shared" si="10"/>
        <v>0</v>
      </c>
      <c r="CR22" s="3">
        <f t="shared" si="10"/>
        <v>0</v>
      </c>
      <c r="CS22" s="3">
        <f t="shared" si="10"/>
        <v>0</v>
      </c>
      <c r="CT22" s="3">
        <f t="shared" si="10"/>
        <v>0</v>
      </c>
      <c r="CU22" s="3">
        <f t="shared" si="10"/>
        <v>0</v>
      </c>
      <c r="CV22" s="3">
        <f t="shared" si="10"/>
        <v>0</v>
      </c>
      <c r="CW22" s="3">
        <f t="shared" si="10"/>
        <v>0</v>
      </c>
      <c r="CX22" s="3">
        <f t="shared" si="10"/>
        <v>0</v>
      </c>
      <c r="CY22" s="3">
        <f t="shared" si="10"/>
        <v>0</v>
      </c>
      <c r="CZ22" s="3">
        <f t="shared" si="10"/>
        <v>0</v>
      </c>
      <c r="DA22" s="3">
        <f t="shared" si="10"/>
        <v>0</v>
      </c>
      <c r="DB22" s="3">
        <f t="shared" si="10"/>
        <v>0</v>
      </c>
      <c r="DC22" s="3">
        <f t="shared" si="10"/>
        <v>0</v>
      </c>
      <c r="DD22" s="3">
        <f t="shared" si="10"/>
        <v>0</v>
      </c>
      <c r="DE22" s="3">
        <f t="shared" si="10"/>
        <v>0</v>
      </c>
      <c r="DF22" s="3">
        <f t="shared" si="10"/>
        <v>0</v>
      </c>
      <c r="DG22" s="4">
        <f t="shared" ref="DG22:EL22" si="11">DG132</f>
        <v>0</v>
      </c>
      <c r="DH22" s="4">
        <f t="shared" si="11"/>
        <v>0</v>
      </c>
      <c r="DI22" s="4">
        <f t="shared" si="11"/>
        <v>0</v>
      </c>
      <c r="DJ22" s="4">
        <f t="shared" si="11"/>
        <v>0</v>
      </c>
      <c r="DK22" s="4">
        <f t="shared" si="11"/>
        <v>0</v>
      </c>
      <c r="DL22" s="4">
        <f t="shared" si="11"/>
        <v>0</v>
      </c>
      <c r="DM22" s="4">
        <f t="shared" si="11"/>
        <v>0</v>
      </c>
      <c r="DN22" s="4">
        <f t="shared" si="11"/>
        <v>0</v>
      </c>
      <c r="DO22" s="4">
        <f t="shared" si="11"/>
        <v>0</v>
      </c>
      <c r="DP22" s="4">
        <f t="shared" si="11"/>
        <v>0</v>
      </c>
      <c r="DQ22" s="4">
        <f t="shared" si="11"/>
        <v>0</v>
      </c>
      <c r="DR22" s="4">
        <f t="shared" si="11"/>
        <v>0</v>
      </c>
      <c r="DS22" s="4">
        <f t="shared" si="11"/>
        <v>0</v>
      </c>
      <c r="DT22" s="4">
        <f t="shared" si="11"/>
        <v>0</v>
      </c>
      <c r="DU22" s="4">
        <f t="shared" si="11"/>
        <v>0</v>
      </c>
      <c r="DV22" s="4">
        <f t="shared" si="11"/>
        <v>0</v>
      </c>
      <c r="DW22" s="4">
        <f t="shared" si="11"/>
        <v>0</v>
      </c>
      <c r="DX22" s="4">
        <f t="shared" si="11"/>
        <v>0</v>
      </c>
      <c r="DY22" s="4">
        <f t="shared" si="11"/>
        <v>0</v>
      </c>
      <c r="DZ22" s="4">
        <f t="shared" si="11"/>
        <v>0</v>
      </c>
      <c r="EA22" s="4">
        <f t="shared" si="11"/>
        <v>0</v>
      </c>
      <c r="EB22" s="4">
        <f t="shared" si="11"/>
        <v>0</v>
      </c>
      <c r="EC22" s="4">
        <f t="shared" si="11"/>
        <v>0</v>
      </c>
      <c r="ED22" s="4">
        <f t="shared" si="11"/>
        <v>0</v>
      </c>
      <c r="EE22" s="4">
        <f t="shared" si="11"/>
        <v>0</v>
      </c>
      <c r="EF22" s="4">
        <f t="shared" si="11"/>
        <v>0</v>
      </c>
      <c r="EG22" s="4">
        <f t="shared" si="11"/>
        <v>0</v>
      </c>
      <c r="EH22" s="4">
        <f t="shared" si="11"/>
        <v>0</v>
      </c>
      <c r="EI22" s="4">
        <f t="shared" si="11"/>
        <v>0</v>
      </c>
      <c r="EJ22" s="4">
        <f t="shared" si="11"/>
        <v>0</v>
      </c>
      <c r="EK22" s="4">
        <f t="shared" si="11"/>
        <v>0</v>
      </c>
      <c r="EL22" s="4">
        <f t="shared" si="11"/>
        <v>0</v>
      </c>
      <c r="EM22" s="4">
        <f t="shared" ref="EM22:FR22" si="12">EM132</f>
        <v>0</v>
      </c>
      <c r="EN22" s="4">
        <f t="shared" si="12"/>
        <v>0</v>
      </c>
      <c r="EO22" s="4">
        <f t="shared" si="12"/>
        <v>0</v>
      </c>
      <c r="EP22" s="4">
        <f t="shared" si="12"/>
        <v>0</v>
      </c>
      <c r="EQ22" s="4">
        <f t="shared" si="12"/>
        <v>0</v>
      </c>
      <c r="ER22" s="4">
        <f t="shared" si="12"/>
        <v>0</v>
      </c>
      <c r="ES22" s="4">
        <f t="shared" si="12"/>
        <v>0</v>
      </c>
      <c r="ET22" s="4">
        <f t="shared" si="12"/>
        <v>0</v>
      </c>
      <c r="EU22" s="4">
        <f t="shared" si="12"/>
        <v>0</v>
      </c>
      <c r="EV22" s="4">
        <f t="shared" si="12"/>
        <v>0</v>
      </c>
      <c r="EW22" s="4">
        <f t="shared" si="12"/>
        <v>0</v>
      </c>
      <c r="EX22" s="4">
        <f t="shared" si="12"/>
        <v>0</v>
      </c>
      <c r="EY22" s="4">
        <f t="shared" si="12"/>
        <v>0</v>
      </c>
      <c r="EZ22" s="4">
        <f t="shared" si="12"/>
        <v>0</v>
      </c>
      <c r="FA22" s="4">
        <f t="shared" si="12"/>
        <v>0</v>
      </c>
      <c r="FB22" s="4">
        <f t="shared" si="12"/>
        <v>0</v>
      </c>
      <c r="FC22" s="4">
        <f t="shared" si="12"/>
        <v>0</v>
      </c>
      <c r="FD22" s="4">
        <f t="shared" si="12"/>
        <v>0</v>
      </c>
      <c r="FE22" s="4">
        <f t="shared" si="12"/>
        <v>0</v>
      </c>
      <c r="FF22" s="4">
        <f t="shared" si="12"/>
        <v>0</v>
      </c>
      <c r="FG22" s="4">
        <f t="shared" si="12"/>
        <v>0</v>
      </c>
      <c r="FH22" s="4">
        <f t="shared" si="12"/>
        <v>0</v>
      </c>
      <c r="FI22" s="4">
        <f t="shared" si="12"/>
        <v>0</v>
      </c>
      <c r="FJ22" s="4">
        <f t="shared" si="12"/>
        <v>0</v>
      </c>
      <c r="FK22" s="4">
        <f t="shared" si="12"/>
        <v>0</v>
      </c>
      <c r="FL22" s="4">
        <f t="shared" si="12"/>
        <v>0</v>
      </c>
      <c r="FM22" s="4">
        <f t="shared" si="12"/>
        <v>0</v>
      </c>
      <c r="FN22" s="4">
        <f t="shared" si="12"/>
        <v>0</v>
      </c>
      <c r="FO22" s="4">
        <f t="shared" si="12"/>
        <v>0</v>
      </c>
      <c r="FP22" s="4">
        <f t="shared" si="12"/>
        <v>0</v>
      </c>
      <c r="FQ22" s="4">
        <f t="shared" si="12"/>
        <v>0</v>
      </c>
      <c r="FR22" s="4">
        <f t="shared" si="12"/>
        <v>0</v>
      </c>
      <c r="FS22" s="4">
        <f t="shared" ref="FS22:GX22" si="13">FS132</f>
        <v>0</v>
      </c>
      <c r="FT22" s="4">
        <f t="shared" si="13"/>
        <v>0</v>
      </c>
      <c r="FU22" s="4">
        <f t="shared" si="13"/>
        <v>0</v>
      </c>
      <c r="FV22" s="4">
        <f t="shared" si="13"/>
        <v>0</v>
      </c>
      <c r="FW22" s="4">
        <f t="shared" si="13"/>
        <v>0</v>
      </c>
      <c r="FX22" s="4">
        <f t="shared" si="13"/>
        <v>0</v>
      </c>
      <c r="FY22" s="4">
        <f t="shared" si="13"/>
        <v>0</v>
      </c>
      <c r="FZ22" s="4">
        <f t="shared" si="13"/>
        <v>0</v>
      </c>
      <c r="GA22" s="4">
        <f t="shared" si="13"/>
        <v>0</v>
      </c>
      <c r="GB22" s="4">
        <f t="shared" si="13"/>
        <v>0</v>
      </c>
      <c r="GC22" s="4">
        <f t="shared" si="13"/>
        <v>0</v>
      </c>
      <c r="GD22" s="4">
        <f t="shared" si="13"/>
        <v>0</v>
      </c>
      <c r="GE22" s="4">
        <f t="shared" si="13"/>
        <v>0</v>
      </c>
      <c r="GF22" s="4">
        <f t="shared" si="13"/>
        <v>0</v>
      </c>
      <c r="GG22" s="4">
        <f t="shared" si="13"/>
        <v>0</v>
      </c>
      <c r="GH22" s="4">
        <f t="shared" si="13"/>
        <v>0</v>
      </c>
      <c r="GI22" s="4">
        <f t="shared" si="13"/>
        <v>0</v>
      </c>
      <c r="GJ22" s="4">
        <f t="shared" si="13"/>
        <v>0</v>
      </c>
      <c r="GK22" s="4">
        <f t="shared" si="13"/>
        <v>0</v>
      </c>
      <c r="GL22" s="4">
        <f t="shared" si="13"/>
        <v>0</v>
      </c>
      <c r="GM22" s="4">
        <f t="shared" si="13"/>
        <v>0</v>
      </c>
      <c r="GN22" s="4">
        <f t="shared" si="13"/>
        <v>0</v>
      </c>
      <c r="GO22" s="4">
        <f t="shared" si="13"/>
        <v>0</v>
      </c>
      <c r="GP22" s="4">
        <f t="shared" si="13"/>
        <v>0</v>
      </c>
      <c r="GQ22" s="4">
        <f t="shared" si="13"/>
        <v>0</v>
      </c>
      <c r="GR22" s="4">
        <f t="shared" si="13"/>
        <v>0</v>
      </c>
      <c r="GS22" s="4">
        <f t="shared" si="13"/>
        <v>0</v>
      </c>
      <c r="GT22" s="4">
        <f t="shared" si="13"/>
        <v>0</v>
      </c>
      <c r="GU22" s="4">
        <f t="shared" si="13"/>
        <v>0</v>
      </c>
      <c r="GV22" s="4">
        <f t="shared" si="13"/>
        <v>0</v>
      </c>
      <c r="GW22" s="4">
        <f t="shared" si="13"/>
        <v>0</v>
      </c>
      <c r="GX22" s="4">
        <f t="shared" si="13"/>
        <v>0</v>
      </c>
    </row>
    <row r="24" spans="1:255" x14ac:dyDescent="0.2">
      <c r="A24" s="1">
        <v>4</v>
      </c>
      <c r="B24" s="1">
        <v>1</v>
      </c>
      <c r="C24" s="1"/>
      <c r="D24" s="1">
        <f>ROW(A35)</f>
        <v>35</v>
      </c>
      <c r="E24" s="1"/>
      <c r="F24" s="1" t="s">
        <v>16</v>
      </c>
      <c r="G24" s="1" t="s">
        <v>17</v>
      </c>
      <c r="H24" s="1" t="s">
        <v>3</v>
      </c>
      <c r="I24" s="1">
        <v>0</v>
      </c>
      <c r="J24" s="1"/>
      <c r="K24" s="1">
        <v>-1</v>
      </c>
      <c r="L24" s="1"/>
      <c r="M24" s="1" t="s">
        <v>3</v>
      </c>
      <c r="N24" s="1"/>
      <c r="O24" s="1"/>
      <c r="P24" s="1"/>
      <c r="Q24" s="1"/>
      <c r="R24" s="1"/>
      <c r="S24" s="1">
        <v>0</v>
      </c>
      <c r="T24" s="1"/>
      <c r="U24" s="1" t="s">
        <v>3</v>
      </c>
      <c r="V24" s="1">
        <v>0</v>
      </c>
      <c r="W24" s="1"/>
      <c r="X24" s="1"/>
      <c r="Y24" s="1"/>
      <c r="Z24" s="1"/>
      <c r="AA24" s="1"/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/>
      <c r="AI24" s="1"/>
      <c r="AJ24" s="1"/>
      <c r="AK24" s="1"/>
      <c r="AL24" s="1"/>
      <c r="AM24" s="1"/>
      <c r="AN24" s="1"/>
      <c r="AO24" s="1"/>
      <c r="AP24" s="1" t="s">
        <v>3</v>
      </c>
      <c r="AQ24" s="1" t="s">
        <v>3</v>
      </c>
      <c r="AR24" s="1" t="s">
        <v>3</v>
      </c>
      <c r="AS24" s="1"/>
      <c r="AT24" s="1"/>
      <c r="AU24" s="1"/>
      <c r="AV24" s="1"/>
      <c r="AW24" s="1"/>
      <c r="AX24" s="1"/>
      <c r="AY24" s="1"/>
      <c r="AZ24" s="1" t="s">
        <v>3</v>
      </c>
      <c r="BA24" s="1"/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3</v>
      </c>
      <c r="BG24" s="1" t="s">
        <v>3</v>
      </c>
      <c r="BH24" s="1" t="s">
        <v>3</v>
      </c>
      <c r="BI24" s="1" t="s">
        <v>3</v>
      </c>
      <c r="BJ24" s="1" t="s">
        <v>3</v>
      </c>
      <c r="BK24" s="1" t="s">
        <v>3</v>
      </c>
      <c r="BL24" s="1" t="s">
        <v>3</v>
      </c>
      <c r="BM24" s="1" t="s">
        <v>3</v>
      </c>
      <c r="BN24" s="1" t="s">
        <v>3</v>
      </c>
      <c r="BO24" s="1" t="s">
        <v>3</v>
      </c>
      <c r="BP24" s="1" t="s">
        <v>3</v>
      </c>
      <c r="BQ24" s="1"/>
      <c r="BR24" s="1"/>
      <c r="BS24" s="1"/>
      <c r="BT24" s="1"/>
      <c r="BU24" s="1"/>
      <c r="BV24" s="1"/>
      <c r="BW24" s="1"/>
      <c r="BX24" s="1">
        <v>0</v>
      </c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>
        <v>0</v>
      </c>
    </row>
    <row r="26" spans="1:255" x14ac:dyDescent="0.2">
      <c r="A26" s="3">
        <v>52</v>
      </c>
      <c r="B26" s="3">
        <f t="shared" ref="B26:G26" si="14">B35</f>
        <v>1</v>
      </c>
      <c r="C26" s="3">
        <f t="shared" si="14"/>
        <v>4</v>
      </c>
      <c r="D26" s="3">
        <f t="shared" si="14"/>
        <v>24</v>
      </c>
      <c r="E26" s="3">
        <f t="shared" si="14"/>
        <v>0</v>
      </c>
      <c r="F26" s="3" t="str">
        <f t="shared" si="14"/>
        <v>Новый раздел</v>
      </c>
      <c r="G26" s="3" t="str">
        <f t="shared" si="14"/>
        <v>Земляные работы</v>
      </c>
      <c r="H26" s="3"/>
      <c r="I26" s="3"/>
      <c r="J26" s="3"/>
      <c r="K26" s="3"/>
      <c r="L26" s="3"/>
      <c r="M26" s="3"/>
      <c r="N26" s="3"/>
      <c r="O26" s="3">
        <f t="shared" ref="O26:AT26" si="15">O35</f>
        <v>101815.54</v>
      </c>
      <c r="P26" s="3">
        <f t="shared" si="15"/>
        <v>66153.95</v>
      </c>
      <c r="Q26" s="3">
        <f t="shared" si="15"/>
        <v>13414.23</v>
      </c>
      <c r="R26" s="3">
        <f t="shared" si="15"/>
        <v>4894.17</v>
      </c>
      <c r="S26" s="3">
        <f t="shared" si="15"/>
        <v>17353.189999999999</v>
      </c>
      <c r="T26" s="3">
        <f t="shared" si="15"/>
        <v>0</v>
      </c>
      <c r="U26" s="3">
        <f t="shared" si="15"/>
        <v>52.07</v>
      </c>
      <c r="V26" s="3">
        <f t="shared" si="15"/>
        <v>9.5119799999999994</v>
      </c>
      <c r="W26" s="3">
        <f t="shared" si="15"/>
        <v>0</v>
      </c>
      <c r="X26" s="3">
        <f t="shared" si="15"/>
        <v>23207</v>
      </c>
      <c r="Y26" s="3">
        <f t="shared" si="15"/>
        <v>13139.99</v>
      </c>
      <c r="Z26" s="3">
        <f t="shared" si="15"/>
        <v>0</v>
      </c>
      <c r="AA26" s="3">
        <f t="shared" si="15"/>
        <v>0</v>
      </c>
      <c r="AB26" s="3">
        <f t="shared" si="15"/>
        <v>101815.54</v>
      </c>
      <c r="AC26" s="3">
        <f t="shared" si="15"/>
        <v>66153.95</v>
      </c>
      <c r="AD26" s="3">
        <f t="shared" si="15"/>
        <v>13414.23</v>
      </c>
      <c r="AE26" s="3">
        <f t="shared" si="15"/>
        <v>4894.17</v>
      </c>
      <c r="AF26" s="3">
        <f t="shared" si="15"/>
        <v>17353.189999999999</v>
      </c>
      <c r="AG26" s="3">
        <f t="shared" si="15"/>
        <v>0</v>
      </c>
      <c r="AH26" s="3">
        <f t="shared" si="15"/>
        <v>52.07</v>
      </c>
      <c r="AI26" s="3">
        <f t="shared" si="15"/>
        <v>9.5119799999999994</v>
      </c>
      <c r="AJ26" s="3">
        <f t="shared" si="15"/>
        <v>0</v>
      </c>
      <c r="AK26" s="3">
        <f t="shared" si="15"/>
        <v>23207</v>
      </c>
      <c r="AL26" s="3">
        <f t="shared" si="15"/>
        <v>13139.99</v>
      </c>
      <c r="AM26" s="3">
        <f t="shared" si="15"/>
        <v>0</v>
      </c>
      <c r="AN26" s="3">
        <f t="shared" si="15"/>
        <v>0</v>
      </c>
      <c r="AO26" s="3">
        <f t="shared" si="15"/>
        <v>0</v>
      </c>
      <c r="AP26" s="3">
        <f t="shared" si="15"/>
        <v>0</v>
      </c>
      <c r="AQ26" s="3">
        <f t="shared" si="15"/>
        <v>0</v>
      </c>
      <c r="AR26" s="3">
        <f t="shared" si="15"/>
        <v>138162.53</v>
      </c>
      <c r="AS26" s="3">
        <f t="shared" si="15"/>
        <v>138162.53</v>
      </c>
      <c r="AT26" s="3">
        <f t="shared" si="15"/>
        <v>0</v>
      </c>
      <c r="AU26" s="3">
        <f t="shared" ref="AU26:BZ26" si="16">AU35</f>
        <v>0</v>
      </c>
      <c r="AV26" s="3">
        <f t="shared" si="16"/>
        <v>66153.95</v>
      </c>
      <c r="AW26" s="3">
        <f t="shared" si="16"/>
        <v>66153.95</v>
      </c>
      <c r="AX26" s="3">
        <f t="shared" si="16"/>
        <v>0</v>
      </c>
      <c r="AY26" s="3">
        <f t="shared" si="16"/>
        <v>66153.95</v>
      </c>
      <c r="AZ26" s="3">
        <f t="shared" si="16"/>
        <v>0</v>
      </c>
      <c r="BA26" s="3">
        <f t="shared" si="16"/>
        <v>0</v>
      </c>
      <c r="BB26" s="3">
        <f t="shared" si="16"/>
        <v>0</v>
      </c>
      <c r="BC26" s="3">
        <f t="shared" si="16"/>
        <v>0</v>
      </c>
      <c r="BD26" s="3">
        <f t="shared" si="16"/>
        <v>0</v>
      </c>
      <c r="BE26" s="3">
        <f t="shared" si="16"/>
        <v>0</v>
      </c>
      <c r="BF26" s="3">
        <f t="shared" si="16"/>
        <v>0</v>
      </c>
      <c r="BG26" s="3">
        <f t="shared" si="16"/>
        <v>0</v>
      </c>
      <c r="BH26" s="3">
        <f t="shared" si="16"/>
        <v>0</v>
      </c>
      <c r="BI26" s="3">
        <f t="shared" si="16"/>
        <v>0</v>
      </c>
      <c r="BJ26" s="3">
        <f t="shared" si="16"/>
        <v>0</v>
      </c>
      <c r="BK26" s="3">
        <f t="shared" si="16"/>
        <v>0</v>
      </c>
      <c r="BL26" s="3">
        <f t="shared" si="16"/>
        <v>0</v>
      </c>
      <c r="BM26" s="3">
        <f t="shared" si="16"/>
        <v>0</v>
      </c>
      <c r="BN26" s="3">
        <f t="shared" si="16"/>
        <v>0</v>
      </c>
      <c r="BO26" s="3">
        <f t="shared" si="16"/>
        <v>0</v>
      </c>
      <c r="BP26" s="3">
        <f t="shared" si="16"/>
        <v>0</v>
      </c>
      <c r="BQ26" s="3">
        <f t="shared" si="16"/>
        <v>0</v>
      </c>
      <c r="BR26" s="3">
        <f t="shared" si="16"/>
        <v>0</v>
      </c>
      <c r="BS26" s="3">
        <f t="shared" si="16"/>
        <v>0</v>
      </c>
      <c r="BT26" s="3">
        <f t="shared" si="16"/>
        <v>0</v>
      </c>
      <c r="BU26" s="3">
        <f t="shared" si="16"/>
        <v>0</v>
      </c>
      <c r="BV26" s="3">
        <f t="shared" si="16"/>
        <v>0</v>
      </c>
      <c r="BW26" s="3">
        <f t="shared" si="16"/>
        <v>0</v>
      </c>
      <c r="BX26" s="3">
        <f t="shared" si="16"/>
        <v>0</v>
      </c>
      <c r="BY26" s="3">
        <f t="shared" si="16"/>
        <v>0</v>
      </c>
      <c r="BZ26" s="3">
        <f t="shared" si="16"/>
        <v>0</v>
      </c>
      <c r="CA26" s="3">
        <f t="shared" ref="CA26:DF26" si="17">CA35</f>
        <v>138162.53</v>
      </c>
      <c r="CB26" s="3">
        <f t="shared" si="17"/>
        <v>138162.53</v>
      </c>
      <c r="CC26" s="3">
        <f t="shared" si="17"/>
        <v>0</v>
      </c>
      <c r="CD26" s="3">
        <f t="shared" si="17"/>
        <v>0</v>
      </c>
      <c r="CE26" s="3">
        <f t="shared" si="17"/>
        <v>66153.95</v>
      </c>
      <c r="CF26" s="3">
        <f t="shared" si="17"/>
        <v>66153.95</v>
      </c>
      <c r="CG26" s="3">
        <f t="shared" si="17"/>
        <v>0</v>
      </c>
      <c r="CH26" s="3">
        <f t="shared" si="17"/>
        <v>66153.95</v>
      </c>
      <c r="CI26" s="3">
        <f t="shared" si="17"/>
        <v>0</v>
      </c>
      <c r="CJ26" s="3">
        <f t="shared" si="17"/>
        <v>0</v>
      </c>
      <c r="CK26" s="3">
        <f t="shared" si="17"/>
        <v>0</v>
      </c>
      <c r="CL26" s="3">
        <f t="shared" si="17"/>
        <v>0</v>
      </c>
      <c r="CM26" s="3">
        <f t="shared" si="17"/>
        <v>0</v>
      </c>
      <c r="CN26" s="3">
        <f t="shared" si="17"/>
        <v>0</v>
      </c>
      <c r="CO26" s="3">
        <f t="shared" si="17"/>
        <v>0</v>
      </c>
      <c r="CP26" s="3">
        <f t="shared" si="17"/>
        <v>0</v>
      </c>
      <c r="CQ26" s="3">
        <f t="shared" si="17"/>
        <v>0</v>
      </c>
      <c r="CR26" s="3">
        <f t="shared" si="17"/>
        <v>0</v>
      </c>
      <c r="CS26" s="3">
        <f t="shared" si="17"/>
        <v>0</v>
      </c>
      <c r="CT26" s="3">
        <f t="shared" si="17"/>
        <v>0</v>
      </c>
      <c r="CU26" s="3">
        <f t="shared" si="17"/>
        <v>0</v>
      </c>
      <c r="CV26" s="3">
        <f t="shared" si="17"/>
        <v>0</v>
      </c>
      <c r="CW26" s="3">
        <f t="shared" si="17"/>
        <v>0</v>
      </c>
      <c r="CX26" s="3">
        <f t="shared" si="17"/>
        <v>0</v>
      </c>
      <c r="CY26" s="3">
        <f t="shared" si="17"/>
        <v>0</v>
      </c>
      <c r="CZ26" s="3">
        <f t="shared" si="17"/>
        <v>0</v>
      </c>
      <c r="DA26" s="3">
        <f t="shared" si="17"/>
        <v>0</v>
      </c>
      <c r="DB26" s="3">
        <f t="shared" si="17"/>
        <v>0</v>
      </c>
      <c r="DC26" s="3">
        <f t="shared" si="17"/>
        <v>0</v>
      </c>
      <c r="DD26" s="3">
        <f t="shared" si="17"/>
        <v>0</v>
      </c>
      <c r="DE26" s="3">
        <f t="shared" si="17"/>
        <v>0</v>
      </c>
      <c r="DF26" s="3">
        <f t="shared" si="17"/>
        <v>0</v>
      </c>
      <c r="DG26" s="4">
        <f t="shared" ref="DG26:EL26" si="18">DG35</f>
        <v>0</v>
      </c>
      <c r="DH26" s="4">
        <f t="shared" si="18"/>
        <v>0</v>
      </c>
      <c r="DI26" s="4">
        <f t="shared" si="18"/>
        <v>0</v>
      </c>
      <c r="DJ26" s="4">
        <f t="shared" si="18"/>
        <v>0</v>
      </c>
      <c r="DK26" s="4">
        <f t="shared" si="18"/>
        <v>0</v>
      </c>
      <c r="DL26" s="4">
        <f t="shared" si="18"/>
        <v>0</v>
      </c>
      <c r="DM26" s="4">
        <f t="shared" si="18"/>
        <v>0</v>
      </c>
      <c r="DN26" s="4">
        <f t="shared" si="18"/>
        <v>0</v>
      </c>
      <c r="DO26" s="4">
        <f t="shared" si="18"/>
        <v>0</v>
      </c>
      <c r="DP26" s="4">
        <f t="shared" si="18"/>
        <v>0</v>
      </c>
      <c r="DQ26" s="4">
        <f t="shared" si="18"/>
        <v>0</v>
      </c>
      <c r="DR26" s="4">
        <f t="shared" si="18"/>
        <v>0</v>
      </c>
      <c r="DS26" s="4">
        <f t="shared" si="18"/>
        <v>0</v>
      </c>
      <c r="DT26" s="4">
        <f t="shared" si="18"/>
        <v>0</v>
      </c>
      <c r="DU26" s="4">
        <f t="shared" si="18"/>
        <v>0</v>
      </c>
      <c r="DV26" s="4">
        <f t="shared" si="18"/>
        <v>0</v>
      </c>
      <c r="DW26" s="4">
        <f t="shared" si="18"/>
        <v>0</v>
      </c>
      <c r="DX26" s="4">
        <f t="shared" si="18"/>
        <v>0</v>
      </c>
      <c r="DY26" s="4">
        <f t="shared" si="18"/>
        <v>0</v>
      </c>
      <c r="DZ26" s="4">
        <f t="shared" si="18"/>
        <v>0</v>
      </c>
      <c r="EA26" s="4">
        <f t="shared" si="18"/>
        <v>0</v>
      </c>
      <c r="EB26" s="4">
        <f t="shared" si="18"/>
        <v>0</v>
      </c>
      <c r="EC26" s="4">
        <f t="shared" si="18"/>
        <v>0</v>
      </c>
      <c r="ED26" s="4">
        <f t="shared" si="18"/>
        <v>0</v>
      </c>
      <c r="EE26" s="4">
        <f t="shared" si="18"/>
        <v>0</v>
      </c>
      <c r="EF26" s="4">
        <f t="shared" si="18"/>
        <v>0</v>
      </c>
      <c r="EG26" s="4">
        <f t="shared" si="18"/>
        <v>0</v>
      </c>
      <c r="EH26" s="4">
        <f t="shared" si="18"/>
        <v>0</v>
      </c>
      <c r="EI26" s="4">
        <f t="shared" si="18"/>
        <v>0</v>
      </c>
      <c r="EJ26" s="4">
        <f t="shared" si="18"/>
        <v>0</v>
      </c>
      <c r="EK26" s="4">
        <f t="shared" si="18"/>
        <v>0</v>
      </c>
      <c r="EL26" s="4">
        <f t="shared" si="18"/>
        <v>0</v>
      </c>
      <c r="EM26" s="4">
        <f t="shared" ref="EM26:FR26" si="19">EM35</f>
        <v>0</v>
      </c>
      <c r="EN26" s="4">
        <f t="shared" si="19"/>
        <v>0</v>
      </c>
      <c r="EO26" s="4">
        <f t="shared" si="19"/>
        <v>0</v>
      </c>
      <c r="EP26" s="4">
        <f t="shared" si="19"/>
        <v>0</v>
      </c>
      <c r="EQ26" s="4">
        <f t="shared" si="19"/>
        <v>0</v>
      </c>
      <c r="ER26" s="4">
        <f t="shared" si="19"/>
        <v>0</v>
      </c>
      <c r="ES26" s="4">
        <f t="shared" si="19"/>
        <v>0</v>
      </c>
      <c r="ET26" s="4">
        <f t="shared" si="19"/>
        <v>0</v>
      </c>
      <c r="EU26" s="4">
        <f t="shared" si="19"/>
        <v>0</v>
      </c>
      <c r="EV26" s="4">
        <f t="shared" si="19"/>
        <v>0</v>
      </c>
      <c r="EW26" s="4">
        <f t="shared" si="19"/>
        <v>0</v>
      </c>
      <c r="EX26" s="4">
        <f t="shared" si="19"/>
        <v>0</v>
      </c>
      <c r="EY26" s="4">
        <f t="shared" si="19"/>
        <v>0</v>
      </c>
      <c r="EZ26" s="4">
        <f t="shared" si="19"/>
        <v>0</v>
      </c>
      <c r="FA26" s="4">
        <f t="shared" si="19"/>
        <v>0</v>
      </c>
      <c r="FB26" s="4">
        <f t="shared" si="19"/>
        <v>0</v>
      </c>
      <c r="FC26" s="4">
        <f t="shared" si="19"/>
        <v>0</v>
      </c>
      <c r="FD26" s="4">
        <f t="shared" si="19"/>
        <v>0</v>
      </c>
      <c r="FE26" s="4">
        <f t="shared" si="19"/>
        <v>0</v>
      </c>
      <c r="FF26" s="4">
        <f t="shared" si="19"/>
        <v>0</v>
      </c>
      <c r="FG26" s="4">
        <f t="shared" si="19"/>
        <v>0</v>
      </c>
      <c r="FH26" s="4">
        <f t="shared" si="19"/>
        <v>0</v>
      </c>
      <c r="FI26" s="4">
        <f t="shared" si="19"/>
        <v>0</v>
      </c>
      <c r="FJ26" s="4">
        <f t="shared" si="19"/>
        <v>0</v>
      </c>
      <c r="FK26" s="4">
        <f t="shared" si="19"/>
        <v>0</v>
      </c>
      <c r="FL26" s="4">
        <f t="shared" si="19"/>
        <v>0</v>
      </c>
      <c r="FM26" s="4">
        <f t="shared" si="19"/>
        <v>0</v>
      </c>
      <c r="FN26" s="4">
        <f t="shared" si="19"/>
        <v>0</v>
      </c>
      <c r="FO26" s="4">
        <f t="shared" si="19"/>
        <v>0</v>
      </c>
      <c r="FP26" s="4">
        <f t="shared" si="19"/>
        <v>0</v>
      </c>
      <c r="FQ26" s="4">
        <f t="shared" si="19"/>
        <v>0</v>
      </c>
      <c r="FR26" s="4">
        <f t="shared" si="19"/>
        <v>0</v>
      </c>
      <c r="FS26" s="4">
        <f t="shared" ref="FS26:GX26" si="20">FS35</f>
        <v>0</v>
      </c>
      <c r="FT26" s="4">
        <f t="shared" si="20"/>
        <v>0</v>
      </c>
      <c r="FU26" s="4">
        <f t="shared" si="20"/>
        <v>0</v>
      </c>
      <c r="FV26" s="4">
        <f t="shared" si="20"/>
        <v>0</v>
      </c>
      <c r="FW26" s="4">
        <f t="shared" si="20"/>
        <v>0</v>
      </c>
      <c r="FX26" s="4">
        <f t="shared" si="20"/>
        <v>0</v>
      </c>
      <c r="FY26" s="4">
        <f t="shared" si="20"/>
        <v>0</v>
      </c>
      <c r="FZ26" s="4">
        <f t="shared" si="20"/>
        <v>0</v>
      </c>
      <c r="GA26" s="4">
        <f t="shared" si="20"/>
        <v>0</v>
      </c>
      <c r="GB26" s="4">
        <f t="shared" si="20"/>
        <v>0</v>
      </c>
      <c r="GC26" s="4">
        <f t="shared" si="20"/>
        <v>0</v>
      </c>
      <c r="GD26" s="4">
        <f t="shared" si="20"/>
        <v>0</v>
      </c>
      <c r="GE26" s="4">
        <f t="shared" si="20"/>
        <v>0</v>
      </c>
      <c r="GF26" s="4">
        <f t="shared" si="20"/>
        <v>0</v>
      </c>
      <c r="GG26" s="4">
        <f t="shared" si="20"/>
        <v>0</v>
      </c>
      <c r="GH26" s="4">
        <f t="shared" si="20"/>
        <v>0</v>
      </c>
      <c r="GI26" s="4">
        <f t="shared" si="20"/>
        <v>0</v>
      </c>
      <c r="GJ26" s="4">
        <f t="shared" si="20"/>
        <v>0</v>
      </c>
      <c r="GK26" s="4">
        <f t="shared" si="20"/>
        <v>0</v>
      </c>
      <c r="GL26" s="4">
        <f t="shared" si="20"/>
        <v>0</v>
      </c>
      <c r="GM26" s="4">
        <f t="shared" si="20"/>
        <v>0</v>
      </c>
      <c r="GN26" s="4">
        <f t="shared" si="20"/>
        <v>0</v>
      </c>
      <c r="GO26" s="4">
        <f t="shared" si="20"/>
        <v>0</v>
      </c>
      <c r="GP26" s="4">
        <f t="shared" si="20"/>
        <v>0</v>
      </c>
      <c r="GQ26" s="4">
        <f t="shared" si="20"/>
        <v>0</v>
      </c>
      <c r="GR26" s="4">
        <f t="shared" si="20"/>
        <v>0</v>
      </c>
      <c r="GS26" s="4">
        <f t="shared" si="20"/>
        <v>0</v>
      </c>
      <c r="GT26" s="4">
        <f t="shared" si="20"/>
        <v>0</v>
      </c>
      <c r="GU26" s="4">
        <f t="shared" si="20"/>
        <v>0</v>
      </c>
      <c r="GV26" s="4">
        <f t="shared" si="20"/>
        <v>0</v>
      </c>
      <c r="GW26" s="4">
        <f t="shared" si="20"/>
        <v>0</v>
      </c>
      <c r="GX26" s="4">
        <f t="shared" si="20"/>
        <v>0</v>
      </c>
    </row>
    <row r="28" spans="1:255" x14ac:dyDescent="0.2">
      <c r="A28" s="2">
        <v>17</v>
      </c>
      <c r="B28" s="2">
        <v>1</v>
      </c>
      <c r="C28" s="2">
        <f>ROW(SmtRes!A2)</f>
        <v>2</v>
      </c>
      <c r="D28" s="2">
        <f>ROW(EtalonRes!A2)</f>
        <v>2</v>
      </c>
      <c r="E28" s="2" t="s">
        <v>18</v>
      </c>
      <c r="F28" s="2" t="s">
        <v>19</v>
      </c>
      <c r="G28" s="2" t="s">
        <v>20</v>
      </c>
      <c r="H28" s="2" t="s">
        <v>21</v>
      </c>
      <c r="I28" s="2">
        <f>ROUND(262/1000,7)</f>
        <v>0.26200000000000001</v>
      </c>
      <c r="J28" s="2">
        <v>0</v>
      </c>
      <c r="K28" s="2">
        <f>ROUND(262/1000,7)</f>
        <v>0.26200000000000001</v>
      </c>
      <c r="L28" s="2"/>
      <c r="M28" s="2"/>
      <c r="N28" s="2"/>
      <c r="O28" s="2">
        <f t="shared" ref="O28:O33" si="21">ROUND(CP28,2)</f>
        <v>13169.05</v>
      </c>
      <c r="P28" s="2">
        <f>SUMIF(SmtRes!AQ1:'SmtRes'!AQ2,"=1",SmtRes!DF1:'SmtRes'!DF2)</f>
        <v>0</v>
      </c>
      <c r="Q28" s="2">
        <f>SUMIF(SmtRes!AQ1:'SmtRes'!AQ2,"=1",SmtRes!DG1:'SmtRes'!DG2)</f>
        <v>9577.08</v>
      </c>
      <c r="R28" s="2">
        <f>SUMIF(SmtRes!AQ1:'SmtRes'!AQ2,"=1",SmtRes!DH1:'SmtRes'!DH2)</f>
        <v>3591.97</v>
      </c>
      <c r="S28" s="2">
        <f>SUMIF(SmtRes!AQ1:'SmtRes'!AQ2,"=1",SmtRes!DI1:'SmtRes'!DI2)</f>
        <v>0</v>
      </c>
      <c r="T28" s="2">
        <f t="shared" ref="T28:T33" si="22">ROUND(CU28*I28,2)</f>
        <v>0</v>
      </c>
      <c r="U28" s="2">
        <f>SUMIF(SmtRes!AQ1:'SmtRes'!AQ2,"=1",SmtRes!CV1:'SmtRes'!CV2)</f>
        <v>0</v>
      </c>
      <c r="V28" s="2">
        <f>SUMIF(SmtRes!AQ1:'SmtRes'!AQ2,"=1",SmtRes!CW1:'SmtRes'!CW2)</f>
        <v>6.681</v>
      </c>
      <c r="W28" s="2">
        <f t="shared" ref="W28:W33" si="23">ROUND(CX28*I28,2)</f>
        <v>0</v>
      </c>
      <c r="X28" s="2">
        <f t="shared" ref="X28:Y33" si="24">ROUND(CY28,2)</f>
        <v>3304.61</v>
      </c>
      <c r="Y28" s="2">
        <f t="shared" si="24"/>
        <v>1652.31</v>
      </c>
      <c r="Z28" s="2"/>
      <c r="AA28" s="2">
        <v>73953415</v>
      </c>
      <c r="AB28" s="2">
        <f t="shared" ref="AB28:AB33" si="25">ROUND((AC28+AD28+AF28),6)</f>
        <v>26877.764999999999</v>
      </c>
      <c r="AC28" s="2">
        <f>ROUND((0),6)</f>
        <v>0</v>
      </c>
      <c r="AD28" s="2">
        <f>ROUND((((SUM(SmtRes!BR1:'SmtRes'!BR2))-(SUM(SmtRes!BS1:'SmtRes'!BS2)))+AE28),6)</f>
        <v>26877.764999999999</v>
      </c>
      <c r="AE28" s="2">
        <f>ROUND((SUM(SmtRes!BS1:'SmtRes'!BS2)),6)</f>
        <v>13709.82</v>
      </c>
      <c r="AF28" s="2">
        <f>ROUND((0),6)</f>
        <v>0</v>
      </c>
      <c r="AG28" s="2">
        <f t="shared" ref="AG28:AG33" si="26">ROUND((AP28),6)</f>
        <v>0</v>
      </c>
      <c r="AH28" s="2">
        <f>(0)</f>
        <v>0</v>
      </c>
      <c r="AI28" s="2">
        <f>(SUM(SmtRes!BV1:'SmtRes'!BV2))</f>
        <v>25.5</v>
      </c>
      <c r="AJ28" s="2">
        <f t="shared" ref="AJ28:AJ33" si="27">(AS28)</f>
        <v>0</v>
      </c>
      <c r="AK28" s="2">
        <v>40587.584999999999</v>
      </c>
      <c r="AL28" s="2">
        <v>0</v>
      </c>
      <c r="AM28" s="2">
        <v>26877.764999999999</v>
      </c>
      <c r="AN28" s="2">
        <v>13709.82</v>
      </c>
      <c r="AO28" s="2">
        <v>0</v>
      </c>
      <c r="AP28" s="2">
        <v>0</v>
      </c>
      <c r="AQ28" s="2">
        <v>0</v>
      </c>
      <c r="AR28" s="2">
        <v>25.5</v>
      </c>
      <c r="AS28" s="2">
        <v>0</v>
      </c>
      <c r="AT28" s="2">
        <v>92</v>
      </c>
      <c r="AU28" s="2">
        <v>46</v>
      </c>
      <c r="AV28" s="2">
        <v>1</v>
      </c>
      <c r="AW28" s="2">
        <v>1</v>
      </c>
      <c r="AX28" s="2"/>
      <c r="AY28" s="2"/>
      <c r="AZ28" s="2">
        <v>1</v>
      </c>
      <c r="BA28" s="2">
        <v>1</v>
      </c>
      <c r="BB28" s="2">
        <v>1</v>
      </c>
      <c r="BC28" s="2">
        <v>1</v>
      </c>
      <c r="BD28" s="2" t="s">
        <v>3</v>
      </c>
      <c r="BE28" s="2" t="s">
        <v>3</v>
      </c>
      <c r="BF28" s="2" t="s">
        <v>3</v>
      </c>
      <c r="BG28" s="2" t="s">
        <v>3</v>
      </c>
      <c r="BH28" s="2">
        <v>0</v>
      </c>
      <c r="BI28" s="2">
        <v>1</v>
      </c>
      <c r="BJ28" s="2" t="s">
        <v>22</v>
      </c>
      <c r="BK28" s="2"/>
      <c r="BL28" s="2"/>
      <c r="BM28" s="2">
        <v>1001</v>
      </c>
      <c r="BN28" s="2">
        <v>0</v>
      </c>
      <c r="BO28" s="2" t="s">
        <v>3</v>
      </c>
      <c r="BP28" s="2">
        <v>0</v>
      </c>
      <c r="BQ28" s="2">
        <v>2</v>
      </c>
      <c r="BR28" s="2">
        <v>0</v>
      </c>
      <c r="BS28" s="2">
        <v>1</v>
      </c>
      <c r="BT28" s="2">
        <v>1</v>
      </c>
      <c r="BU28" s="2">
        <v>1</v>
      </c>
      <c r="BV28" s="2">
        <v>1</v>
      </c>
      <c r="BW28" s="2">
        <v>1</v>
      </c>
      <c r="BX28" s="2">
        <v>1</v>
      </c>
      <c r="BY28" s="2" t="s">
        <v>3</v>
      </c>
      <c r="BZ28" s="2">
        <v>92</v>
      </c>
      <c r="CA28" s="2">
        <v>46</v>
      </c>
      <c r="CB28" s="2" t="s">
        <v>3</v>
      </c>
      <c r="CC28" s="2"/>
      <c r="CD28" s="2"/>
      <c r="CE28" s="2">
        <v>0</v>
      </c>
      <c r="CF28" s="2">
        <v>0</v>
      </c>
      <c r="CG28" s="2">
        <v>0</v>
      </c>
      <c r="CH28" s="2"/>
      <c r="CI28" s="2"/>
      <c r="CJ28" s="2"/>
      <c r="CK28" s="2"/>
      <c r="CL28" s="2"/>
      <c r="CM28" s="2">
        <v>0</v>
      </c>
      <c r="CN28" s="2" t="s">
        <v>3</v>
      </c>
      <c r="CO28" s="2">
        <v>0</v>
      </c>
      <c r="CP28" s="2">
        <f t="shared" ref="CP28:CP33" si="28">(P28+Q28+S28+R28)</f>
        <v>13169.05</v>
      </c>
      <c r="CQ28" s="2">
        <f>SUMIF(SmtRes!AQ1:'SmtRes'!AQ2,"=1",SmtRes!AA1:'SmtRes'!AA2)</f>
        <v>0</v>
      </c>
      <c r="CR28" s="2">
        <f>SUMIF(SmtRes!AQ1:'SmtRes'!AQ2,"=1",SmtRes!AB1:'SmtRes'!AB2)</f>
        <v>1433.48</v>
      </c>
      <c r="CS28" s="2">
        <f>SUMIF(SmtRes!AQ1:'SmtRes'!AQ2,"=1",SmtRes!AC1:'SmtRes'!AC2)</f>
        <v>537.64</v>
      </c>
      <c r="CT28" s="2">
        <f>SUMIF(SmtRes!AQ1:'SmtRes'!AQ2,"=1",SmtRes!AD1:'SmtRes'!AD2)</f>
        <v>0</v>
      </c>
      <c r="CU28" s="2">
        <f t="shared" ref="CU28:CU33" si="29">AG28</f>
        <v>0</v>
      </c>
      <c r="CV28" s="2">
        <f>SUMIF(SmtRes!AQ1:'SmtRes'!AQ2,"=1",SmtRes!BU1:'SmtRes'!BU2)</f>
        <v>0</v>
      </c>
      <c r="CW28" s="2">
        <f>SUMIF(SmtRes!AQ1:'SmtRes'!AQ2,"=1",SmtRes!BV1:'SmtRes'!BV2)</f>
        <v>25.5</v>
      </c>
      <c r="CX28" s="2">
        <f t="shared" ref="CX28:CX33" si="30">AJ28</f>
        <v>0</v>
      </c>
      <c r="CY28" s="2">
        <f t="shared" ref="CY28:CY33" si="31">(((S28+R28)*AT28)/100)</f>
        <v>3304.6124</v>
      </c>
      <c r="CZ28" s="2">
        <f t="shared" ref="CZ28:CZ33" si="32">(((S28+R28)*AU28)/100)</f>
        <v>1652.3062</v>
      </c>
      <c r="DA28" s="2"/>
      <c r="DB28" s="2"/>
      <c r="DC28" s="2" t="s">
        <v>3</v>
      </c>
      <c r="DD28" s="2" t="s">
        <v>3</v>
      </c>
      <c r="DE28" s="2" t="s">
        <v>3</v>
      </c>
      <c r="DF28" s="2" t="s">
        <v>3</v>
      </c>
      <c r="DG28" s="2" t="s">
        <v>3</v>
      </c>
      <c r="DH28" s="2" t="s">
        <v>3</v>
      </c>
      <c r="DI28" s="2" t="s">
        <v>3</v>
      </c>
      <c r="DJ28" s="2" t="s">
        <v>3</v>
      </c>
      <c r="DK28" s="2" t="s">
        <v>3</v>
      </c>
      <c r="DL28" s="2" t="s">
        <v>3</v>
      </c>
      <c r="DM28" s="2" t="s">
        <v>3</v>
      </c>
      <c r="DN28" s="2">
        <v>0</v>
      </c>
      <c r="DO28" s="2">
        <v>0</v>
      </c>
      <c r="DP28" s="2">
        <v>1</v>
      </c>
      <c r="DQ28" s="2">
        <v>1</v>
      </c>
      <c r="DR28" s="2"/>
      <c r="DS28" s="2"/>
      <c r="DT28" s="2"/>
      <c r="DU28" s="2">
        <v>1007</v>
      </c>
      <c r="DV28" s="2" t="s">
        <v>21</v>
      </c>
      <c r="DW28" s="2" t="s">
        <v>21</v>
      </c>
      <c r="DX28" s="2">
        <v>1000</v>
      </c>
      <c r="DY28" s="2"/>
      <c r="DZ28" s="2" t="s">
        <v>3</v>
      </c>
      <c r="EA28" s="2" t="s">
        <v>3</v>
      </c>
      <c r="EB28" s="2" t="s">
        <v>3</v>
      </c>
      <c r="EC28" s="2" t="s">
        <v>3</v>
      </c>
      <c r="ED28" s="2"/>
      <c r="EE28" s="2">
        <v>72340571</v>
      </c>
      <c r="EF28" s="2">
        <v>2</v>
      </c>
      <c r="EG28" s="2" t="s">
        <v>23</v>
      </c>
      <c r="EH28" s="2">
        <v>1</v>
      </c>
      <c r="EI28" s="2" t="s">
        <v>17</v>
      </c>
      <c r="EJ28" s="2">
        <v>1</v>
      </c>
      <c r="EK28" s="2">
        <v>1001</v>
      </c>
      <c r="EL28" s="2" t="s">
        <v>24</v>
      </c>
      <c r="EM28" s="2" t="s">
        <v>25</v>
      </c>
      <c r="EN28" s="2"/>
      <c r="EO28" s="2" t="s">
        <v>3</v>
      </c>
      <c r="EP28" s="2"/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25.5</v>
      </c>
      <c r="EY28" s="2">
        <v>0</v>
      </c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>
        <v>0</v>
      </c>
      <c r="FR28" s="2">
        <v>0</v>
      </c>
      <c r="FS28" s="2">
        <v>0</v>
      </c>
      <c r="FT28" s="2"/>
      <c r="FU28" s="2"/>
      <c r="FV28" s="2"/>
      <c r="FW28" s="2"/>
      <c r="FX28" s="2">
        <v>92</v>
      </c>
      <c r="FY28" s="2">
        <v>46</v>
      </c>
      <c r="FZ28" s="2"/>
      <c r="GA28" s="2" t="s">
        <v>3</v>
      </c>
      <c r="GB28" s="2"/>
      <c r="GC28" s="2"/>
      <c r="GD28" s="2">
        <v>1</v>
      </c>
      <c r="GE28" s="2"/>
      <c r="GF28" s="2">
        <v>1103103698</v>
      </c>
      <c r="GG28" s="2">
        <v>2</v>
      </c>
      <c r="GH28" s="2">
        <v>1</v>
      </c>
      <c r="GI28" s="2">
        <v>-2</v>
      </c>
      <c r="GJ28" s="2">
        <v>0</v>
      </c>
      <c r="GK28" s="2">
        <v>0</v>
      </c>
      <c r="GL28" s="2">
        <f t="shared" ref="GL28:GL33" si="33">ROUND(IF(AND(BH28=3,BI28=3,FS28&lt;&gt;0),P28,0),2)</f>
        <v>0</v>
      </c>
      <c r="GM28" s="2">
        <f t="shared" ref="GM28:GM33" si="34">ROUND(O28+X28+Y28,2)+GX28</f>
        <v>18125.97</v>
      </c>
      <c r="GN28" s="2">
        <f t="shared" ref="GN28:GN33" si="35">IF(OR(BI28=0,BI28=1),GM28-GX28,0)</f>
        <v>18125.97</v>
      </c>
      <c r="GO28" s="2">
        <f t="shared" ref="GO28:GO33" si="36">IF(BI28=2,GM28-GX28,0)</f>
        <v>0</v>
      </c>
      <c r="GP28" s="2">
        <f t="shared" ref="GP28:GP33" si="37">IF(BI28=4,GM28-GX28,0)</f>
        <v>0</v>
      </c>
      <c r="GQ28" s="2"/>
      <c r="GR28" s="2">
        <v>0</v>
      </c>
      <c r="GS28" s="2">
        <v>3</v>
      </c>
      <c r="GT28" s="2">
        <v>0</v>
      </c>
      <c r="GU28" s="2" t="s">
        <v>3</v>
      </c>
      <c r="GV28" s="2">
        <f t="shared" ref="GV28:GV33" si="38">ROUND((GT28),6)</f>
        <v>0</v>
      </c>
      <c r="GW28" s="2">
        <v>1</v>
      </c>
      <c r="GX28" s="2">
        <f t="shared" ref="GX28:GX33" si="39">ROUND(HC28*I28,2)</f>
        <v>0</v>
      </c>
      <c r="GY28" s="2"/>
      <c r="GZ28" s="2"/>
      <c r="HA28" s="2">
        <v>0</v>
      </c>
      <c r="HB28" s="2">
        <v>0</v>
      </c>
      <c r="HC28" s="2">
        <f t="shared" ref="HC28:HC33" si="40">GV28*GW28</f>
        <v>0</v>
      </c>
      <c r="HD28" s="2"/>
      <c r="HE28" s="2" t="s">
        <v>3</v>
      </c>
      <c r="HF28" s="2" t="s">
        <v>3</v>
      </c>
      <c r="HG28" s="2"/>
      <c r="HH28" s="2"/>
      <c r="HI28" s="2"/>
      <c r="HJ28" s="2"/>
      <c r="HK28" s="2"/>
      <c r="HL28" s="2"/>
      <c r="HM28" s="2" t="s">
        <v>3</v>
      </c>
      <c r="HN28" s="2" t="s">
        <v>26</v>
      </c>
      <c r="HO28" s="2" t="s">
        <v>27</v>
      </c>
      <c r="HP28" s="2" t="s">
        <v>24</v>
      </c>
      <c r="HQ28" s="2" t="s">
        <v>24</v>
      </c>
      <c r="HR28" s="2"/>
      <c r="HS28" s="2">
        <v>0</v>
      </c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>
        <v>0</v>
      </c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pans="1:255" x14ac:dyDescent="0.2">
      <c r="A29" s="2">
        <v>17</v>
      </c>
      <c r="B29" s="2">
        <v>1</v>
      </c>
      <c r="C29" s="2">
        <f>ROW(SmtRes!A3)</f>
        <v>3</v>
      </c>
      <c r="D29" s="2">
        <f>ROW(EtalonRes!A3)</f>
        <v>3</v>
      </c>
      <c r="E29" s="2" t="s">
        <v>28</v>
      </c>
      <c r="F29" s="2" t="s">
        <v>29</v>
      </c>
      <c r="G29" s="2" t="s">
        <v>30</v>
      </c>
      <c r="H29" s="2" t="s">
        <v>31</v>
      </c>
      <c r="I29" s="2">
        <f>ROUND(8/100,7)</f>
        <v>0.08</v>
      </c>
      <c r="J29" s="2">
        <v>0</v>
      </c>
      <c r="K29" s="2">
        <f>ROUND(8/100,7)</f>
        <v>0.08</v>
      </c>
      <c r="L29" s="2"/>
      <c r="M29" s="2"/>
      <c r="N29" s="2"/>
      <c r="O29" s="2">
        <f t="shared" si="21"/>
        <v>4011.02</v>
      </c>
      <c r="P29" s="2">
        <f>SUMIF(SmtRes!AQ3:'SmtRes'!AQ3,"=1",SmtRes!DF3:'SmtRes'!DF3)</f>
        <v>0</v>
      </c>
      <c r="Q29" s="2">
        <f>SUMIF(SmtRes!AQ3:'SmtRes'!AQ3,"=1",SmtRes!DG3:'SmtRes'!DG3)</f>
        <v>0</v>
      </c>
      <c r="R29" s="2">
        <f>SUMIF(SmtRes!AQ3:'SmtRes'!AQ3,"=1",SmtRes!DH3:'SmtRes'!DH3)</f>
        <v>0</v>
      </c>
      <c r="S29" s="2">
        <f>SUMIF(SmtRes!AQ3:'SmtRes'!AQ3,"=1",SmtRes!DI3:'SmtRes'!DI3)</f>
        <v>4011.02</v>
      </c>
      <c r="T29" s="2">
        <f t="shared" si="22"/>
        <v>0</v>
      </c>
      <c r="U29" s="2">
        <f>SUMIF(SmtRes!AQ3:'SmtRes'!AQ3,"=1",SmtRes!CV3:'SmtRes'!CV3)</f>
        <v>12.32</v>
      </c>
      <c r="V29" s="2">
        <f>SUMIF(SmtRes!AQ3:'SmtRes'!AQ3,"=1",SmtRes!CW3:'SmtRes'!CW3)</f>
        <v>0</v>
      </c>
      <c r="W29" s="2">
        <f t="shared" si="23"/>
        <v>0</v>
      </c>
      <c r="X29" s="2">
        <f t="shared" si="24"/>
        <v>3569.81</v>
      </c>
      <c r="Y29" s="2">
        <f t="shared" si="24"/>
        <v>1604.41</v>
      </c>
      <c r="Z29" s="2"/>
      <c r="AA29" s="2">
        <v>73953415</v>
      </c>
      <c r="AB29" s="2">
        <f t="shared" si="25"/>
        <v>50137.78</v>
      </c>
      <c r="AC29" s="2">
        <f>ROUND((0),6)</f>
        <v>0</v>
      </c>
      <c r="AD29" s="2">
        <f>ROUND((((0)-(0))+AE29),6)</f>
        <v>0</v>
      </c>
      <c r="AE29" s="2">
        <f>ROUND((0),6)</f>
        <v>0</v>
      </c>
      <c r="AF29" s="2">
        <f>ROUND((SUM(SmtRes!BT3:'SmtRes'!BT3)),6)</f>
        <v>50137.78</v>
      </c>
      <c r="AG29" s="2">
        <f t="shared" si="26"/>
        <v>0</v>
      </c>
      <c r="AH29" s="2">
        <f>(SUM(SmtRes!BU3:'SmtRes'!BU3))</f>
        <v>154</v>
      </c>
      <c r="AI29" s="2">
        <f>(0)</f>
        <v>0</v>
      </c>
      <c r="AJ29" s="2">
        <f t="shared" si="27"/>
        <v>0</v>
      </c>
      <c r="AK29" s="2">
        <v>50137.78</v>
      </c>
      <c r="AL29" s="2">
        <v>0</v>
      </c>
      <c r="AM29" s="2">
        <v>0</v>
      </c>
      <c r="AN29" s="2">
        <v>0</v>
      </c>
      <c r="AO29" s="2">
        <v>50137.78</v>
      </c>
      <c r="AP29" s="2">
        <v>0</v>
      </c>
      <c r="AQ29" s="2">
        <v>154</v>
      </c>
      <c r="AR29" s="2">
        <v>0</v>
      </c>
      <c r="AS29" s="2">
        <v>0</v>
      </c>
      <c r="AT29" s="2">
        <v>89</v>
      </c>
      <c r="AU29" s="2">
        <v>40</v>
      </c>
      <c r="AV29" s="2">
        <v>1</v>
      </c>
      <c r="AW29" s="2">
        <v>1</v>
      </c>
      <c r="AX29" s="2"/>
      <c r="AY29" s="2"/>
      <c r="AZ29" s="2">
        <v>1</v>
      </c>
      <c r="BA29" s="2">
        <v>1</v>
      </c>
      <c r="BB29" s="2">
        <v>1</v>
      </c>
      <c r="BC29" s="2">
        <v>1</v>
      </c>
      <c r="BD29" s="2" t="s">
        <v>3</v>
      </c>
      <c r="BE29" s="2" t="s">
        <v>3</v>
      </c>
      <c r="BF29" s="2" t="s">
        <v>3</v>
      </c>
      <c r="BG29" s="2" t="s">
        <v>3</v>
      </c>
      <c r="BH29" s="2">
        <v>0</v>
      </c>
      <c r="BI29" s="2">
        <v>1</v>
      </c>
      <c r="BJ29" s="2" t="s">
        <v>32</v>
      </c>
      <c r="BK29" s="2"/>
      <c r="BL29" s="2"/>
      <c r="BM29" s="2">
        <v>1003</v>
      </c>
      <c r="BN29" s="2">
        <v>0</v>
      </c>
      <c r="BO29" s="2" t="s">
        <v>3</v>
      </c>
      <c r="BP29" s="2">
        <v>0</v>
      </c>
      <c r="BQ29" s="2">
        <v>2</v>
      </c>
      <c r="BR29" s="2">
        <v>0</v>
      </c>
      <c r="BS29" s="2">
        <v>1</v>
      </c>
      <c r="BT29" s="2">
        <v>1</v>
      </c>
      <c r="BU29" s="2">
        <v>1</v>
      </c>
      <c r="BV29" s="2">
        <v>1</v>
      </c>
      <c r="BW29" s="2">
        <v>1</v>
      </c>
      <c r="BX29" s="2">
        <v>1</v>
      </c>
      <c r="BY29" s="2" t="s">
        <v>3</v>
      </c>
      <c r="BZ29" s="2">
        <v>89</v>
      </c>
      <c r="CA29" s="2">
        <v>40</v>
      </c>
      <c r="CB29" s="2" t="s">
        <v>3</v>
      </c>
      <c r="CC29" s="2"/>
      <c r="CD29" s="2"/>
      <c r="CE29" s="2">
        <v>0</v>
      </c>
      <c r="CF29" s="2">
        <v>0</v>
      </c>
      <c r="CG29" s="2">
        <v>0</v>
      </c>
      <c r="CH29" s="2"/>
      <c r="CI29" s="2"/>
      <c r="CJ29" s="2"/>
      <c r="CK29" s="2"/>
      <c r="CL29" s="2"/>
      <c r="CM29" s="2">
        <v>0</v>
      </c>
      <c r="CN29" s="2" t="s">
        <v>3</v>
      </c>
      <c r="CO29" s="2">
        <v>0</v>
      </c>
      <c r="CP29" s="2">
        <f t="shared" si="28"/>
        <v>4011.02</v>
      </c>
      <c r="CQ29" s="2">
        <f>SUMIF(SmtRes!AQ3:'SmtRes'!AQ3,"=1",SmtRes!AA3:'SmtRes'!AA3)</f>
        <v>0</v>
      </c>
      <c r="CR29" s="2">
        <f>SUMIF(SmtRes!AQ3:'SmtRes'!AQ3,"=1",SmtRes!AB3:'SmtRes'!AB3)</f>
        <v>0</v>
      </c>
      <c r="CS29" s="2">
        <f>SUMIF(SmtRes!AQ3:'SmtRes'!AQ3,"=1",SmtRes!AC3:'SmtRes'!AC3)</f>
        <v>0</v>
      </c>
      <c r="CT29" s="2">
        <f>SUMIF(SmtRes!AQ3:'SmtRes'!AQ3,"=1",SmtRes!AD3:'SmtRes'!AD3)</f>
        <v>325.57</v>
      </c>
      <c r="CU29" s="2">
        <f t="shared" si="29"/>
        <v>0</v>
      </c>
      <c r="CV29" s="2">
        <f>SUMIF(SmtRes!AQ3:'SmtRes'!AQ3,"=1",SmtRes!BU3:'SmtRes'!BU3)</f>
        <v>154</v>
      </c>
      <c r="CW29" s="2">
        <f>SUMIF(SmtRes!AQ3:'SmtRes'!AQ3,"=1",SmtRes!BV3:'SmtRes'!BV3)</f>
        <v>0</v>
      </c>
      <c r="CX29" s="2">
        <f t="shared" si="30"/>
        <v>0</v>
      </c>
      <c r="CY29" s="2">
        <f t="shared" si="31"/>
        <v>3569.8077999999996</v>
      </c>
      <c r="CZ29" s="2">
        <f t="shared" si="32"/>
        <v>1604.4079999999999</v>
      </c>
      <c r="DA29" s="2"/>
      <c r="DB29" s="2"/>
      <c r="DC29" s="2" t="s">
        <v>3</v>
      </c>
      <c r="DD29" s="2" t="s">
        <v>3</v>
      </c>
      <c r="DE29" s="2" t="s">
        <v>3</v>
      </c>
      <c r="DF29" s="2" t="s">
        <v>3</v>
      </c>
      <c r="DG29" s="2" t="s">
        <v>3</v>
      </c>
      <c r="DH29" s="2" t="s">
        <v>3</v>
      </c>
      <c r="DI29" s="2" t="s">
        <v>3</v>
      </c>
      <c r="DJ29" s="2" t="s">
        <v>3</v>
      </c>
      <c r="DK29" s="2" t="s">
        <v>3</v>
      </c>
      <c r="DL29" s="2" t="s">
        <v>3</v>
      </c>
      <c r="DM29" s="2" t="s">
        <v>3</v>
      </c>
      <c r="DN29" s="2">
        <v>0</v>
      </c>
      <c r="DO29" s="2">
        <v>0</v>
      </c>
      <c r="DP29" s="2">
        <v>1</v>
      </c>
      <c r="DQ29" s="2">
        <v>1</v>
      </c>
      <c r="DR29" s="2"/>
      <c r="DS29" s="2"/>
      <c r="DT29" s="2"/>
      <c r="DU29" s="2">
        <v>1007</v>
      </c>
      <c r="DV29" s="2" t="s">
        <v>31</v>
      </c>
      <c r="DW29" s="2" t="s">
        <v>31</v>
      </c>
      <c r="DX29" s="2">
        <v>100</v>
      </c>
      <c r="DY29" s="2"/>
      <c r="DZ29" s="2" t="s">
        <v>3</v>
      </c>
      <c r="EA29" s="2" t="s">
        <v>3</v>
      </c>
      <c r="EB29" s="2" t="s">
        <v>3</v>
      </c>
      <c r="EC29" s="2" t="s">
        <v>3</v>
      </c>
      <c r="ED29" s="2"/>
      <c r="EE29" s="2">
        <v>72340573</v>
      </c>
      <c r="EF29" s="2">
        <v>2</v>
      </c>
      <c r="EG29" s="2" t="s">
        <v>23</v>
      </c>
      <c r="EH29" s="2">
        <v>1</v>
      </c>
      <c r="EI29" s="2" t="s">
        <v>17</v>
      </c>
      <c r="EJ29" s="2">
        <v>1</v>
      </c>
      <c r="EK29" s="2">
        <v>1003</v>
      </c>
      <c r="EL29" s="2" t="s">
        <v>33</v>
      </c>
      <c r="EM29" s="2" t="s">
        <v>25</v>
      </c>
      <c r="EN29" s="2"/>
      <c r="EO29" s="2" t="s">
        <v>3</v>
      </c>
      <c r="EP29" s="2"/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154</v>
      </c>
      <c r="EX29" s="2">
        <v>0</v>
      </c>
      <c r="EY29" s="2">
        <v>0</v>
      </c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>
        <v>0</v>
      </c>
      <c r="FR29" s="2">
        <v>0</v>
      </c>
      <c r="FS29" s="2">
        <v>0</v>
      </c>
      <c r="FT29" s="2"/>
      <c r="FU29" s="2"/>
      <c r="FV29" s="2"/>
      <c r="FW29" s="2"/>
      <c r="FX29" s="2">
        <v>89</v>
      </c>
      <c r="FY29" s="2">
        <v>40</v>
      </c>
      <c r="FZ29" s="2"/>
      <c r="GA29" s="2" t="s">
        <v>3</v>
      </c>
      <c r="GB29" s="2"/>
      <c r="GC29" s="2"/>
      <c r="GD29" s="2">
        <v>1</v>
      </c>
      <c r="GE29" s="2"/>
      <c r="GF29" s="2">
        <v>1750746771</v>
      </c>
      <c r="GG29" s="2">
        <v>2</v>
      </c>
      <c r="GH29" s="2">
        <v>1</v>
      </c>
      <c r="GI29" s="2">
        <v>-2</v>
      </c>
      <c r="GJ29" s="2">
        <v>0</v>
      </c>
      <c r="GK29" s="2">
        <v>0</v>
      </c>
      <c r="GL29" s="2">
        <f t="shared" si="33"/>
        <v>0</v>
      </c>
      <c r="GM29" s="2">
        <f t="shared" si="34"/>
        <v>9185.24</v>
      </c>
      <c r="GN29" s="2">
        <f t="shared" si="35"/>
        <v>9185.24</v>
      </c>
      <c r="GO29" s="2">
        <f t="shared" si="36"/>
        <v>0</v>
      </c>
      <c r="GP29" s="2">
        <f t="shared" si="37"/>
        <v>0</v>
      </c>
      <c r="GQ29" s="2"/>
      <c r="GR29" s="2">
        <v>0</v>
      </c>
      <c r="GS29" s="2">
        <v>3</v>
      </c>
      <c r="GT29" s="2">
        <v>0</v>
      </c>
      <c r="GU29" s="2" t="s">
        <v>3</v>
      </c>
      <c r="GV29" s="2">
        <f t="shared" si="38"/>
        <v>0</v>
      </c>
      <c r="GW29" s="2">
        <v>1</v>
      </c>
      <c r="GX29" s="2">
        <f t="shared" si="39"/>
        <v>0</v>
      </c>
      <c r="GY29" s="2"/>
      <c r="GZ29" s="2"/>
      <c r="HA29" s="2">
        <v>0</v>
      </c>
      <c r="HB29" s="2">
        <v>0</v>
      </c>
      <c r="HC29" s="2">
        <f t="shared" si="40"/>
        <v>0</v>
      </c>
      <c r="HD29" s="2"/>
      <c r="HE29" s="2" t="s">
        <v>3</v>
      </c>
      <c r="HF29" s="2" t="s">
        <v>3</v>
      </c>
      <c r="HG29" s="2"/>
      <c r="HH29" s="2"/>
      <c r="HI29" s="2"/>
      <c r="HJ29" s="2"/>
      <c r="HK29" s="2"/>
      <c r="HL29" s="2"/>
      <c r="HM29" s="2" t="s">
        <v>3</v>
      </c>
      <c r="HN29" s="2" t="s">
        <v>34</v>
      </c>
      <c r="HO29" s="2" t="s">
        <v>35</v>
      </c>
      <c r="HP29" s="2" t="s">
        <v>33</v>
      </c>
      <c r="HQ29" s="2" t="s">
        <v>33</v>
      </c>
      <c r="HR29" s="2"/>
      <c r="HS29" s="2">
        <v>0</v>
      </c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>
        <v>0</v>
      </c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pans="1:255" x14ac:dyDescent="0.2">
      <c r="A30" s="2">
        <v>17</v>
      </c>
      <c r="B30" s="2">
        <v>1</v>
      </c>
      <c r="C30" s="2">
        <f>ROW(SmtRes!A7)</f>
        <v>7</v>
      </c>
      <c r="D30" s="2">
        <f>ROW(EtalonRes!A7)</f>
        <v>7</v>
      </c>
      <c r="E30" s="2" t="s">
        <v>36</v>
      </c>
      <c r="F30" s="2" t="s">
        <v>37</v>
      </c>
      <c r="G30" s="2" t="s">
        <v>38</v>
      </c>
      <c r="H30" s="2" t="s">
        <v>39</v>
      </c>
      <c r="I30" s="2">
        <f>ROUND(32.3/10,7)</f>
        <v>3.23</v>
      </c>
      <c r="J30" s="2">
        <v>0</v>
      </c>
      <c r="K30" s="2">
        <f>ROUND(32.3/10,7)</f>
        <v>3.23</v>
      </c>
      <c r="L30" s="2"/>
      <c r="M30" s="2"/>
      <c r="N30" s="2"/>
      <c r="O30" s="2">
        <f t="shared" si="21"/>
        <v>13432.21</v>
      </c>
      <c r="P30" s="2">
        <f>SUMIF(SmtRes!AQ4:'SmtRes'!AQ7,"=1",SmtRes!DF4:'SmtRes'!DF7)</f>
        <v>0</v>
      </c>
      <c r="Q30" s="2">
        <f>SUMIF(SmtRes!AQ4:'SmtRes'!AQ7,"=1",SmtRes!DG4:'SmtRes'!DG7)</f>
        <v>1738.33</v>
      </c>
      <c r="R30" s="2">
        <f>SUMIF(SmtRes!AQ4:'SmtRes'!AQ7,"=1",SmtRes!DH4:'SmtRes'!DH7)</f>
        <v>475.44</v>
      </c>
      <c r="S30" s="2">
        <f>SUMIF(SmtRes!AQ4:'SmtRes'!AQ7,"=1",SmtRes!DI4:'SmtRes'!DI7)</f>
        <v>11218.44</v>
      </c>
      <c r="T30" s="2">
        <f t="shared" si="22"/>
        <v>0</v>
      </c>
      <c r="U30" s="2">
        <f>SUMIF(SmtRes!AQ4:'SmtRes'!AQ7,"=1",SmtRes!CV4:'SmtRes'!CV7)</f>
        <v>32.945999999999998</v>
      </c>
      <c r="V30" s="2">
        <f>SUMIF(SmtRes!AQ4:'SmtRes'!AQ7,"=1",SmtRes!CW4:'SmtRes'!CW7)</f>
        <v>1.0336000000000001</v>
      </c>
      <c r="W30" s="2">
        <f t="shared" si="23"/>
        <v>0</v>
      </c>
      <c r="X30" s="2">
        <f t="shared" si="24"/>
        <v>13681.84</v>
      </c>
      <c r="Y30" s="2">
        <f t="shared" si="24"/>
        <v>8653.4699999999993</v>
      </c>
      <c r="Z30" s="2"/>
      <c r="AA30" s="2">
        <v>73953415</v>
      </c>
      <c r="AB30" s="2">
        <f t="shared" si="25"/>
        <v>4011.3843999999999</v>
      </c>
      <c r="AC30" s="2">
        <f>ROUND((0),6)</f>
        <v>0</v>
      </c>
      <c r="AD30" s="2">
        <f>ROUND((((SUM(SmtRes!BR4:'SmtRes'!BR7))-(SUM(SmtRes!BS4:'SmtRes'!BS7)))+AE30),6)</f>
        <v>538.18240000000003</v>
      </c>
      <c r="AE30" s="2">
        <f>ROUND((SUM(SmtRes!BS4:'SmtRes'!BS7)),6)</f>
        <v>147.1936</v>
      </c>
      <c r="AF30" s="2">
        <f>ROUND((SUM(SmtRes!BT4:'SmtRes'!BT7)),6)</f>
        <v>3473.2020000000002</v>
      </c>
      <c r="AG30" s="2">
        <f t="shared" si="26"/>
        <v>0</v>
      </c>
      <c r="AH30" s="2">
        <f>(SUM(SmtRes!BU4:'SmtRes'!BU7))</f>
        <v>10.199999999999999</v>
      </c>
      <c r="AI30" s="2">
        <f>(SUM(SmtRes!BV4:'SmtRes'!BV7))</f>
        <v>0.32</v>
      </c>
      <c r="AJ30" s="2">
        <f t="shared" si="27"/>
        <v>0</v>
      </c>
      <c r="AK30" s="2">
        <v>4158.5779999999995</v>
      </c>
      <c r="AL30" s="2">
        <v>0</v>
      </c>
      <c r="AM30" s="2">
        <v>538.18240000000003</v>
      </c>
      <c r="AN30" s="2">
        <v>147.1936</v>
      </c>
      <c r="AO30" s="2">
        <v>3473.2019999999998</v>
      </c>
      <c r="AP30" s="2">
        <v>0</v>
      </c>
      <c r="AQ30" s="2">
        <v>10.199999999999999</v>
      </c>
      <c r="AR30" s="2">
        <v>0.32</v>
      </c>
      <c r="AS30" s="2">
        <v>0</v>
      </c>
      <c r="AT30" s="2">
        <v>117</v>
      </c>
      <c r="AU30" s="2">
        <v>74</v>
      </c>
      <c r="AV30" s="2">
        <v>1</v>
      </c>
      <c r="AW30" s="2">
        <v>1</v>
      </c>
      <c r="AX30" s="2"/>
      <c r="AY30" s="2"/>
      <c r="AZ30" s="2">
        <v>1</v>
      </c>
      <c r="BA30" s="2">
        <v>1</v>
      </c>
      <c r="BB30" s="2">
        <v>1</v>
      </c>
      <c r="BC30" s="2">
        <v>1</v>
      </c>
      <c r="BD30" s="2" t="s">
        <v>3</v>
      </c>
      <c r="BE30" s="2" t="s">
        <v>3</v>
      </c>
      <c r="BF30" s="2" t="s">
        <v>3</v>
      </c>
      <c r="BG30" s="2" t="s">
        <v>3</v>
      </c>
      <c r="BH30" s="2">
        <v>0</v>
      </c>
      <c r="BI30" s="2">
        <v>1</v>
      </c>
      <c r="BJ30" s="2" t="s">
        <v>40</v>
      </c>
      <c r="BK30" s="2"/>
      <c r="BL30" s="2"/>
      <c r="BM30" s="2">
        <v>23001</v>
      </c>
      <c r="BN30" s="2">
        <v>0</v>
      </c>
      <c r="BO30" s="2" t="s">
        <v>3</v>
      </c>
      <c r="BP30" s="2">
        <v>0</v>
      </c>
      <c r="BQ30" s="2">
        <v>2</v>
      </c>
      <c r="BR30" s="2">
        <v>0</v>
      </c>
      <c r="BS30" s="2">
        <v>1</v>
      </c>
      <c r="BT30" s="2">
        <v>1</v>
      </c>
      <c r="BU30" s="2">
        <v>1</v>
      </c>
      <c r="BV30" s="2">
        <v>1</v>
      </c>
      <c r="BW30" s="2">
        <v>1</v>
      </c>
      <c r="BX30" s="2">
        <v>1</v>
      </c>
      <c r="BY30" s="2" t="s">
        <v>3</v>
      </c>
      <c r="BZ30" s="2">
        <v>117</v>
      </c>
      <c r="CA30" s="2">
        <v>74</v>
      </c>
      <c r="CB30" s="2" t="s">
        <v>3</v>
      </c>
      <c r="CC30" s="2"/>
      <c r="CD30" s="2"/>
      <c r="CE30" s="2">
        <v>0</v>
      </c>
      <c r="CF30" s="2">
        <v>0</v>
      </c>
      <c r="CG30" s="2">
        <v>0</v>
      </c>
      <c r="CH30" s="2"/>
      <c r="CI30" s="2"/>
      <c r="CJ30" s="2"/>
      <c r="CK30" s="2"/>
      <c r="CL30" s="2"/>
      <c r="CM30" s="2">
        <v>0</v>
      </c>
      <c r="CN30" s="2" t="s">
        <v>3</v>
      </c>
      <c r="CO30" s="2">
        <v>0</v>
      </c>
      <c r="CP30" s="2">
        <f t="shared" si="28"/>
        <v>13432.210000000001</v>
      </c>
      <c r="CQ30" s="2">
        <f>SUMIF(SmtRes!AQ4:'SmtRes'!AQ7,"=1",SmtRes!AA4:'SmtRes'!AA7)</f>
        <v>0</v>
      </c>
      <c r="CR30" s="2">
        <f>SUMIF(SmtRes!AQ4:'SmtRes'!AQ7,"=1",SmtRes!AB4:'SmtRes'!AB7)</f>
        <v>1681.82</v>
      </c>
      <c r="CS30" s="2">
        <f>SUMIF(SmtRes!AQ4:'SmtRes'!AQ7,"=1",SmtRes!AC4:'SmtRes'!AC7)</f>
        <v>459.98</v>
      </c>
      <c r="CT30" s="2">
        <f>SUMIF(SmtRes!AQ4:'SmtRes'!AQ7,"=1",SmtRes!AD4:'SmtRes'!AD7)</f>
        <v>340.51</v>
      </c>
      <c r="CU30" s="2">
        <f t="shared" si="29"/>
        <v>0</v>
      </c>
      <c r="CV30" s="2">
        <f>SUMIF(SmtRes!AQ4:'SmtRes'!AQ7,"=1",SmtRes!BU4:'SmtRes'!BU7)</f>
        <v>10.199999999999999</v>
      </c>
      <c r="CW30" s="2">
        <f>SUMIF(SmtRes!AQ4:'SmtRes'!AQ7,"=1",SmtRes!BV4:'SmtRes'!BV7)</f>
        <v>0.32</v>
      </c>
      <c r="CX30" s="2">
        <f t="shared" si="30"/>
        <v>0</v>
      </c>
      <c r="CY30" s="2">
        <f t="shared" si="31"/>
        <v>13681.839600000001</v>
      </c>
      <c r="CZ30" s="2">
        <f t="shared" si="32"/>
        <v>8653.4712000000018</v>
      </c>
      <c r="DA30" s="2"/>
      <c r="DB30" s="2"/>
      <c r="DC30" s="2" t="s">
        <v>3</v>
      </c>
      <c r="DD30" s="2" t="s">
        <v>3</v>
      </c>
      <c r="DE30" s="2" t="s">
        <v>3</v>
      </c>
      <c r="DF30" s="2" t="s">
        <v>3</v>
      </c>
      <c r="DG30" s="2" t="s">
        <v>3</v>
      </c>
      <c r="DH30" s="2" t="s">
        <v>3</v>
      </c>
      <c r="DI30" s="2" t="s">
        <v>3</v>
      </c>
      <c r="DJ30" s="2" t="s">
        <v>3</v>
      </c>
      <c r="DK30" s="2" t="s">
        <v>3</v>
      </c>
      <c r="DL30" s="2" t="s">
        <v>3</v>
      </c>
      <c r="DM30" s="2" t="s">
        <v>3</v>
      </c>
      <c r="DN30" s="2">
        <v>0</v>
      </c>
      <c r="DO30" s="2">
        <v>0</v>
      </c>
      <c r="DP30" s="2">
        <v>1</v>
      </c>
      <c r="DQ30" s="2">
        <v>1</v>
      </c>
      <c r="DR30" s="2"/>
      <c r="DS30" s="2"/>
      <c r="DT30" s="2"/>
      <c r="DU30" s="2">
        <v>1007</v>
      </c>
      <c r="DV30" s="2" t="s">
        <v>39</v>
      </c>
      <c r="DW30" s="2" t="s">
        <v>39</v>
      </c>
      <c r="DX30" s="2">
        <v>10</v>
      </c>
      <c r="DY30" s="2"/>
      <c r="DZ30" s="2" t="s">
        <v>3</v>
      </c>
      <c r="EA30" s="2" t="s">
        <v>3</v>
      </c>
      <c r="EB30" s="2" t="s">
        <v>3</v>
      </c>
      <c r="EC30" s="2" t="s">
        <v>3</v>
      </c>
      <c r="ED30" s="2"/>
      <c r="EE30" s="2">
        <v>72340631</v>
      </c>
      <c r="EF30" s="2">
        <v>2</v>
      </c>
      <c r="EG30" s="2" t="s">
        <v>23</v>
      </c>
      <c r="EH30" s="2">
        <v>18</v>
      </c>
      <c r="EI30" s="2" t="s">
        <v>41</v>
      </c>
      <c r="EJ30" s="2">
        <v>1</v>
      </c>
      <c r="EK30" s="2">
        <v>23001</v>
      </c>
      <c r="EL30" s="2" t="s">
        <v>41</v>
      </c>
      <c r="EM30" s="2" t="s">
        <v>42</v>
      </c>
      <c r="EN30" s="2"/>
      <c r="EO30" s="2" t="s">
        <v>3</v>
      </c>
      <c r="EP30" s="2"/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10.199999999999999</v>
      </c>
      <c r="EX30" s="2">
        <v>0.32</v>
      </c>
      <c r="EY30" s="2">
        <v>0</v>
      </c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>
        <v>0</v>
      </c>
      <c r="FR30" s="2">
        <v>0</v>
      </c>
      <c r="FS30" s="2">
        <v>0</v>
      </c>
      <c r="FT30" s="2"/>
      <c r="FU30" s="2"/>
      <c r="FV30" s="2"/>
      <c r="FW30" s="2"/>
      <c r="FX30" s="2">
        <v>117</v>
      </c>
      <c r="FY30" s="2">
        <v>74</v>
      </c>
      <c r="FZ30" s="2"/>
      <c r="GA30" s="2" t="s">
        <v>3</v>
      </c>
      <c r="GB30" s="2"/>
      <c r="GC30" s="2"/>
      <c r="GD30" s="2">
        <v>1</v>
      </c>
      <c r="GE30" s="2"/>
      <c r="GF30" s="2">
        <v>1295446289</v>
      </c>
      <c r="GG30" s="2">
        <v>2</v>
      </c>
      <c r="GH30" s="2">
        <v>1</v>
      </c>
      <c r="GI30" s="2">
        <v>-2</v>
      </c>
      <c r="GJ30" s="2">
        <v>0</v>
      </c>
      <c r="GK30" s="2">
        <v>0</v>
      </c>
      <c r="GL30" s="2">
        <f t="shared" si="33"/>
        <v>0</v>
      </c>
      <c r="GM30" s="2">
        <f t="shared" si="34"/>
        <v>35767.519999999997</v>
      </c>
      <c r="GN30" s="2">
        <f t="shared" si="35"/>
        <v>35767.519999999997</v>
      </c>
      <c r="GO30" s="2">
        <f t="shared" si="36"/>
        <v>0</v>
      </c>
      <c r="GP30" s="2">
        <f t="shared" si="37"/>
        <v>0</v>
      </c>
      <c r="GQ30" s="2"/>
      <c r="GR30" s="2">
        <v>0</v>
      </c>
      <c r="GS30" s="2">
        <v>3</v>
      </c>
      <c r="GT30" s="2">
        <v>0</v>
      </c>
      <c r="GU30" s="2" t="s">
        <v>3</v>
      </c>
      <c r="GV30" s="2">
        <f t="shared" si="38"/>
        <v>0</v>
      </c>
      <c r="GW30" s="2">
        <v>1</v>
      </c>
      <c r="GX30" s="2">
        <f t="shared" si="39"/>
        <v>0</v>
      </c>
      <c r="GY30" s="2"/>
      <c r="GZ30" s="2"/>
      <c r="HA30" s="2">
        <v>0</v>
      </c>
      <c r="HB30" s="2">
        <v>0</v>
      </c>
      <c r="HC30" s="2">
        <f t="shared" si="40"/>
        <v>0</v>
      </c>
      <c r="HD30" s="2"/>
      <c r="HE30" s="2" t="s">
        <v>3</v>
      </c>
      <c r="HF30" s="2" t="s">
        <v>3</v>
      </c>
      <c r="HG30" s="2"/>
      <c r="HH30" s="2"/>
      <c r="HI30" s="2"/>
      <c r="HJ30" s="2"/>
      <c r="HK30" s="2"/>
      <c r="HL30" s="2"/>
      <c r="HM30" s="2" t="s">
        <v>3</v>
      </c>
      <c r="HN30" s="2" t="s">
        <v>43</v>
      </c>
      <c r="HO30" s="2" t="s">
        <v>44</v>
      </c>
      <c r="HP30" s="2" t="s">
        <v>41</v>
      </c>
      <c r="HQ30" s="2" t="s">
        <v>41</v>
      </c>
      <c r="HR30" s="2"/>
      <c r="HS30" s="2">
        <v>0</v>
      </c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>
        <v>0</v>
      </c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pans="1:255" x14ac:dyDescent="0.2">
      <c r="A31" s="2">
        <v>18</v>
      </c>
      <c r="B31" s="2">
        <v>1</v>
      </c>
      <c r="C31" s="2">
        <v>7</v>
      </c>
      <c r="D31" s="2"/>
      <c r="E31" s="2" t="s">
        <v>45</v>
      </c>
      <c r="F31" s="2" t="s">
        <v>46</v>
      </c>
      <c r="G31" s="2" t="s">
        <v>47</v>
      </c>
      <c r="H31" s="2" t="s">
        <v>48</v>
      </c>
      <c r="I31" s="2">
        <f>I30*J31</f>
        <v>32.299999999999997</v>
      </c>
      <c r="J31" s="2">
        <v>10</v>
      </c>
      <c r="K31" s="2">
        <v>10</v>
      </c>
      <c r="L31" s="2"/>
      <c r="M31" s="2"/>
      <c r="N31" s="2"/>
      <c r="O31" s="2">
        <f t="shared" si="21"/>
        <v>66153.95</v>
      </c>
      <c r="P31" s="2">
        <f>ROUND(CQ31*I31,2)</f>
        <v>66153.95</v>
      </c>
      <c r="Q31" s="2">
        <f>ROUND(CR31*I31,2)</f>
        <v>0</v>
      </c>
      <c r="R31" s="2">
        <f>ROUND(CS31*I31,2)</f>
        <v>0</v>
      </c>
      <c r="S31" s="2">
        <f>ROUND(CT31*I31,2)</f>
        <v>0</v>
      </c>
      <c r="T31" s="2">
        <f t="shared" si="22"/>
        <v>0</v>
      </c>
      <c r="U31" s="2">
        <f>ROUND(CV31*I31,7)</f>
        <v>0</v>
      </c>
      <c r="V31" s="2">
        <f>ROUND(CW31*I31,7)</f>
        <v>0</v>
      </c>
      <c r="W31" s="2">
        <f t="shared" si="23"/>
        <v>0</v>
      </c>
      <c r="X31" s="2">
        <f t="shared" si="24"/>
        <v>0</v>
      </c>
      <c r="Y31" s="2">
        <f t="shared" si="24"/>
        <v>0</v>
      </c>
      <c r="Z31" s="2"/>
      <c r="AA31" s="2">
        <v>73953415</v>
      </c>
      <c r="AB31" s="2">
        <f t="shared" si="25"/>
        <v>573.70000000000005</v>
      </c>
      <c r="AC31" s="2">
        <f>ROUND((ES31),6)</f>
        <v>573.70000000000005</v>
      </c>
      <c r="AD31" s="2">
        <f>ROUND((((ET31)-(EU31))+AE31),6)</f>
        <v>0</v>
      </c>
      <c r="AE31" s="2">
        <f>ROUND((EU31),6)</f>
        <v>0</v>
      </c>
      <c r="AF31" s="2">
        <f>ROUND((EV31),6)</f>
        <v>0</v>
      </c>
      <c r="AG31" s="2">
        <f t="shared" si="26"/>
        <v>0</v>
      </c>
      <c r="AH31" s="2">
        <f>(EW31)</f>
        <v>0</v>
      </c>
      <c r="AI31" s="2">
        <f>(EX31)</f>
        <v>0</v>
      </c>
      <c r="AJ31" s="2">
        <f t="shared" si="27"/>
        <v>0</v>
      </c>
      <c r="AK31" s="2">
        <v>573.70000000000005</v>
      </c>
      <c r="AL31" s="2">
        <v>573.70000000000005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117</v>
      </c>
      <c r="AU31" s="2">
        <v>74</v>
      </c>
      <c r="AV31" s="2">
        <v>1</v>
      </c>
      <c r="AW31" s="2">
        <v>1</v>
      </c>
      <c r="AX31" s="2"/>
      <c r="AY31" s="2"/>
      <c r="AZ31" s="2">
        <v>1</v>
      </c>
      <c r="BA31" s="2">
        <v>1</v>
      </c>
      <c r="BB31" s="2">
        <v>1</v>
      </c>
      <c r="BC31" s="2">
        <v>3.57</v>
      </c>
      <c r="BD31" s="2" t="s">
        <v>3</v>
      </c>
      <c r="BE31" s="2" t="s">
        <v>3</v>
      </c>
      <c r="BF31" s="2" t="s">
        <v>3</v>
      </c>
      <c r="BG31" s="2" t="s">
        <v>3</v>
      </c>
      <c r="BH31" s="2">
        <v>3</v>
      </c>
      <c r="BI31" s="2">
        <v>1</v>
      </c>
      <c r="BJ31" s="2" t="s">
        <v>49</v>
      </c>
      <c r="BK31" s="2"/>
      <c r="BL31" s="2"/>
      <c r="BM31" s="2">
        <v>23001</v>
      </c>
      <c r="BN31" s="2">
        <v>0</v>
      </c>
      <c r="BO31" s="2" t="s">
        <v>46</v>
      </c>
      <c r="BP31" s="2">
        <v>1</v>
      </c>
      <c r="BQ31" s="2">
        <v>2</v>
      </c>
      <c r="BR31" s="2">
        <v>0</v>
      </c>
      <c r="BS31" s="2">
        <v>1</v>
      </c>
      <c r="BT31" s="2">
        <v>1</v>
      </c>
      <c r="BU31" s="2">
        <v>1</v>
      </c>
      <c r="BV31" s="2">
        <v>1</v>
      </c>
      <c r="BW31" s="2">
        <v>1</v>
      </c>
      <c r="BX31" s="2">
        <v>1</v>
      </c>
      <c r="BY31" s="2" t="s">
        <v>3</v>
      </c>
      <c r="BZ31" s="2">
        <v>117</v>
      </c>
      <c r="CA31" s="2">
        <v>74</v>
      </c>
      <c r="CB31" s="2" t="s">
        <v>3</v>
      </c>
      <c r="CC31" s="2"/>
      <c r="CD31" s="2"/>
      <c r="CE31" s="2">
        <v>0</v>
      </c>
      <c r="CF31" s="2">
        <v>0</v>
      </c>
      <c r="CG31" s="2">
        <v>0</v>
      </c>
      <c r="CH31" s="2"/>
      <c r="CI31" s="2"/>
      <c r="CJ31" s="2"/>
      <c r="CK31" s="2"/>
      <c r="CL31" s="2"/>
      <c r="CM31" s="2">
        <v>0</v>
      </c>
      <c r="CN31" s="2" t="s">
        <v>3</v>
      </c>
      <c r="CO31" s="2">
        <v>0</v>
      </c>
      <c r="CP31" s="2">
        <f t="shared" si="28"/>
        <v>66153.95</v>
      </c>
      <c r="CQ31" s="2">
        <f>ROUND(AL31*BC31,2)</f>
        <v>2048.11</v>
      </c>
      <c r="CR31" s="2">
        <f>ROUND(AM31*BB31,2)</f>
        <v>0</v>
      </c>
      <c r="CS31" s="2">
        <f>ROUND(AN31*BS31,2)</f>
        <v>0</v>
      </c>
      <c r="CT31" s="2">
        <f>ROUND(AO31*BA31,2)</f>
        <v>0</v>
      </c>
      <c r="CU31" s="2">
        <f t="shared" si="29"/>
        <v>0</v>
      </c>
      <c r="CV31" s="2">
        <f>AH31</f>
        <v>0</v>
      </c>
      <c r="CW31" s="2">
        <f>AI31</f>
        <v>0</v>
      </c>
      <c r="CX31" s="2">
        <f t="shared" si="30"/>
        <v>0</v>
      </c>
      <c r="CY31" s="2">
        <f t="shared" si="31"/>
        <v>0</v>
      </c>
      <c r="CZ31" s="2">
        <f t="shared" si="32"/>
        <v>0</v>
      </c>
      <c r="DA31" s="2"/>
      <c r="DB31" s="2"/>
      <c r="DC31" s="2" t="s">
        <v>3</v>
      </c>
      <c r="DD31" s="2" t="s">
        <v>3</v>
      </c>
      <c r="DE31" s="2" t="s">
        <v>3</v>
      </c>
      <c r="DF31" s="2" t="s">
        <v>3</v>
      </c>
      <c r="DG31" s="2" t="s">
        <v>3</v>
      </c>
      <c r="DH31" s="2" t="s">
        <v>3</v>
      </c>
      <c r="DI31" s="2" t="s">
        <v>3</v>
      </c>
      <c r="DJ31" s="2" t="s">
        <v>3</v>
      </c>
      <c r="DK31" s="2" t="s">
        <v>3</v>
      </c>
      <c r="DL31" s="2" t="s">
        <v>3</v>
      </c>
      <c r="DM31" s="2" t="s">
        <v>3</v>
      </c>
      <c r="DN31" s="2">
        <v>0</v>
      </c>
      <c r="DO31" s="2">
        <v>0</v>
      </c>
      <c r="DP31" s="2">
        <v>1</v>
      </c>
      <c r="DQ31" s="2">
        <v>1</v>
      </c>
      <c r="DR31" s="2"/>
      <c r="DS31" s="2"/>
      <c r="DT31" s="2"/>
      <c r="DU31" s="2">
        <v>1007</v>
      </c>
      <c r="DV31" s="2" t="s">
        <v>48</v>
      </c>
      <c r="DW31" s="2" t="s">
        <v>48</v>
      </c>
      <c r="DX31" s="2">
        <v>1</v>
      </c>
      <c r="DY31" s="2"/>
      <c r="DZ31" s="2" t="s">
        <v>3</v>
      </c>
      <c r="EA31" s="2" t="s">
        <v>3</v>
      </c>
      <c r="EB31" s="2" t="s">
        <v>3</v>
      </c>
      <c r="EC31" s="2" t="s">
        <v>3</v>
      </c>
      <c r="ED31" s="2"/>
      <c r="EE31" s="2">
        <v>72340631</v>
      </c>
      <c r="EF31" s="2">
        <v>2</v>
      </c>
      <c r="EG31" s="2" t="s">
        <v>23</v>
      </c>
      <c r="EH31" s="2">
        <v>18</v>
      </c>
      <c r="EI31" s="2" t="s">
        <v>41</v>
      </c>
      <c r="EJ31" s="2">
        <v>1</v>
      </c>
      <c r="EK31" s="2">
        <v>23001</v>
      </c>
      <c r="EL31" s="2" t="s">
        <v>41</v>
      </c>
      <c r="EM31" s="2" t="s">
        <v>42</v>
      </c>
      <c r="EN31" s="2"/>
      <c r="EO31" s="2" t="s">
        <v>3</v>
      </c>
      <c r="EP31" s="2"/>
      <c r="EQ31" s="2">
        <v>0</v>
      </c>
      <c r="ER31" s="2">
        <v>573.70000000000005</v>
      </c>
      <c r="ES31" s="2">
        <v>573.70000000000005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>
        <v>0</v>
      </c>
      <c r="FR31" s="2">
        <v>0</v>
      </c>
      <c r="FS31" s="2">
        <v>0</v>
      </c>
      <c r="FT31" s="2"/>
      <c r="FU31" s="2"/>
      <c r="FV31" s="2"/>
      <c r="FW31" s="2"/>
      <c r="FX31" s="2">
        <v>117</v>
      </c>
      <c r="FY31" s="2">
        <v>74</v>
      </c>
      <c r="FZ31" s="2"/>
      <c r="GA31" s="2" t="s">
        <v>3</v>
      </c>
      <c r="GB31" s="2"/>
      <c r="GC31" s="2"/>
      <c r="GD31" s="2">
        <v>1</v>
      </c>
      <c r="GE31" s="2"/>
      <c r="GF31" s="2">
        <v>-1170073795</v>
      </c>
      <c r="GG31" s="2">
        <v>2</v>
      </c>
      <c r="GH31" s="2">
        <v>1</v>
      </c>
      <c r="GI31" s="2">
        <v>2</v>
      </c>
      <c r="GJ31" s="2">
        <v>0</v>
      </c>
      <c r="GK31" s="2">
        <v>0</v>
      </c>
      <c r="GL31" s="2">
        <f t="shared" si="33"/>
        <v>0</v>
      </c>
      <c r="GM31" s="2">
        <f t="shared" si="34"/>
        <v>66153.95</v>
      </c>
      <c r="GN31" s="2">
        <f t="shared" si="35"/>
        <v>66153.95</v>
      </c>
      <c r="GO31" s="2">
        <f t="shared" si="36"/>
        <v>0</v>
      </c>
      <c r="GP31" s="2">
        <f t="shared" si="37"/>
        <v>0</v>
      </c>
      <c r="GQ31" s="2"/>
      <c r="GR31" s="2">
        <v>0</v>
      </c>
      <c r="GS31" s="2">
        <v>3</v>
      </c>
      <c r="GT31" s="2">
        <v>0</v>
      </c>
      <c r="GU31" s="2" t="s">
        <v>3</v>
      </c>
      <c r="GV31" s="2">
        <f t="shared" si="38"/>
        <v>0</v>
      </c>
      <c r="GW31" s="2">
        <v>1</v>
      </c>
      <c r="GX31" s="2">
        <f t="shared" si="39"/>
        <v>0</v>
      </c>
      <c r="GY31" s="2"/>
      <c r="GZ31" s="2"/>
      <c r="HA31" s="2">
        <v>0</v>
      </c>
      <c r="HB31" s="2">
        <v>0</v>
      </c>
      <c r="HC31" s="2">
        <f t="shared" si="40"/>
        <v>0</v>
      </c>
      <c r="HD31" s="2"/>
      <c r="HE31" s="2" t="s">
        <v>3</v>
      </c>
      <c r="HF31" s="2" t="s">
        <v>3</v>
      </c>
      <c r="HG31" s="2"/>
      <c r="HH31" s="2"/>
      <c r="HI31" s="2"/>
      <c r="HJ31" s="2"/>
      <c r="HK31" s="2"/>
      <c r="HL31" s="2"/>
      <c r="HM31" s="2" t="s">
        <v>3</v>
      </c>
      <c r="HN31" s="2" t="s">
        <v>43</v>
      </c>
      <c r="HO31" s="2" t="s">
        <v>44</v>
      </c>
      <c r="HP31" s="2" t="s">
        <v>41</v>
      </c>
      <c r="HQ31" s="2" t="s">
        <v>41</v>
      </c>
      <c r="HR31" s="2"/>
      <c r="HS31" s="2">
        <v>0</v>
      </c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>
        <v>0</v>
      </c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pans="1:255" x14ac:dyDescent="0.2">
      <c r="A32" s="2">
        <v>17</v>
      </c>
      <c r="B32" s="2">
        <v>1</v>
      </c>
      <c r="C32" s="2">
        <f>ROW(SmtRes!A9)</f>
        <v>9</v>
      </c>
      <c r="D32" s="2">
        <f>ROW(EtalonRes!A9)</f>
        <v>9</v>
      </c>
      <c r="E32" s="2" t="s">
        <v>50</v>
      </c>
      <c r="F32" s="2" t="s">
        <v>51</v>
      </c>
      <c r="G32" s="2" t="s">
        <v>52</v>
      </c>
      <c r="H32" s="2" t="s">
        <v>21</v>
      </c>
      <c r="I32" s="2">
        <f>ROUND(223/1000,7)</f>
        <v>0.223</v>
      </c>
      <c r="J32" s="2">
        <v>0</v>
      </c>
      <c r="K32" s="2">
        <f>ROUND(223/1000,7)</f>
        <v>0.223</v>
      </c>
      <c r="L32" s="2"/>
      <c r="M32" s="2"/>
      <c r="N32" s="2"/>
      <c r="O32" s="2">
        <f t="shared" si="21"/>
        <v>2925.58</v>
      </c>
      <c r="P32" s="2">
        <f>SUMIF(SmtRes!AQ8:'SmtRes'!AQ9,"=1",SmtRes!DF8:'SmtRes'!DF9)</f>
        <v>0</v>
      </c>
      <c r="Q32" s="2">
        <f>SUMIF(SmtRes!AQ8:'SmtRes'!AQ9,"=1",SmtRes!DG8:'SmtRes'!DG9)</f>
        <v>2098.8200000000002</v>
      </c>
      <c r="R32" s="2">
        <f>SUMIF(SmtRes!AQ8:'SmtRes'!AQ9,"=1",SmtRes!DH8:'SmtRes'!DH9)</f>
        <v>826.76</v>
      </c>
      <c r="S32" s="2">
        <f>SUMIF(SmtRes!AQ8:'SmtRes'!AQ9,"=1",SmtRes!DI8:'SmtRes'!DI9)</f>
        <v>0</v>
      </c>
      <c r="T32" s="2">
        <f t="shared" si="22"/>
        <v>0</v>
      </c>
      <c r="U32" s="2">
        <f>SUMIF(SmtRes!AQ8:'SmtRes'!AQ9,"=1",SmtRes!CV8:'SmtRes'!CV9)</f>
        <v>0</v>
      </c>
      <c r="V32" s="2">
        <f>SUMIF(SmtRes!AQ8:'SmtRes'!AQ9,"=1",SmtRes!CW8:'SmtRes'!CW9)</f>
        <v>1.79738</v>
      </c>
      <c r="W32" s="2">
        <f t="shared" si="23"/>
        <v>0</v>
      </c>
      <c r="X32" s="2">
        <f t="shared" si="24"/>
        <v>760.62</v>
      </c>
      <c r="Y32" s="2">
        <f t="shared" si="24"/>
        <v>380.31</v>
      </c>
      <c r="Z32" s="2"/>
      <c r="AA32" s="2">
        <v>73953415</v>
      </c>
      <c r="AB32" s="2">
        <f t="shared" si="25"/>
        <v>6674.9696000000004</v>
      </c>
      <c r="AC32" s="2">
        <f>ROUND((0),6)</f>
        <v>0</v>
      </c>
      <c r="AD32" s="2">
        <f>ROUND((((SUM(SmtRes!BR8:'SmtRes'!BR9))-(SUM(SmtRes!BS8:'SmtRes'!BS9)))+AE32),6)</f>
        <v>6674.9696000000004</v>
      </c>
      <c r="AE32" s="2">
        <f>ROUND((SUM(SmtRes!BS8:'SmtRes'!BS9)),6)</f>
        <v>3707.4387999999999</v>
      </c>
      <c r="AF32" s="2">
        <f>ROUND((0),6)</f>
        <v>0</v>
      </c>
      <c r="AG32" s="2">
        <f t="shared" si="26"/>
        <v>0</v>
      </c>
      <c r="AH32" s="2">
        <f>(0)</f>
        <v>0</v>
      </c>
      <c r="AI32" s="2">
        <f>(SUM(SmtRes!BV8:'SmtRes'!BV9))</f>
        <v>8.06</v>
      </c>
      <c r="AJ32" s="2">
        <f t="shared" si="27"/>
        <v>0</v>
      </c>
      <c r="AK32" s="2">
        <v>10382.4084</v>
      </c>
      <c r="AL32" s="2">
        <v>0</v>
      </c>
      <c r="AM32" s="2">
        <v>6674.9696000000004</v>
      </c>
      <c r="AN32" s="2">
        <v>3707.4388000000004</v>
      </c>
      <c r="AO32" s="2">
        <v>0</v>
      </c>
      <c r="AP32" s="2">
        <v>0</v>
      </c>
      <c r="AQ32" s="2">
        <v>0</v>
      </c>
      <c r="AR32" s="2">
        <v>8.06</v>
      </c>
      <c r="AS32" s="2">
        <v>0</v>
      </c>
      <c r="AT32" s="2">
        <v>92</v>
      </c>
      <c r="AU32" s="2">
        <v>46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1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0</v>
      </c>
      <c r="BI32" s="2">
        <v>1</v>
      </c>
      <c r="BJ32" s="2" t="s">
        <v>53</v>
      </c>
      <c r="BK32" s="2"/>
      <c r="BL32" s="2"/>
      <c r="BM32" s="2">
        <v>1001</v>
      </c>
      <c r="BN32" s="2">
        <v>0</v>
      </c>
      <c r="BO32" s="2" t="s">
        <v>3</v>
      </c>
      <c r="BP32" s="2">
        <v>0</v>
      </c>
      <c r="BQ32" s="2">
        <v>2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92</v>
      </c>
      <c r="CA32" s="2">
        <v>46</v>
      </c>
      <c r="CB32" s="2" t="s">
        <v>3</v>
      </c>
      <c r="CC32" s="2"/>
      <c r="CD32" s="2"/>
      <c r="CE32" s="2">
        <v>0</v>
      </c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 t="shared" si="28"/>
        <v>2925.58</v>
      </c>
      <c r="CQ32" s="2">
        <f>SUMIF(SmtRes!AQ8:'SmtRes'!AQ9,"=1",SmtRes!AA8:'SmtRes'!AA9)</f>
        <v>0</v>
      </c>
      <c r="CR32" s="2">
        <f>SUMIF(SmtRes!AQ8:'SmtRes'!AQ9,"=1",SmtRes!AB8:'SmtRes'!AB9)</f>
        <v>1167.71</v>
      </c>
      <c r="CS32" s="2">
        <f>SUMIF(SmtRes!AQ8:'SmtRes'!AQ9,"=1",SmtRes!AC8:'SmtRes'!AC9)</f>
        <v>459.98</v>
      </c>
      <c r="CT32" s="2">
        <f>SUMIF(SmtRes!AQ8:'SmtRes'!AQ9,"=1",SmtRes!AD8:'SmtRes'!AD9)</f>
        <v>0</v>
      </c>
      <c r="CU32" s="2">
        <f t="shared" si="29"/>
        <v>0</v>
      </c>
      <c r="CV32" s="2">
        <f>SUMIF(SmtRes!AQ8:'SmtRes'!AQ9,"=1",SmtRes!BU8:'SmtRes'!BU9)</f>
        <v>0</v>
      </c>
      <c r="CW32" s="2">
        <f>SUMIF(SmtRes!AQ8:'SmtRes'!AQ9,"=1",SmtRes!BV8:'SmtRes'!BV9)</f>
        <v>8.06</v>
      </c>
      <c r="CX32" s="2">
        <f t="shared" si="30"/>
        <v>0</v>
      </c>
      <c r="CY32" s="2">
        <f t="shared" si="31"/>
        <v>760.61919999999998</v>
      </c>
      <c r="CZ32" s="2">
        <f t="shared" si="32"/>
        <v>380.30959999999999</v>
      </c>
      <c r="DA32" s="2"/>
      <c r="DB32" s="2"/>
      <c r="DC32" s="2" t="s">
        <v>3</v>
      </c>
      <c r="DD32" s="2" t="s">
        <v>3</v>
      </c>
      <c r="DE32" s="2" t="s">
        <v>3</v>
      </c>
      <c r="DF32" s="2" t="s">
        <v>3</v>
      </c>
      <c r="DG32" s="2" t="s">
        <v>3</v>
      </c>
      <c r="DH32" s="2" t="s">
        <v>3</v>
      </c>
      <c r="DI32" s="2" t="s">
        <v>3</v>
      </c>
      <c r="DJ32" s="2" t="s">
        <v>3</v>
      </c>
      <c r="DK32" s="2" t="s">
        <v>3</v>
      </c>
      <c r="DL32" s="2" t="s">
        <v>3</v>
      </c>
      <c r="DM32" s="2" t="s">
        <v>3</v>
      </c>
      <c r="DN32" s="2">
        <v>0</v>
      </c>
      <c r="DO32" s="2">
        <v>0</v>
      </c>
      <c r="DP32" s="2">
        <v>1</v>
      </c>
      <c r="DQ32" s="2">
        <v>1</v>
      </c>
      <c r="DR32" s="2"/>
      <c r="DS32" s="2"/>
      <c r="DT32" s="2"/>
      <c r="DU32" s="2">
        <v>1007</v>
      </c>
      <c r="DV32" s="2" t="s">
        <v>21</v>
      </c>
      <c r="DW32" s="2" t="s">
        <v>21</v>
      </c>
      <c r="DX32" s="2">
        <v>1000</v>
      </c>
      <c r="DY32" s="2"/>
      <c r="DZ32" s="2" t="s">
        <v>3</v>
      </c>
      <c r="EA32" s="2" t="s">
        <v>3</v>
      </c>
      <c r="EB32" s="2" t="s">
        <v>3</v>
      </c>
      <c r="EC32" s="2" t="s">
        <v>3</v>
      </c>
      <c r="ED32" s="2"/>
      <c r="EE32" s="2">
        <v>72340571</v>
      </c>
      <c r="EF32" s="2">
        <v>2</v>
      </c>
      <c r="EG32" s="2" t="s">
        <v>23</v>
      </c>
      <c r="EH32" s="2">
        <v>1</v>
      </c>
      <c r="EI32" s="2" t="s">
        <v>17</v>
      </c>
      <c r="EJ32" s="2">
        <v>1</v>
      </c>
      <c r="EK32" s="2">
        <v>1001</v>
      </c>
      <c r="EL32" s="2" t="s">
        <v>24</v>
      </c>
      <c r="EM32" s="2" t="s">
        <v>25</v>
      </c>
      <c r="EN32" s="2"/>
      <c r="EO32" s="2" t="s">
        <v>3</v>
      </c>
      <c r="EP32" s="2"/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8.06</v>
      </c>
      <c r="EY32" s="2">
        <v>0</v>
      </c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v>0</v>
      </c>
      <c r="FS32" s="2">
        <v>0</v>
      </c>
      <c r="FT32" s="2"/>
      <c r="FU32" s="2"/>
      <c r="FV32" s="2"/>
      <c r="FW32" s="2"/>
      <c r="FX32" s="2">
        <v>92</v>
      </c>
      <c r="FY32" s="2">
        <v>46</v>
      </c>
      <c r="FZ32" s="2"/>
      <c r="GA32" s="2" t="s">
        <v>3</v>
      </c>
      <c r="GB32" s="2"/>
      <c r="GC32" s="2"/>
      <c r="GD32" s="2">
        <v>1</v>
      </c>
      <c r="GE32" s="2"/>
      <c r="GF32" s="2">
        <v>2021498894</v>
      </c>
      <c r="GG32" s="2">
        <v>2</v>
      </c>
      <c r="GH32" s="2">
        <v>1</v>
      </c>
      <c r="GI32" s="2">
        <v>-2</v>
      </c>
      <c r="GJ32" s="2">
        <v>0</v>
      </c>
      <c r="GK32" s="2">
        <v>0</v>
      </c>
      <c r="GL32" s="2">
        <f t="shared" si="33"/>
        <v>0</v>
      </c>
      <c r="GM32" s="2">
        <f t="shared" si="34"/>
        <v>4066.51</v>
      </c>
      <c r="GN32" s="2">
        <f t="shared" si="35"/>
        <v>4066.51</v>
      </c>
      <c r="GO32" s="2">
        <f t="shared" si="36"/>
        <v>0</v>
      </c>
      <c r="GP32" s="2">
        <f t="shared" si="37"/>
        <v>0</v>
      </c>
      <c r="GQ32" s="2"/>
      <c r="GR32" s="2">
        <v>0</v>
      </c>
      <c r="GS32" s="2">
        <v>3</v>
      </c>
      <c r="GT32" s="2">
        <v>0</v>
      </c>
      <c r="GU32" s="2" t="s">
        <v>3</v>
      </c>
      <c r="GV32" s="2">
        <f t="shared" si="38"/>
        <v>0</v>
      </c>
      <c r="GW32" s="2">
        <v>1</v>
      </c>
      <c r="GX32" s="2">
        <f t="shared" si="39"/>
        <v>0</v>
      </c>
      <c r="GY32" s="2"/>
      <c r="GZ32" s="2"/>
      <c r="HA32" s="2">
        <v>0</v>
      </c>
      <c r="HB32" s="2">
        <v>0</v>
      </c>
      <c r="HC32" s="2">
        <f t="shared" si="40"/>
        <v>0</v>
      </c>
      <c r="HD32" s="2"/>
      <c r="HE32" s="2" t="s">
        <v>3</v>
      </c>
      <c r="HF32" s="2" t="s">
        <v>3</v>
      </c>
      <c r="HG32" s="2"/>
      <c r="HH32" s="2"/>
      <c r="HI32" s="2"/>
      <c r="HJ32" s="2"/>
      <c r="HK32" s="2"/>
      <c r="HL32" s="2"/>
      <c r="HM32" s="2" t="s">
        <v>3</v>
      </c>
      <c r="HN32" s="2" t="s">
        <v>26</v>
      </c>
      <c r="HO32" s="2" t="s">
        <v>27</v>
      </c>
      <c r="HP32" s="2" t="s">
        <v>24</v>
      </c>
      <c r="HQ32" s="2" t="s">
        <v>24</v>
      </c>
      <c r="HR32" s="2"/>
      <c r="HS32" s="2">
        <v>0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x14ac:dyDescent="0.2">
      <c r="A33" s="2">
        <v>17</v>
      </c>
      <c r="B33" s="2">
        <v>1</v>
      </c>
      <c r="C33" s="2">
        <f>ROW(SmtRes!A10)</f>
        <v>10</v>
      </c>
      <c r="D33" s="2">
        <f>ROW(EtalonRes!A10)</f>
        <v>10</v>
      </c>
      <c r="E33" s="2" t="s">
        <v>54</v>
      </c>
      <c r="F33" s="2" t="s">
        <v>55</v>
      </c>
      <c r="G33" s="2" t="s">
        <v>56</v>
      </c>
      <c r="H33" s="2" t="s">
        <v>31</v>
      </c>
      <c r="I33" s="2">
        <f>ROUND(7/100,7)</f>
        <v>7.0000000000000007E-2</v>
      </c>
      <c r="J33" s="2">
        <v>0</v>
      </c>
      <c r="K33" s="2">
        <f>ROUND(7/100,7)</f>
        <v>7.0000000000000007E-2</v>
      </c>
      <c r="L33" s="2"/>
      <c r="M33" s="2"/>
      <c r="N33" s="2"/>
      <c r="O33" s="2">
        <f t="shared" si="21"/>
        <v>2123.73</v>
      </c>
      <c r="P33" s="2">
        <f>SUMIF(SmtRes!AQ10:'SmtRes'!AQ10,"=1",SmtRes!DF10:'SmtRes'!DF10)</f>
        <v>0</v>
      </c>
      <c r="Q33" s="2">
        <f>SUMIF(SmtRes!AQ10:'SmtRes'!AQ10,"=1",SmtRes!DG10:'SmtRes'!DG10)</f>
        <v>0</v>
      </c>
      <c r="R33" s="2">
        <f>SUMIF(SmtRes!AQ10:'SmtRes'!AQ10,"=1",SmtRes!DH10:'SmtRes'!DH10)</f>
        <v>0</v>
      </c>
      <c r="S33" s="2">
        <f>SUMIF(SmtRes!AQ10:'SmtRes'!AQ10,"=1",SmtRes!DI10:'SmtRes'!DI10)</f>
        <v>2123.73</v>
      </c>
      <c r="T33" s="2">
        <f t="shared" si="22"/>
        <v>0</v>
      </c>
      <c r="U33" s="2">
        <f>SUMIF(SmtRes!AQ10:'SmtRes'!AQ10,"=1",SmtRes!CV10:'SmtRes'!CV10)</f>
        <v>6.8040000000000003</v>
      </c>
      <c r="V33" s="2">
        <f>SUMIF(SmtRes!AQ10:'SmtRes'!AQ10,"=1",SmtRes!CW10:'SmtRes'!CW10)</f>
        <v>0</v>
      </c>
      <c r="W33" s="2">
        <f t="shared" si="23"/>
        <v>0</v>
      </c>
      <c r="X33" s="2">
        <f t="shared" si="24"/>
        <v>1890.12</v>
      </c>
      <c r="Y33" s="2">
        <f t="shared" si="24"/>
        <v>849.49</v>
      </c>
      <c r="Z33" s="2"/>
      <c r="AA33" s="2">
        <v>73953415</v>
      </c>
      <c r="AB33" s="2">
        <f t="shared" si="25"/>
        <v>30339.036</v>
      </c>
      <c r="AC33" s="2">
        <f>ROUND((0),6)</f>
        <v>0</v>
      </c>
      <c r="AD33" s="2">
        <f>ROUND((((0)-(0))+AE33),6)</f>
        <v>0</v>
      </c>
      <c r="AE33" s="2">
        <f>ROUND((0),6)</f>
        <v>0</v>
      </c>
      <c r="AF33" s="2">
        <f>ROUND((SUM(SmtRes!BT10:'SmtRes'!BT10)),6)</f>
        <v>30339.036</v>
      </c>
      <c r="AG33" s="2">
        <f t="shared" si="26"/>
        <v>0</v>
      </c>
      <c r="AH33" s="2">
        <f>(SUM(SmtRes!BU10:'SmtRes'!BU10))</f>
        <v>97.2</v>
      </c>
      <c r="AI33" s="2">
        <f>(0)</f>
        <v>0</v>
      </c>
      <c r="AJ33" s="2">
        <f t="shared" si="27"/>
        <v>0</v>
      </c>
      <c r="AK33" s="2">
        <v>30339.036</v>
      </c>
      <c r="AL33" s="2">
        <v>0</v>
      </c>
      <c r="AM33" s="2">
        <v>0</v>
      </c>
      <c r="AN33" s="2">
        <v>0</v>
      </c>
      <c r="AO33" s="2">
        <v>30339.036</v>
      </c>
      <c r="AP33" s="2">
        <v>0</v>
      </c>
      <c r="AQ33" s="2">
        <v>97.2</v>
      </c>
      <c r="AR33" s="2">
        <v>0</v>
      </c>
      <c r="AS33" s="2">
        <v>0</v>
      </c>
      <c r="AT33" s="2">
        <v>89</v>
      </c>
      <c r="AU33" s="2">
        <v>40</v>
      </c>
      <c r="AV33" s="2">
        <v>1</v>
      </c>
      <c r="AW33" s="2">
        <v>1</v>
      </c>
      <c r="AX33" s="2"/>
      <c r="AY33" s="2"/>
      <c r="AZ33" s="2">
        <v>1</v>
      </c>
      <c r="BA33" s="2">
        <v>1</v>
      </c>
      <c r="BB33" s="2">
        <v>1</v>
      </c>
      <c r="BC33" s="2">
        <v>1</v>
      </c>
      <c r="BD33" s="2" t="s">
        <v>3</v>
      </c>
      <c r="BE33" s="2" t="s">
        <v>3</v>
      </c>
      <c r="BF33" s="2" t="s">
        <v>3</v>
      </c>
      <c r="BG33" s="2" t="s">
        <v>3</v>
      </c>
      <c r="BH33" s="2">
        <v>0</v>
      </c>
      <c r="BI33" s="2">
        <v>1</v>
      </c>
      <c r="BJ33" s="2" t="s">
        <v>57</v>
      </c>
      <c r="BK33" s="2"/>
      <c r="BL33" s="2"/>
      <c r="BM33" s="2">
        <v>1003</v>
      </c>
      <c r="BN33" s="2">
        <v>0</v>
      </c>
      <c r="BO33" s="2" t="s">
        <v>3</v>
      </c>
      <c r="BP33" s="2">
        <v>0</v>
      </c>
      <c r="BQ33" s="2">
        <v>2</v>
      </c>
      <c r="BR33" s="2">
        <v>0</v>
      </c>
      <c r="BS33" s="2">
        <v>1</v>
      </c>
      <c r="BT33" s="2">
        <v>1</v>
      </c>
      <c r="BU33" s="2">
        <v>1</v>
      </c>
      <c r="BV33" s="2">
        <v>1</v>
      </c>
      <c r="BW33" s="2">
        <v>1</v>
      </c>
      <c r="BX33" s="2">
        <v>1</v>
      </c>
      <c r="BY33" s="2" t="s">
        <v>3</v>
      </c>
      <c r="BZ33" s="2">
        <v>89</v>
      </c>
      <c r="CA33" s="2">
        <v>40</v>
      </c>
      <c r="CB33" s="2" t="s">
        <v>3</v>
      </c>
      <c r="CC33" s="2"/>
      <c r="CD33" s="2"/>
      <c r="CE33" s="2">
        <v>0</v>
      </c>
      <c r="CF33" s="2">
        <v>0</v>
      </c>
      <c r="CG33" s="2">
        <v>0</v>
      </c>
      <c r="CH33" s="2"/>
      <c r="CI33" s="2"/>
      <c r="CJ33" s="2"/>
      <c r="CK33" s="2"/>
      <c r="CL33" s="2"/>
      <c r="CM33" s="2">
        <v>0</v>
      </c>
      <c r="CN33" s="2" t="s">
        <v>3</v>
      </c>
      <c r="CO33" s="2">
        <v>0</v>
      </c>
      <c r="CP33" s="2">
        <f t="shared" si="28"/>
        <v>2123.73</v>
      </c>
      <c r="CQ33" s="2">
        <f>SUMIF(SmtRes!AQ10:'SmtRes'!AQ10,"=1",SmtRes!AA10:'SmtRes'!AA10)</f>
        <v>0</v>
      </c>
      <c r="CR33" s="2">
        <f>SUMIF(SmtRes!AQ10:'SmtRes'!AQ10,"=1",SmtRes!AB10:'SmtRes'!AB10)</f>
        <v>0</v>
      </c>
      <c r="CS33" s="2">
        <f>SUMIF(SmtRes!AQ10:'SmtRes'!AQ10,"=1",SmtRes!AC10:'SmtRes'!AC10)</f>
        <v>0</v>
      </c>
      <c r="CT33" s="2">
        <f>SUMIF(SmtRes!AQ10:'SmtRes'!AQ10,"=1",SmtRes!AD10:'SmtRes'!AD10)</f>
        <v>312.13</v>
      </c>
      <c r="CU33" s="2">
        <f t="shared" si="29"/>
        <v>0</v>
      </c>
      <c r="CV33" s="2">
        <f>SUMIF(SmtRes!AQ10:'SmtRes'!AQ10,"=1",SmtRes!BU10:'SmtRes'!BU10)</f>
        <v>97.2</v>
      </c>
      <c r="CW33" s="2">
        <f>SUMIF(SmtRes!AQ10:'SmtRes'!AQ10,"=1",SmtRes!BV10:'SmtRes'!BV10)</f>
        <v>0</v>
      </c>
      <c r="CX33" s="2">
        <f t="shared" si="30"/>
        <v>0</v>
      </c>
      <c r="CY33" s="2">
        <f t="shared" si="31"/>
        <v>1890.1197</v>
      </c>
      <c r="CZ33" s="2">
        <f t="shared" si="32"/>
        <v>849.49199999999996</v>
      </c>
      <c r="DA33" s="2"/>
      <c r="DB33" s="2"/>
      <c r="DC33" s="2" t="s">
        <v>3</v>
      </c>
      <c r="DD33" s="2" t="s">
        <v>3</v>
      </c>
      <c r="DE33" s="2" t="s">
        <v>3</v>
      </c>
      <c r="DF33" s="2" t="s">
        <v>3</v>
      </c>
      <c r="DG33" s="2" t="s">
        <v>3</v>
      </c>
      <c r="DH33" s="2" t="s">
        <v>3</v>
      </c>
      <c r="DI33" s="2" t="s">
        <v>3</v>
      </c>
      <c r="DJ33" s="2" t="s">
        <v>3</v>
      </c>
      <c r="DK33" s="2" t="s">
        <v>3</v>
      </c>
      <c r="DL33" s="2" t="s">
        <v>3</v>
      </c>
      <c r="DM33" s="2" t="s">
        <v>3</v>
      </c>
      <c r="DN33" s="2">
        <v>0</v>
      </c>
      <c r="DO33" s="2">
        <v>0</v>
      </c>
      <c r="DP33" s="2">
        <v>1</v>
      </c>
      <c r="DQ33" s="2">
        <v>1</v>
      </c>
      <c r="DR33" s="2"/>
      <c r="DS33" s="2"/>
      <c r="DT33" s="2"/>
      <c r="DU33" s="2">
        <v>1007</v>
      </c>
      <c r="DV33" s="2" t="s">
        <v>31</v>
      </c>
      <c r="DW33" s="2" t="s">
        <v>31</v>
      </c>
      <c r="DX33" s="2">
        <v>100</v>
      </c>
      <c r="DY33" s="2"/>
      <c r="DZ33" s="2" t="s">
        <v>3</v>
      </c>
      <c r="EA33" s="2" t="s">
        <v>3</v>
      </c>
      <c r="EB33" s="2" t="s">
        <v>3</v>
      </c>
      <c r="EC33" s="2" t="s">
        <v>3</v>
      </c>
      <c r="ED33" s="2"/>
      <c r="EE33" s="2">
        <v>72340573</v>
      </c>
      <c r="EF33" s="2">
        <v>2</v>
      </c>
      <c r="EG33" s="2" t="s">
        <v>23</v>
      </c>
      <c r="EH33" s="2">
        <v>1</v>
      </c>
      <c r="EI33" s="2" t="s">
        <v>17</v>
      </c>
      <c r="EJ33" s="2">
        <v>1</v>
      </c>
      <c r="EK33" s="2">
        <v>1003</v>
      </c>
      <c r="EL33" s="2" t="s">
        <v>33</v>
      </c>
      <c r="EM33" s="2" t="s">
        <v>25</v>
      </c>
      <c r="EN33" s="2"/>
      <c r="EO33" s="2" t="s">
        <v>3</v>
      </c>
      <c r="EP33" s="2"/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97.2</v>
      </c>
      <c r="EX33" s="2">
        <v>0</v>
      </c>
      <c r="EY33" s="2">
        <v>0</v>
      </c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>
        <v>0</v>
      </c>
      <c r="FR33" s="2">
        <v>0</v>
      </c>
      <c r="FS33" s="2">
        <v>0</v>
      </c>
      <c r="FT33" s="2"/>
      <c r="FU33" s="2"/>
      <c r="FV33" s="2"/>
      <c r="FW33" s="2"/>
      <c r="FX33" s="2">
        <v>89</v>
      </c>
      <c r="FY33" s="2">
        <v>40</v>
      </c>
      <c r="FZ33" s="2"/>
      <c r="GA33" s="2" t="s">
        <v>3</v>
      </c>
      <c r="GB33" s="2"/>
      <c r="GC33" s="2"/>
      <c r="GD33" s="2">
        <v>1</v>
      </c>
      <c r="GE33" s="2"/>
      <c r="GF33" s="2">
        <v>-1063570572</v>
      </c>
      <c r="GG33" s="2">
        <v>2</v>
      </c>
      <c r="GH33" s="2">
        <v>1</v>
      </c>
      <c r="GI33" s="2">
        <v>-2</v>
      </c>
      <c r="GJ33" s="2">
        <v>0</v>
      </c>
      <c r="GK33" s="2">
        <v>0</v>
      </c>
      <c r="GL33" s="2">
        <f t="shared" si="33"/>
        <v>0</v>
      </c>
      <c r="GM33" s="2">
        <f t="shared" si="34"/>
        <v>4863.34</v>
      </c>
      <c r="GN33" s="2">
        <f t="shared" si="35"/>
        <v>4863.34</v>
      </c>
      <c r="GO33" s="2">
        <f t="shared" si="36"/>
        <v>0</v>
      </c>
      <c r="GP33" s="2">
        <f t="shared" si="37"/>
        <v>0</v>
      </c>
      <c r="GQ33" s="2"/>
      <c r="GR33" s="2">
        <v>0</v>
      </c>
      <c r="GS33" s="2">
        <v>3</v>
      </c>
      <c r="GT33" s="2">
        <v>0</v>
      </c>
      <c r="GU33" s="2" t="s">
        <v>3</v>
      </c>
      <c r="GV33" s="2">
        <f t="shared" si="38"/>
        <v>0</v>
      </c>
      <c r="GW33" s="2">
        <v>1</v>
      </c>
      <c r="GX33" s="2">
        <f t="shared" si="39"/>
        <v>0</v>
      </c>
      <c r="GY33" s="2"/>
      <c r="GZ33" s="2"/>
      <c r="HA33" s="2">
        <v>0</v>
      </c>
      <c r="HB33" s="2">
        <v>0</v>
      </c>
      <c r="HC33" s="2">
        <f t="shared" si="40"/>
        <v>0</v>
      </c>
      <c r="HD33" s="2"/>
      <c r="HE33" s="2" t="s">
        <v>3</v>
      </c>
      <c r="HF33" s="2" t="s">
        <v>3</v>
      </c>
      <c r="HG33" s="2"/>
      <c r="HH33" s="2"/>
      <c r="HI33" s="2"/>
      <c r="HJ33" s="2"/>
      <c r="HK33" s="2"/>
      <c r="HL33" s="2"/>
      <c r="HM33" s="2" t="s">
        <v>3</v>
      </c>
      <c r="HN33" s="2" t="s">
        <v>34</v>
      </c>
      <c r="HO33" s="2" t="s">
        <v>35</v>
      </c>
      <c r="HP33" s="2" t="s">
        <v>33</v>
      </c>
      <c r="HQ33" s="2" t="s">
        <v>33</v>
      </c>
      <c r="HR33" s="2"/>
      <c r="HS33" s="2">
        <v>0</v>
      </c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>
        <v>0</v>
      </c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5" spans="1:255" x14ac:dyDescent="0.2">
      <c r="A35" s="3">
        <v>51</v>
      </c>
      <c r="B35" s="3">
        <f>B24</f>
        <v>1</v>
      </c>
      <c r="C35" s="3">
        <f>A24</f>
        <v>4</v>
      </c>
      <c r="D35" s="3">
        <f>ROW(A24)</f>
        <v>24</v>
      </c>
      <c r="E35" s="3"/>
      <c r="F35" s="3" t="str">
        <f>IF(F24&lt;&gt;"",F24,"")</f>
        <v>Новый раздел</v>
      </c>
      <c r="G35" s="3" t="str">
        <f>IF(G24&lt;&gt;"",G24,"")</f>
        <v>Земляные работы</v>
      </c>
      <c r="H35" s="3">
        <v>0</v>
      </c>
      <c r="I35" s="3"/>
      <c r="J35" s="3"/>
      <c r="K35" s="3"/>
      <c r="L35" s="3"/>
      <c r="M35" s="3"/>
      <c r="N35" s="3"/>
      <c r="O35" s="3">
        <f t="shared" ref="O35:T35" si="41">ROUND(AB35,2)</f>
        <v>101815.54</v>
      </c>
      <c r="P35" s="3">
        <f t="shared" si="41"/>
        <v>66153.95</v>
      </c>
      <c r="Q35" s="3">
        <f t="shared" si="41"/>
        <v>13414.23</v>
      </c>
      <c r="R35" s="3">
        <f t="shared" si="41"/>
        <v>4894.17</v>
      </c>
      <c r="S35" s="3">
        <f t="shared" si="41"/>
        <v>17353.189999999999</v>
      </c>
      <c r="T35" s="3">
        <f t="shared" si="41"/>
        <v>0</v>
      </c>
      <c r="U35" s="3">
        <f>AH35</f>
        <v>52.07</v>
      </c>
      <c r="V35" s="3">
        <f>AI35</f>
        <v>9.5119799999999994</v>
      </c>
      <c r="W35" s="3">
        <f>ROUND(AJ35,2)</f>
        <v>0</v>
      </c>
      <c r="X35" s="3">
        <f>ROUND(AK35,2)</f>
        <v>23207</v>
      </c>
      <c r="Y35" s="3">
        <f>ROUND(AL35,2)</f>
        <v>13139.99</v>
      </c>
      <c r="Z35" s="3"/>
      <c r="AA35" s="3"/>
      <c r="AB35" s="3">
        <f>ROUND(SUMIF(AA28:AA33,"=73953415",O28:O33),2)</f>
        <v>101815.54</v>
      </c>
      <c r="AC35" s="3">
        <f>ROUND(SUMIF(AA28:AA33,"=73953415",P28:P33),2)</f>
        <v>66153.95</v>
      </c>
      <c r="AD35" s="3">
        <f>ROUND(SUMIF(AA28:AA33,"=73953415",Q28:Q33),2)</f>
        <v>13414.23</v>
      </c>
      <c r="AE35" s="3">
        <f>ROUND(SUMIF(AA28:AA33,"=73953415",R28:R33),2)</f>
        <v>4894.17</v>
      </c>
      <c r="AF35" s="3">
        <f>ROUND(SUMIF(AA28:AA33,"=73953415",S28:S33),2)</f>
        <v>17353.189999999999</v>
      </c>
      <c r="AG35" s="3">
        <f>ROUND(SUMIF(AA28:AA33,"=73953415",T28:T33),2)</f>
        <v>0</v>
      </c>
      <c r="AH35" s="3">
        <f>SUMIF(AA28:AA33,"=73953415",U28:U33)</f>
        <v>52.07</v>
      </c>
      <c r="AI35" s="3">
        <f>SUMIF(AA28:AA33,"=73953415",V28:V33)</f>
        <v>9.5119799999999994</v>
      </c>
      <c r="AJ35" s="3">
        <f>ROUND(SUMIF(AA28:AA33,"=73953415",W28:W33),2)</f>
        <v>0</v>
      </c>
      <c r="AK35" s="3">
        <f>ROUND(SUMIF(AA28:AA33,"=73953415",X28:X33),2)</f>
        <v>23207</v>
      </c>
      <c r="AL35" s="3">
        <f>ROUND(SUMIF(AA28:AA33,"=73953415",Y28:Y33),2)</f>
        <v>13139.99</v>
      </c>
      <c r="AM35" s="3"/>
      <c r="AN35" s="3"/>
      <c r="AO35" s="3">
        <f t="shared" ref="AO35:BD35" si="42">ROUND(BX35,2)</f>
        <v>0</v>
      </c>
      <c r="AP35" s="3">
        <f t="shared" si="42"/>
        <v>0</v>
      </c>
      <c r="AQ35" s="3">
        <f t="shared" si="42"/>
        <v>0</v>
      </c>
      <c r="AR35" s="3">
        <f t="shared" si="42"/>
        <v>138162.53</v>
      </c>
      <c r="AS35" s="3">
        <f t="shared" si="42"/>
        <v>138162.53</v>
      </c>
      <c r="AT35" s="3">
        <f t="shared" si="42"/>
        <v>0</v>
      </c>
      <c r="AU35" s="3">
        <f t="shared" si="42"/>
        <v>0</v>
      </c>
      <c r="AV35" s="3">
        <f t="shared" si="42"/>
        <v>66153.95</v>
      </c>
      <c r="AW35" s="3">
        <f t="shared" si="42"/>
        <v>66153.95</v>
      </c>
      <c r="AX35" s="3">
        <f t="shared" si="42"/>
        <v>0</v>
      </c>
      <c r="AY35" s="3">
        <f t="shared" si="42"/>
        <v>66153.95</v>
      </c>
      <c r="AZ35" s="3">
        <f t="shared" si="42"/>
        <v>0</v>
      </c>
      <c r="BA35" s="3">
        <f t="shared" si="42"/>
        <v>0</v>
      </c>
      <c r="BB35" s="3">
        <f t="shared" si="42"/>
        <v>0</v>
      </c>
      <c r="BC35" s="3">
        <f t="shared" si="42"/>
        <v>0</v>
      </c>
      <c r="BD35" s="3">
        <f t="shared" si="42"/>
        <v>0</v>
      </c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>
        <f>ROUND(SUMIF(AA28:AA33,"=73953415",FQ28:FQ33),2)</f>
        <v>0</v>
      </c>
      <c r="BY35" s="3">
        <f>ROUND(SUMIF(AA28:AA33,"=73953415",FR28:FR33),2)</f>
        <v>0</v>
      </c>
      <c r="BZ35" s="3">
        <f>ROUND(SUMIF(AA28:AA33,"=73953415",GL28:GL33),2)</f>
        <v>0</v>
      </c>
      <c r="CA35" s="3">
        <f>ROUND(SUMIF(AA28:AA33,"=73953415",GM28:GM33),2)</f>
        <v>138162.53</v>
      </c>
      <c r="CB35" s="3">
        <f>ROUND(SUMIF(AA28:AA33,"=73953415",GN28:GN33),2)</f>
        <v>138162.53</v>
      </c>
      <c r="CC35" s="3">
        <f>ROUND(SUMIF(AA28:AA33,"=73953415",GO28:GO33),2)</f>
        <v>0</v>
      </c>
      <c r="CD35" s="3">
        <f>ROUND(SUMIF(AA28:AA33,"=73953415",GP28:GP33),2)</f>
        <v>0</v>
      </c>
      <c r="CE35" s="3">
        <f>AC35-BX35</f>
        <v>66153.95</v>
      </c>
      <c r="CF35" s="3">
        <f>AC35-BY35</f>
        <v>66153.95</v>
      </c>
      <c r="CG35" s="3">
        <f>BX35-BZ35</f>
        <v>0</v>
      </c>
      <c r="CH35" s="3">
        <f>AC35-BX35-BY35+BZ35</f>
        <v>66153.95</v>
      </c>
      <c r="CI35" s="3">
        <f>BY35-BZ35</f>
        <v>0</v>
      </c>
      <c r="CJ35" s="3">
        <f>ROUND(SUMIF(AA28:AA33,"=73953415",GX28:GX33),2)</f>
        <v>0</v>
      </c>
      <c r="CK35" s="3">
        <f>ROUND(SUMIF(AA28:AA33,"=73953415",GY28:GY33),2)</f>
        <v>0</v>
      </c>
      <c r="CL35" s="3">
        <f>ROUND(SUMIF(AA28:AA33,"=73953415",GZ28:GZ33),2)</f>
        <v>0</v>
      </c>
      <c r="CM35" s="3">
        <f>ROUND(SUMIF(AA28:AA33,"=73953415",HD28:HD33),2)</f>
        <v>0</v>
      </c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>
        <v>0</v>
      </c>
    </row>
    <row r="37" spans="1:255" x14ac:dyDescent="0.2">
      <c r="A37" s="5">
        <v>50</v>
      </c>
      <c r="B37" s="5">
        <v>0</v>
      </c>
      <c r="C37" s="5">
        <v>0</v>
      </c>
      <c r="D37" s="5">
        <v>1</v>
      </c>
      <c r="E37" s="5">
        <v>201</v>
      </c>
      <c r="F37" s="5">
        <f>ROUND(Source!O35,O37)</f>
        <v>101815.54</v>
      </c>
      <c r="G37" s="5" t="s">
        <v>58</v>
      </c>
      <c r="H37" s="5" t="s">
        <v>59</v>
      </c>
      <c r="I37" s="5"/>
      <c r="J37" s="5"/>
      <c r="K37" s="5">
        <v>201</v>
      </c>
      <c r="L37" s="5">
        <v>1</v>
      </c>
      <c r="M37" s="5">
        <v>3</v>
      </c>
      <c r="N37" s="5" t="s">
        <v>3</v>
      </c>
      <c r="O37" s="5">
        <v>2</v>
      </c>
      <c r="P37" s="5"/>
      <c r="Q37" s="5"/>
      <c r="R37" s="5"/>
      <c r="S37" s="5"/>
      <c r="T37" s="5"/>
      <c r="U37" s="5"/>
      <c r="V37" s="5"/>
      <c r="W37" s="5">
        <v>101815.54</v>
      </c>
      <c r="X37" s="5">
        <v>1</v>
      </c>
      <c r="Y37" s="5">
        <v>101815.54</v>
      </c>
      <c r="Z37" s="5"/>
      <c r="AA37" s="5"/>
      <c r="AB37" s="5"/>
    </row>
    <row r="38" spans="1:255" x14ac:dyDescent="0.2">
      <c r="A38" s="5">
        <v>50</v>
      </c>
      <c r="B38" s="5">
        <v>0</v>
      </c>
      <c r="C38" s="5">
        <v>0</v>
      </c>
      <c r="D38" s="5">
        <v>1</v>
      </c>
      <c r="E38" s="5">
        <v>202</v>
      </c>
      <c r="F38" s="5">
        <f>ROUND(Source!P35,O38)</f>
        <v>66153.95</v>
      </c>
      <c r="G38" s="5" t="s">
        <v>60</v>
      </c>
      <c r="H38" s="5" t="s">
        <v>61</v>
      </c>
      <c r="I38" s="5"/>
      <c r="J38" s="5"/>
      <c r="K38" s="5">
        <v>202</v>
      </c>
      <c r="L38" s="5">
        <v>2</v>
      </c>
      <c r="M38" s="5">
        <v>3</v>
      </c>
      <c r="N38" s="5" t="s">
        <v>3</v>
      </c>
      <c r="O38" s="5">
        <v>2</v>
      </c>
      <c r="P38" s="5"/>
      <c r="Q38" s="5"/>
      <c r="R38" s="5"/>
      <c r="S38" s="5"/>
      <c r="T38" s="5"/>
      <c r="U38" s="5"/>
      <c r="V38" s="5"/>
      <c r="W38" s="5">
        <v>66153.95</v>
      </c>
      <c r="X38" s="5">
        <v>1</v>
      </c>
      <c r="Y38" s="5">
        <v>66153.95</v>
      </c>
      <c r="Z38" s="5"/>
      <c r="AA38" s="5"/>
      <c r="AB38" s="5"/>
    </row>
    <row r="39" spans="1:255" x14ac:dyDescent="0.2">
      <c r="A39" s="5">
        <v>50</v>
      </c>
      <c r="B39" s="5">
        <v>0</v>
      </c>
      <c r="C39" s="5">
        <v>0</v>
      </c>
      <c r="D39" s="5">
        <v>1</v>
      </c>
      <c r="E39" s="5">
        <v>222</v>
      </c>
      <c r="F39" s="5">
        <f>ROUND(Source!AO35,O39)</f>
        <v>0</v>
      </c>
      <c r="G39" s="5" t="s">
        <v>62</v>
      </c>
      <c r="H39" s="5" t="s">
        <v>63</v>
      </c>
      <c r="I39" s="5"/>
      <c r="J39" s="5"/>
      <c r="K39" s="5">
        <v>222</v>
      </c>
      <c r="L39" s="5">
        <v>3</v>
      </c>
      <c r="M39" s="5">
        <v>3</v>
      </c>
      <c r="N39" s="5" t="s">
        <v>3</v>
      </c>
      <c r="O39" s="5">
        <v>2</v>
      </c>
      <c r="P39" s="5"/>
      <c r="Q39" s="5"/>
      <c r="R39" s="5"/>
      <c r="S39" s="5"/>
      <c r="T39" s="5"/>
      <c r="U39" s="5"/>
      <c r="V39" s="5"/>
      <c r="W39" s="5">
        <v>0</v>
      </c>
      <c r="X39" s="5">
        <v>1</v>
      </c>
      <c r="Y39" s="5">
        <v>0</v>
      </c>
      <c r="Z39" s="5"/>
      <c r="AA39" s="5"/>
      <c r="AB39" s="5"/>
    </row>
    <row r="40" spans="1:255" x14ac:dyDescent="0.2">
      <c r="A40" s="5">
        <v>50</v>
      </c>
      <c r="B40" s="5">
        <v>0</v>
      </c>
      <c r="C40" s="5">
        <v>0</v>
      </c>
      <c r="D40" s="5">
        <v>1</v>
      </c>
      <c r="E40" s="5">
        <v>225</v>
      </c>
      <c r="F40" s="5">
        <f>ROUND(Source!AV35,O40)</f>
        <v>66153.95</v>
      </c>
      <c r="G40" s="5" t="s">
        <v>64</v>
      </c>
      <c r="H40" s="5" t="s">
        <v>65</v>
      </c>
      <c r="I40" s="5"/>
      <c r="J40" s="5"/>
      <c r="K40" s="5">
        <v>225</v>
      </c>
      <c r="L40" s="5">
        <v>4</v>
      </c>
      <c r="M40" s="5">
        <v>3</v>
      </c>
      <c r="N40" s="5" t="s">
        <v>3</v>
      </c>
      <c r="O40" s="5">
        <v>2</v>
      </c>
      <c r="P40" s="5"/>
      <c r="Q40" s="5"/>
      <c r="R40" s="5"/>
      <c r="S40" s="5"/>
      <c r="T40" s="5"/>
      <c r="U40" s="5"/>
      <c r="V40" s="5"/>
      <c r="W40" s="5">
        <v>66153.95</v>
      </c>
      <c r="X40" s="5">
        <v>1</v>
      </c>
      <c r="Y40" s="5">
        <v>66153.95</v>
      </c>
      <c r="Z40" s="5"/>
      <c r="AA40" s="5"/>
      <c r="AB40" s="5"/>
    </row>
    <row r="41" spans="1:255" x14ac:dyDescent="0.2">
      <c r="A41" s="5">
        <v>50</v>
      </c>
      <c r="B41" s="5">
        <v>0</v>
      </c>
      <c r="C41" s="5">
        <v>0</v>
      </c>
      <c r="D41" s="5">
        <v>1</v>
      </c>
      <c r="E41" s="5">
        <v>226</v>
      </c>
      <c r="F41" s="5">
        <f>ROUND(Source!AW35,O41)</f>
        <v>66153.95</v>
      </c>
      <c r="G41" s="5" t="s">
        <v>66</v>
      </c>
      <c r="H41" s="5" t="s">
        <v>67</v>
      </c>
      <c r="I41" s="5"/>
      <c r="J41" s="5"/>
      <c r="K41" s="5">
        <v>226</v>
      </c>
      <c r="L41" s="5">
        <v>5</v>
      </c>
      <c r="M41" s="5">
        <v>3</v>
      </c>
      <c r="N41" s="5" t="s">
        <v>3</v>
      </c>
      <c r="O41" s="5">
        <v>2</v>
      </c>
      <c r="P41" s="5"/>
      <c r="Q41" s="5"/>
      <c r="R41" s="5"/>
      <c r="S41" s="5"/>
      <c r="T41" s="5"/>
      <c r="U41" s="5"/>
      <c r="V41" s="5"/>
      <c r="W41" s="5">
        <v>66153.95</v>
      </c>
      <c r="X41" s="5">
        <v>1</v>
      </c>
      <c r="Y41" s="5">
        <v>66153.95</v>
      </c>
      <c r="Z41" s="5"/>
      <c r="AA41" s="5"/>
      <c r="AB41" s="5"/>
    </row>
    <row r="42" spans="1:255" x14ac:dyDescent="0.2">
      <c r="A42" s="5">
        <v>50</v>
      </c>
      <c r="B42" s="5">
        <v>0</v>
      </c>
      <c r="C42" s="5">
        <v>0</v>
      </c>
      <c r="D42" s="5">
        <v>1</v>
      </c>
      <c r="E42" s="5">
        <v>227</v>
      </c>
      <c r="F42" s="5">
        <f>ROUND(Source!AX35,O42)</f>
        <v>0</v>
      </c>
      <c r="G42" s="5" t="s">
        <v>68</v>
      </c>
      <c r="H42" s="5" t="s">
        <v>69</v>
      </c>
      <c r="I42" s="5"/>
      <c r="J42" s="5"/>
      <c r="K42" s="5">
        <v>227</v>
      </c>
      <c r="L42" s="5">
        <v>6</v>
      </c>
      <c r="M42" s="5">
        <v>3</v>
      </c>
      <c r="N42" s="5" t="s">
        <v>3</v>
      </c>
      <c r="O42" s="5">
        <v>2</v>
      </c>
      <c r="P42" s="5"/>
      <c r="Q42" s="5"/>
      <c r="R42" s="5"/>
      <c r="S42" s="5"/>
      <c r="T42" s="5"/>
      <c r="U42" s="5"/>
      <c r="V42" s="5"/>
      <c r="W42" s="5">
        <v>0</v>
      </c>
      <c r="X42" s="5">
        <v>1</v>
      </c>
      <c r="Y42" s="5">
        <v>0</v>
      </c>
      <c r="Z42" s="5"/>
      <c r="AA42" s="5"/>
      <c r="AB42" s="5"/>
    </row>
    <row r="43" spans="1:255" x14ac:dyDescent="0.2">
      <c r="A43" s="5">
        <v>50</v>
      </c>
      <c r="B43" s="5">
        <v>0</v>
      </c>
      <c r="C43" s="5">
        <v>0</v>
      </c>
      <c r="D43" s="5">
        <v>1</v>
      </c>
      <c r="E43" s="5">
        <v>228</v>
      </c>
      <c r="F43" s="5">
        <f>ROUND(Source!AY35,O43)</f>
        <v>66153.95</v>
      </c>
      <c r="G43" s="5" t="s">
        <v>70</v>
      </c>
      <c r="H43" s="5" t="s">
        <v>71</v>
      </c>
      <c r="I43" s="5"/>
      <c r="J43" s="5"/>
      <c r="K43" s="5">
        <v>228</v>
      </c>
      <c r="L43" s="5">
        <v>7</v>
      </c>
      <c r="M43" s="5">
        <v>3</v>
      </c>
      <c r="N43" s="5" t="s">
        <v>3</v>
      </c>
      <c r="O43" s="5">
        <v>2</v>
      </c>
      <c r="P43" s="5"/>
      <c r="Q43" s="5"/>
      <c r="R43" s="5"/>
      <c r="S43" s="5"/>
      <c r="T43" s="5"/>
      <c r="U43" s="5"/>
      <c r="V43" s="5"/>
      <c r="W43" s="5">
        <v>66153.95</v>
      </c>
      <c r="X43" s="5">
        <v>1</v>
      </c>
      <c r="Y43" s="5">
        <v>66153.95</v>
      </c>
      <c r="Z43" s="5"/>
      <c r="AA43" s="5"/>
      <c r="AB43" s="5"/>
    </row>
    <row r="44" spans="1:255" x14ac:dyDescent="0.2">
      <c r="A44" s="5">
        <v>50</v>
      </c>
      <c r="B44" s="5">
        <v>0</v>
      </c>
      <c r="C44" s="5">
        <v>0</v>
      </c>
      <c r="D44" s="5">
        <v>1</v>
      </c>
      <c r="E44" s="5">
        <v>216</v>
      </c>
      <c r="F44" s="5">
        <f>ROUND(Source!AP35,O44)</f>
        <v>0</v>
      </c>
      <c r="G44" s="5" t="s">
        <v>72</v>
      </c>
      <c r="H44" s="5" t="s">
        <v>73</v>
      </c>
      <c r="I44" s="5"/>
      <c r="J44" s="5"/>
      <c r="K44" s="5">
        <v>216</v>
      </c>
      <c r="L44" s="5">
        <v>8</v>
      </c>
      <c r="M44" s="5">
        <v>3</v>
      </c>
      <c r="N44" s="5" t="s">
        <v>3</v>
      </c>
      <c r="O44" s="5">
        <v>2</v>
      </c>
      <c r="P44" s="5"/>
      <c r="Q44" s="5"/>
      <c r="R44" s="5"/>
      <c r="S44" s="5"/>
      <c r="T44" s="5"/>
      <c r="U44" s="5"/>
      <c r="V44" s="5"/>
      <c r="W44" s="5">
        <v>0</v>
      </c>
      <c r="X44" s="5">
        <v>1</v>
      </c>
      <c r="Y44" s="5">
        <v>0</v>
      </c>
      <c r="Z44" s="5"/>
      <c r="AA44" s="5"/>
      <c r="AB44" s="5"/>
    </row>
    <row r="45" spans="1:255" x14ac:dyDescent="0.2">
      <c r="A45" s="5">
        <v>50</v>
      </c>
      <c r="B45" s="5">
        <v>0</v>
      </c>
      <c r="C45" s="5">
        <v>0</v>
      </c>
      <c r="D45" s="5">
        <v>1</v>
      </c>
      <c r="E45" s="5">
        <v>223</v>
      </c>
      <c r="F45" s="5">
        <f>ROUND(Source!AQ35,O45)</f>
        <v>0</v>
      </c>
      <c r="G45" s="5" t="s">
        <v>74</v>
      </c>
      <c r="H45" s="5" t="s">
        <v>75</v>
      </c>
      <c r="I45" s="5"/>
      <c r="J45" s="5"/>
      <c r="K45" s="5">
        <v>223</v>
      </c>
      <c r="L45" s="5">
        <v>9</v>
      </c>
      <c r="M45" s="5">
        <v>3</v>
      </c>
      <c r="N45" s="5" t="s">
        <v>3</v>
      </c>
      <c r="O45" s="5">
        <v>2</v>
      </c>
      <c r="P45" s="5"/>
      <c r="Q45" s="5"/>
      <c r="R45" s="5"/>
      <c r="S45" s="5"/>
      <c r="T45" s="5"/>
      <c r="U45" s="5"/>
      <c r="V45" s="5"/>
      <c r="W45" s="5">
        <v>0</v>
      </c>
      <c r="X45" s="5">
        <v>1</v>
      </c>
      <c r="Y45" s="5">
        <v>0</v>
      </c>
      <c r="Z45" s="5"/>
      <c r="AA45" s="5"/>
      <c r="AB45" s="5"/>
    </row>
    <row r="46" spans="1:255" x14ac:dyDescent="0.2">
      <c r="A46" s="5">
        <v>50</v>
      </c>
      <c r="B46" s="5">
        <v>0</v>
      </c>
      <c r="C46" s="5">
        <v>0</v>
      </c>
      <c r="D46" s="5">
        <v>1</v>
      </c>
      <c r="E46" s="5">
        <v>229</v>
      </c>
      <c r="F46" s="5">
        <f>ROUND(Source!AZ35,O46)</f>
        <v>0</v>
      </c>
      <c r="G46" s="5" t="s">
        <v>76</v>
      </c>
      <c r="H46" s="5" t="s">
        <v>77</v>
      </c>
      <c r="I46" s="5"/>
      <c r="J46" s="5"/>
      <c r="K46" s="5">
        <v>229</v>
      </c>
      <c r="L46" s="5">
        <v>10</v>
      </c>
      <c r="M46" s="5">
        <v>3</v>
      </c>
      <c r="N46" s="5" t="s">
        <v>3</v>
      </c>
      <c r="O46" s="5">
        <v>2</v>
      </c>
      <c r="P46" s="5"/>
      <c r="Q46" s="5"/>
      <c r="R46" s="5"/>
      <c r="S46" s="5"/>
      <c r="T46" s="5"/>
      <c r="U46" s="5"/>
      <c r="V46" s="5"/>
      <c r="W46" s="5">
        <v>0</v>
      </c>
      <c r="X46" s="5">
        <v>1</v>
      </c>
      <c r="Y46" s="5">
        <v>0</v>
      </c>
      <c r="Z46" s="5"/>
      <c r="AA46" s="5"/>
      <c r="AB46" s="5"/>
    </row>
    <row r="47" spans="1:255" x14ac:dyDescent="0.2">
      <c r="A47" s="5">
        <v>50</v>
      </c>
      <c r="B47" s="5">
        <v>0</v>
      </c>
      <c r="C47" s="5">
        <v>0</v>
      </c>
      <c r="D47" s="5">
        <v>1</v>
      </c>
      <c r="E47" s="5">
        <v>203</v>
      </c>
      <c r="F47" s="5">
        <f>ROUND(Source!Q35,O47)</f>
        <v>13414.23</v>
      </c>
      <c r="G47" s="5" t="s">
        <v>78</v>
      </c>
      <c r="H47" s="5" t="s">
        <v>79</v>
      </c>
      <c r="I47" s="5"/>
      <c r="J47" s="5"/>
      <c r="K47" s="5">
        <v>203</v>
      </c>
      <c r="L47" s="5">
        <v>11</v>
      </c>
      <c r="M47" s="5">
        <v>3</v>
      </c>
      <c r="N47" s="5" t="s">
        <v>3</v>
      </c>
      <c r="O47" s="5">
        <v>2</v>
      </c>
      <c r="P47" s="5"/>
      <c r="Q47" s="5"/>
      <c r="R47" s="5"/>
      <c r="S47" s="5"/>
      <c r="T47" s="5"/>
      <c r="U47" s="5"/>
      <c r="V47" s="5"/>
      <c r="W47" s="5">
        <v>13414.23</v>
      </c>
      <c r="X47" s="5">
        <v>1</v>
      </c>
      <c r="Y47" s="5">
        <v>13414.23</v>
      </c>
      <c r="Z47" s="5"/>
      <c r="AA47" s="5"/>
      <c r="AB47" s="5"/>
    </row>
    <row r="48" spans="1:255" x14ac:dyDescent="0.2">
      <c r="A48" s="5">
        <v>50</v>
      </c>
      <c r="B48" s="5">
        <v>0</v>
      </c>
      <c r="C48" s="5">
        <v>0</v>
      </c>
      <c r="D48" s="5">
        <v>1</v>
      </c>
      <c r="E48" s="5">
        <v>231</v>
      </c>
      <c r="F48" s="5">
        <f>ROUND(Source!BB35,O48)</f>
        <v>0</v>
      </c>
      <c r="G48" s="5" t="s">
        <v>80</v>
      </c>
      <c r="H48" s="5" t="s">
        <v>81</v>
      </c>
      <c r="I48" s="5"/>
      <c r="J48" s="5"/>
      <c r="K48" s="5">
        <v>231</v>
      </c>
      <c r="L48" s="5">
        <v>12</v>
      </c>
      <c r="M48" s="5">
        <v>3</v>
      </c>
      <c r="N48" s="5" t="s">
        <v>3</v>
      </c>
      <c r="O48" s="5">
        <v>2</v>
      </c>
      <c r="P48" s="5"/>
      <c r="Q48" s="5"/>
      <c r="R48" s="5"/>
      <c r="S48" s="5"/>
      <c r="T48" s="5"/>
      <c r="U48" s="5"/>
      <c r="V48" s="5"/>
      <c r="W48" s="5">
        <v>0</v>
      </c>
      <c r="X48" s="5">
        <v>1</v>
      </c>
      <c r="Y48" s="5">
        <v>0</v>
      </c>
      <c r="Z48" s="5"/>
      <c r="AA48" s="5"/>
      <c r="AB48" s="5"/>
    </row>
    <row r="49" spans="1:28" x14ac:dyDescent="0.2">
      <c r="A49" s="5">
        <v>50</v>
      </c>
      <c r="B49" s="5">
        <v>0</v>
      </c>
      <c r="C49" s="5">
        <v>0</v>
      </c>
      <c r="D49" s="5">
        <v>1</v>
      </c>
      <c r="E49" s="5">
        <v>204</v>
      </c>
      <c r="F49" s="5">
        <f>ROUND(Source!R35,O49)</f>
        <v>4894.17</v>
      </c>
      <c r="G49" s="5" t="s">
        <v>82</v>
      </c>
      <c r="H49" s="5" t="s">
        <v>83</v>
      </c>
      <c r="I49" s="5"/>
      <c r="J49" s="5"/>
      <c r="K49" s="5">
        <v>204</v>
      </c>
      <c r="L49" s="5">
        <v>13</v>
      </c>
      <c r="M49" s="5">
        <v>3</v>
      </c>
      <c r="N49" s="5" t="s">
        <v>3</v>
      </c>
      <c r="O49" s="5">
        <v>2</v>
      </c>
      <c r="P49" s="5"/>
      <c r="Q49" s="5"/>
      <c r="R49" s="5"/>
      <c r="S49" s="5"/>
      <c r="T49" s="5"/>
      <c r="U49" s="5"/>
      <c r="V49" s="5"/>
      <c r="W49" s="5">
        <v>4894.17</v>
      </c>
      <c r="X49" s="5">
        <v>1</v>
      </c>
      <c r="Y49" s="5">
        <v>4894.17</v>
      </c>
      <c r="Z49" s="5"/>
      <c r="AA49" s="5"/>
      <c r="AB49" s="5"/>
    </row>
    <row r="50" spans="1:28" x14ac:dyDescent="0.2">
      <c r="A50" s="5">
        <v>50</v>
      </c>
      <c r="B50" s="5">
        <v>0</v>
      </c>
      <c r="C50" s="5">
        <v>0</v>
      </c>
      <c r="D50" s="5">
        <v>1</v>
      </c>
      <c r="E50" s="5">
        <v>205</v>
      </c>
      <c r="F50" s="5">
        <f>ROUND(Source!S35,O50)</f>
        <v>17353.189999999999</v>
      </c>
      <c r="G50" s="5" t="s">
        <v>84</v>
      </c>
      <c r="H50" s="5" t="s">
        <v>85</v>
      </c>
      <c r="I50" s="5"/>
      <c r="J50" s="5"/>
      <c r="K50" s="5">
        <v>205</v>
      </c>
      <c r="L50" s="5">
        <v>14</v>
      </c>
      <c r="M50" s="5">
        <v>3</v>
      </c>
      <c r="N50" s="5" t="s">
        <v>3</v>
      </c>
      <c r="O50" s="5">
        <v>2</v>
      </c>
      <c r="P50" s="5"/>
      <c r="Q50" s="5"/>
      <c r="R50" s="5"/>
      <c r="S50" s="5"/>
      <c r="T50" s="5"/>
      <c r="U50" s="5"/>
      <c r="V50" s="5"/>
      <c r="W50" s="5">
        <v>17353.190000000002</v>
      </c>
      <c r="X50" s="5">
        <v>1</v>
      </c>
      <c r="Y50" s="5">
        <v>17353.190000000002</v>
      </c>
      <c r="Z50" s="5"/>
      <c r="AA50" s="5"/>
      <c r="AB50" s="5"/>
    </row>
    <row r="51" spans="1:28" x14ac:dyDescent="0.2">
      <c r="A51" s="5">
        <v>50</v>
      </c>
      <c r="B51" s="5">
        <v>0</v>
      </c>
      <c r="C51" s="5">
        <v>0</v>
      </c>
      <c r="D51" s="5">
        <v>1</v>
      </c>
      <c r="E51" s="5">
        <v>232</v>
      </c>
      <c r="F51" s="5">
        <f>ROUND(Source!BC35,O51)</f>
        <v>0</v>
      </c>
      <c r="G51" s="5" t="s">
        <v>86</v>
      </c>
      <c r="H51" s="5" t="s">
        <v>87</v>
      </c>
      <c r="I51" s="5"/>
      <c r="J51" s="5"/>
      <c r="K51" s="5">
        <v>232</v>
      </c>
      <c r="L51" s="5">
        <v>15</v>
      </c>
      <c r="M51" s="5">
        <v>3</v>
      </c>
      <c r="N51" s="5" t="s">
        <v>3</v>
      </c>
      <c r="O51" s="5">
        <v>2</v>
      </c>
      <c r="P51" s="5"/>
      <c r="Q51" s="5"/>
      <c r="R51" s="5"/>
      <c r="S51" s="5"/>
      <c r="T51" s="5"/>
      <c r="U51" s="5"/>
      <c r="V51" s="5"/>
      <c r="W51" s="5">
        <v>0</v>
      </c>
      <c r="X51" s="5">
        <v>1</v>
      </c>
      <c r="Y51" s="5">
        <v>0</v>
      </c>
      <c r="Z51" s="5"/>
      <c r="AA51" s="5"/>
      <c r="AB51" s="5"/>
    </row>
    <row r="52" spans="1:28" x14ac:dyDescent="0.2">
      <c r="A52" s="5">
        <v>50</v>
      </c>
      <c r="B52" s="5">
        <v>0</v>
      </c>
      <c r="C52" s="5">
        <v>0</v>
      </c>
      <c r="D52" s="5">
        <v>1</v>
      </c>
      <c r="E52" s="5">
        <v>214</v>
      </c>
      <c r="F52" s="5">
        <f>ROUND(Source!AS35,O52)</f>
        <v>138162.53</v>
      </c>
      <c r="G52" s="5" t="s">
        <v>88</v>
      </c>
      <c r="H52" s="5" t="s">
        <v>89</v>
      </c>
      <c r="I52" s="5"/>
      <c r="J52" s="5"/>
      <c r="K52" s="5">
        <v>214</v>
      </c>
      <c r="L52" s="5">
        <v>16</v>
      </c>
      <c r="M52" s="5">
        <v>3</v>
      </c>
      <c r="N52" s="5" t="s">
        <v>3</v>
      </c>
      <c r="O52" s="5">
        <v>2</v>
      </c>
      <c r="P52" s="5"/>
      <c r="Q52" s="5"/>
      <c r="R52" s="5"/>
      <c r="S52" s="5"/>
      <c r="T52" s="5"/>
      <c r="U52" s="5"/>
      <c r="V52" s="5"/>
      <c r="W52" s="5">
        <v>138162.53</v>
      </c>
      <c r="X52" s="5">
        <v>1</v>
      </c>
      <c r="Y52" s="5">
        <v>138162.53</v>
      </c>
      <c r="Z52" s="5"/>
      <c r="AA52" s="5"/>
      <c r="AB52" s="5"/>
    </row>
    <row r="53" spans="1:28" x14ac:dyDescent="0.2">
      <c r="A53" s="5">
        <v>50</v>
      </c>
      <c r="B53" s="5">
        <v>0</v>
      </c>
      <c r="C53" s="5">
        <v>0</v>
      </c>
      <c r="D53" s="5">
        <v>1</v>
      </c>
      <c r="E53" s="5">
        <v>215</v>
      </c>
      <c r="F53" s="5">
        <f>ROUND(Source!AT35,O53)</f>
        <v>0</v>
      </c>
      <c r="G53" s="5" t="s">
        <v>90</v>
      </c>
      <c r="H53" s="5" t="s">
        <v>91</v>
      </c>
      <c r="I53" s="5"/>
      <c r="J53" s="5"/>
      <c r="K53" s="5">
        <v>215</v>
      </c>
      <c r="L53" s="5">
        <v>17</v>
      </c>
      <c r="M53" s="5">
        <v>3</v>
      </c>
      <c r="N53" s="5" t="s">
        <v>3</v>
      </c>
      <c r="O53" s="5">
        <v>2</v>
      </c>
      <c r="P53" s="5"/>
      <c r="Q53" s="5"/>
      <c r="R53" s="5"/>
      <c r="S53" s="5"/>
      <c r="T53" s="5"/>
      <c r="U53" s="5"/>
      <c r="V53" s="5"/>
      <c r="W53" s="5">
        <v>0</v>
      </c>
      <c r="X53" s="5">
        <v>1</v>
      </c>
      <c r="Y53" s="5">
        <v>0</v>
      </c>
      <c r="Z53" s="5"/>
      <c r="AA53" s="5"/>
      <c r="AB53" s="5"/>
    </row>
    <row r="54" spans="1:28" x14ac:dyDescent="0.2">
      <c r="A54" s="5">
        <v>50</v>
      </c>
      <c r="B54" s="5">
        <v>0</v>
      </c>
      <c r="C54" s="5">
        <v>0</v>
      </c>
      <c r="D54" s="5">
        <v>1</v>
      </c>
      <c r="E54" s="5">
        <v>217</v>
      </c>
      <c r="F54" s="5">
        <f>ROUND(Source!AU35,O54)</f>
        <v>0</v>
      </c>
      <c r="G54" s="5" t="s">
        <v>92</v>
      </c>
      <c r="H54" s="5" t="s">
        <v>93</v>
      </c>
      <c r="I54" s="5"/>
      <c r="J54" s="5"/>
      <c r="K54" s="5">
        <v>217</v>
      </c>
      <c r="L54" s="5">
        <v>18</v>
      </c>
      <c r="M54" s="5">
        <v>3</v>
      </c>
      <c r="N54" s="5" t="s">
        <v>3</v>
      </c>
      <c r="O54" s="5">
        <v>2</v>
      </c>
      <c r="P54" s="5"/>
      <c r="Q54" s="5"/>
      <c r="R54" s="5"/>
      <c r="S54" s="5"/>
      <c r="T54" s="5"/>
      <c r="U54" s="5"/>
      <c r="V54" s="5"/>
      <c r="W54" s="5">
        <v>0</v>
      </c>
      <c r="X54" s="5">
        <v>1</v>
      </c>
      <c r="Y54" s="5">
        <v>0</v>
      </c>
      <c r="Z54" s="5"/>
      <c r="AA54" s="5"/>
      <c r="AB54" s="5"/>
    </row>
    <row r="55" spans="1:28" x14ac:dyDescent="0.2">
      <c r="A55" s="5">
        <v>50</v>
      </c>
      <c r="B55" s="5">
        <v>0</v>
      </c>
      <c r="C55" s="5">
        <v>0</v>
      </c>
      <c r="D55" s="5">
        <v>1</v>
      </c>
      <c r="E55" s="5">
        <v>230</v>
      </c>
      <c r="F55" s="5">
        <f>ROUND(Source!BA35,O55)</f>
        <v>0</v>
      </c>
      <c r="G55" s="5" t="s">
        <v>94</v>
      </c>
      <c r="H55" s="5" t="s">
        <v>95</v>
      </c>
      <c r="I55" s="5"/>
      <c r="J55" s="5"/>
      <c r="K55" s="5">
        <v>230</v>
      </c>
      <c r="L55" s="5">
        <v>19</v>
      </c>
      <c r="M55" s="5">
        <v>3</v>
      </c>
      <c r="N55" s="5" t="s">
        <v>3</v>
      </c>
      <c r="O55" s="5">
        <v>2</v>
      </c>
      <c r="P55" s="5"/>
      <c r="Q55" s="5"/>
      <c r="R55" s="5"/>
      <c r="S55" s="5"/>
      <c r="T55" s="5"/>
      <c r="U55" s="5"/>
      <c r="V55" s="5"/>
      <c r="W55" s="5">
        <v>0</v>
      </c>
      <c r="X55" s="5">
        <v>1</v>
      </c>
      <c r="Y55" s="5">
        <v>0</v>
      </c>
      <c r="Z55" s="5"/>
      <c r="AA55" s="5"/>
      <c r="AB55" s="5"/>
    </row>
    <row r="56" spans="1:28" x14ac:dyDescent="0.2">
      <c r="A56" s="5">
        <v>50</v>
      </c>
      <c r="B56" s="5">
        <v>0</v>
      </c>
      <c r="C56" s="5">
        <v>0</v>
      </c>
      <c r="D56" s="5">
        <v>1</v>
      </c>
      <c r="E56" s="5">
        <v>206</v>
      </c>
      <c r="F56" s="5">
        <f>ROUND(Source!T35,O56)</f>
        <v>0</v>
      </c>
      <c r="G56" s="5" t="s">
        <v>96</v>
      </c>
      <c r="H56" s="5" t="s">
        <v>97</v>
      </c>
      <c r="I56" s="5"/>
      <c r="J56" s="5"/>
      <c r="K56" s="5">
        <v>206</v>
      </c>
      <c r="L56" s="5">
        <v>20</v>
      </c>
      <c r="M56" s="5">
        <v>3</v>
      </c>
      <c r="N56" s="5" t="s">
        <v>3</v>
      </c>
      <c r="O56" s="5">
        <v>2</v>
      </c>
      <c r="P56" s="5"/>
      <c r="Q56" s="5"/>
      <c r="R56" s="5"/>
      <c r="S56" s="5"/>
      <c r="T56" s="5"/>
      <c r="U56" s="5"/>
      <c r="V56" s="5"/>
      <c r="W56" s="5">
        <v>0</v>
      </c>
      <c r="X56" s="5">
        <v>1</v>
      </c>
      <c r="Y56" s="5">
        <v>0</v>
      </c>
      <c r="Z56" s="5"/>
      <c r="AA56" s="5"/>
      <c r="AB56" s="5"/>
    </row>
    <row r="57" spans="1:28" x14ac:dyDescent="0.2">
      <c r="A57" s="5">
        <v>50</v>
      </c>
      <c r="B57" s="5">
        <v>0</v>
      </c>
      <c r="C57" s="5">
        <v>0</v>
      </c>
      <c r="D57" s="5">
        <v>1</v>
      </c>
      <c r="E57" s="5">
        <v>207</v>
      </c>
      <c r="F57" s="5">
        <f>ROUND(Source!U35,O57)</f>
        <v>52.07</v>
      </c>
      <c r="G57" s="5" t="s">
        <v>98</v>
      </c>
      <c r="H57" s="5" t="s">
        <v>99</v>
      </c>
      <c r="I57" s="5"/>
      <c r="J57" s="5"/>
      <c r="K57" s="5">
        <v>207</v>
      </c>
      <c r="L57" s="5">
        <v>21</v>
      </c>
      <c r="M57" s="5">
        <v>3</v>
      </c>
      <c r="N57" s="5" t="s">
        <v>3</v>
      </c>
      <c r="O57" s="5">
        <v>7</v>
      </c>
      <c r="P57" s="5"/>
      <c r="Q57" s="5"/>
      <c r="R57" s="5"/>
      <c r="S57" s="5"/>
      <c r="T57" s="5"/>
      <c r="U57" s="5"/>
      <c r="V57" s="5"/>
      <c r="W57" s="5">
        <v>52.07</v>
      </c>
      <c r="X57" s="5">
        <v>1</v>
      </c>
      <c r="Y57" s="5">
        <v>52.07</v>
      </c>
      <c r="Z57" s="5"/>
      <c r="AA57" s="5"/>
      <c r="AB57" s="5"/>
    </row>
    <row r="58" spans="1:28" x14ac:dyDescent="0.2">
      <c r="A58" s="5">
        <v>50</v>
      </c>
      <c r="B58" s="5">
        <v>0</v>
      </c>
      <c r="C58" s="5">
        <v>0</v>
      </c>
      <c r="D58" s="5">
        <v>1</v>
      </c>
      <c r="E58" s="5">
        <v>208</v>
      </c>
      <c r="F58" s="5">
        <f>ROUND(Source!V35,O58)</f>
        <v>9.5119799999999994</v>
      </c>
      <c r="G58" s="5" t="s">
        <v>100</v>
      </c>
      <c r="H58" s="5" t="s">
        <v>101</v>
      </c>
      <c r="I58" s="5"/>
      <c r="J58" s="5"/>
      <c r="K58" s="5">
        <v>208</v>
      </c>
      <c r="L58" s="5">
        <v>22</v>
      </c>
      <c r="M58" s="5">
        <v>3</v>
      </c>
      <c r="N58" s="5" t="s">
        <v>3</v>
      </c>
      <c r="O58" s="5">
        <v>7</v>
      </c>
      <c r="P58" s="5"/>
      <c r="Q58" s="5"/>
      <c r="R58" s="5"/>
      <c r="S58" s="5"/>
      <c r="T58" s="5"/>
      <c r="U58" s="5"/>
      <c r="V58" s="5"/>
      <c r="W58" s="5">
        <v>9.5119799999999994</v>
      </c>
      <c r="X58" s="5">
        <v>1</v>
      </c>
      <c r="Y58" s="5">
        <v>9.5119799999999994</v>
      </c>
      <c r="Z58" s="5"/>
      <c r="AA58" s="5"/>
      <c r="AB58" s="5"/>
    </row>
    <row r="59" spans="1:28" x14ac:dyDescent="0.2">
      <c r="A59" s="5">
        <v>50</v>
      </c>
      <c r="B59" s="5">
        <v>0</v>
      </c>
      <c r="C59" s="5">
        <v>0</v>
      </c>
      <c r="D59" s="5">
        <v>1</v>
      </c>
      <c r="E59" s="5">
        <v>209</v>
      </c>
      <c r="F59" s="5">
        <f>ROUND(Source!W35,O59)</f>
        <v>0</v>
      </c>
      <c r="G59" s="5" t="s">
        <v>102</v>
      </c>
      <c r="H59" s="5" t="s">
        <v>103</v>
      </c>
      <c r="I59" s="5"/>
      <c r="J59" s="5"/>
      <c r="K59" s="5">
        <v>209</v>
      </c>
      <c r="L59" s="5">
        <v>23</v>
      </c>
      <c r="M59" s="5">
        <v>3</v>
      </c>
      <c r="N59" s="5" t="s">
        <v>3</v>
      </c>
      <c r="O59" s="5">
        <v>2</v>
      </c>
      <c r="P59" s="5"/>
      <c r="Q59" s="5"/>
      <c r="R59" s="5"/>
      <c r="S59" s="5"/>
      <c r="T59" s="5"/>
      <c r="U59" s="5"/>
      <c r="V59" s="5"/>
      <c r="W59" s="5">
        <v>0</v>
      </c>
      <c r="X59" s="5">
        <v>1</v>
      </c>
      <c r="Y59" s="5">
        <v>0</v>
      </c>
      <c r="Z59" s="5"/>
      <c r="AA59" s="5"/>
      <c r="AB59" s="5"/>
    </row>
    <row r="60" spans="1:28" x14ac:dyDescent="0.2">
      <c r="A60" s="5">
        <v>50</v>
      </c>
      <c r="B60" s="5">
        <v>0</v>
      </c>
      <c r="C60" s="5">
        <v>0</v>
      </c>
      <c r="D60" s="5">
        <v>1</v>
      </c>
      <c r="E60" s="5">
        <v>233</v>
      </c>
      <c r="F60" s="5">
        <f>ROUND(Source!BD35,O60)</f>
        <v>0</v>
      </c>
      <c r="G60" s="5" t="s">
        <v>104</v>
      </c>
      <c r="H60" s="5" t="s">
        <v>105</v>
      </c>
      <c r="I60" s="5"/>
      <c r="J60" s="5"/>
      <c r="K60" s="5">
        <v>233</v>
      </c>
      <c r="L60" s="5">
        <v>24</v>
      </c>
      <c r="M60" s="5">
        <v>3</v>
      </c>
      <c r="N60" s="5" t="s">
        <v>3</v>
      </c>
      <c r="O60" s="5">
        <v>2</v>
      </c>
      <c r="P60" s="5"/>
      <c r="Q60" s="5"/>
      <c r="R60" s="5"/>
      <c r="S60" s="5"/>
      <c r="T60" s="5"/>
      <c r="U60" s="5"/>
      <c r="V60" s="5"/>
      <c r="W60" s="5">
        <v>0</v>
      </c>
      <c r="X60" s="5">
        <v>1</v>
      </c>
      <c r="Y60" s="5">
        <v>0</v>
      </c>
      <c r="Z60" s="5"/>
      <c r="AA60" s="5"/>
      <c r="AB60" s="5"/>
    </row>
    <row r="61" spans="1:28" x14ac:dyDescent="0.2">
      <c r="A61" s="5">
        <v>50</v>
      </c>
      <c r="B61" s="5">
        <v>0</v>
      </c>
      <c r="C61" s="5">
        <v>0</v>
      </c>
      <c r="D61" s="5">
        <v>1</v>
      </c>
      <c r="E61" s="5">
        <v>210</v>
      </c>
      <c r="F61" s="5">
        <f>ROUND(Source!X35,O61)</f>
        <v>23207</v>
      </c>
      <c r="G61" s="5" t="s">
        <v>106</v>
      </c>
      <c r="H61" s="5" t="s">
        <v>107</v>
      </c>
      <c r="I61" s="5"/>
      <c r="J61" s="5"/>
      <c r="K61" s="5">
        <v>210</v>
      </c>
      <c r="L61" s="5">
        <v>25</v>
      </c>
      <c r="M61" s="5">
        <v>3</v>
      </c>
      <c r="N61" s="5" t="s">
        <v>3</v>
      </c>
      <c r="O61" s="5">
        <v>2</v>
      </c>
      <c r="P61" s="5"/>
      <c r="Q61" s="5"/>
      <c r="R61" s="5"/>
      <c r="S61" s="5"/>
      <c r="T61" s="5"/>
      <c r="U61" s="5"/>
      <c r="V61" s="5"/>
      <c r="W61" s="5">
        <v>23207</v>
      </c>
      <c r="X61" s="5">
        <v>1</v>
      </c>
      <c r="Y61" s="5">
        <v>23207</v>
      </c>
      <c r="Z61" s="5"/>
      <c r="AA61" s="5"/>
      <c r="AB61" s="5"/>
    </row>
    <row r="62" spans="1:28" x14ac:dyDescent="0.2">
      <c r="A62" s="5">
        <v>50</v>
      </c>
      <c r="B62" s="5">
        <v>0</v>
      </c>
      <c r="C62" s="5">
        <v>0</v>
      </c>
      <c r="D62" s="5">
        <v>1</v>
      </c>
      <c r="E62" s="5">
        <v>211</v>
      </c>
      <c r="F62" s="5">
        <f>ROUND(Source!Y35,O62)</f>
        <v>13139.99</v>
      </c>
      <c r="G62" s="5" t="s">
        <v>108</v>
      </c>
      <c r="H62" s="5" t="s">
        <v>109</v>
      </c>
      <c r="I62" s="5"/>
      <c r="J62" s="5"/>
      <c r="K62" s="5">
        <v>211</v>
      </c>
      <c r="L62" s="5">
        <v>26</v>
      </c>
      <c r="M62" s="5">
        <v>3</v>
      </c>
      <c r="N62" s="5" t="s">
        <v>3</v>
      </c>
      <c r="O62" s="5">
        <v>2</v>
      </c>
      <c r="P62" s="5"/>
      <c r="Q62" s="5"/>
      <c r="R62" s="5"/>
      <c r="S62" s="5"/>
      <c r="T62" s="5"/>
      <c r="U62" s="5"/>
      <c r="V62" s="5"/>
      <c r="W62" s="5">
        <v>13139.99</v>
      </c>
      <c r="X62" s="5">
        <v>1</v>
      </c>
      <c r="Y62" s="5">
        <v>13139.99</v>
      </c>
      <c r="Z62" s="5"/>
      <c r="AA62" s="5"/>
      <c r="AB62" s="5"/>
    </row>
    <row r="63" spans="1:28" x14ac:dyDescent="0.2">
      <c r="A63" s="5">
        <v>50</v>
      </c>
      <c r="B63" s="5">
        <v>0</v>
      </c>
      <c r="C63" s="5">
        <v>0</v>
      </c>
      <c r="D63" s="5">
        <v>1</v>
      </c>
      <c r="E63" s="5">
        <v>224</v>
      </c>
      <c r="F63" s="5">
        <f>ROUND(Source!AR35,O63)</f>
        <v>138162.53</v>
      </c>
      <c r="G63" s="5" t="s">
        <v>110</v>
      </c>
      <c r="H63" s="5" t="s">
        <v>111</v>
      </c>
      <c r="I63" s="5"/>
      <c r="J63" s="5"/>
      <c r="K63" s="5">
        <v>224</v>
      </c>
      <c r="L63" s="5">
        <v>27</v>
      </c>
      <c r="M63" s="5">
        <v>3</v>
      </c>
      <c r="N63" s="5" t="s">
        <v>3</v>
      </c>
      <c r="O63" s="5">
        <v>2</v>
      </c>
      <c r="P63" s="5"/>
      <c r="Q63" s="5"/>
      <c r="R63" s="5"/>
      <c r="S63" s="5"/>
      <c r="T63" s="5"/>
      <c r="U63" s="5"/>
      <c r="V63" s="5"/>
      <c r="W63" s="5">
        <v>138162.53</v>
      </c>
      <c r="X63" s="5">
        <v>1</v>
      </c>
      <c r="Y63" s="5">
        <v>138162.53</v>
      </c>
      <c r="Z63" s="5"/>
      <c r="AA63" s="5"/>
      <c r="AB63" s="5"/>
    </row>
    <row r="65" spans="1:255" x14ac:dyDescent="0.2">
      <c r="A65" s="1">
        <v>4</v>
      </c>
      <c r="B65" s="1">
        <v>1</v>
      </c>
      <c r="C65" s="1"/>
      <c r="D65" s="1">
        <f>ROW(A102)</f>
        <v>102</v>
      </c>
      <c r="E65" s="1"/>
      <c r="F65" s="1" t="s">
        <v>16</v>
      </c>
      <c r="G65" s="1" t="s">
        <v>112</v>
      </c>
      <c r="H65" s="1" t="s">
        <v>3</v>
      </c>
      <c r="I65" s="1">
        <v>0</v>
      </c>
      <c r="J65" s="1"/>
      <c r="K65" s="1">
        <v>0</v>
      </c>
      <c r="L65" s="1"/>
      <c r="M65" s="1" t="s">
        <v>3</v>
      </c>
      <c r="N65" s="1"/>
      <c r="O65" s="1"/>
      <c r="P65" s="1"/>
      <c r="Q65" s="1"/>
      <c r="R65" s="1"/>
      <c r="S65" s="1">
        <v>0</v>
      </c>
      <c r="T65" s="1"/>
      <c r="U65" s="1" t="s">
        <v>3</v>
      </c>
      <c r="V65" s="1">
        <v>0</v>
      </c>
      <c r="W65" s="1"/>
      <c r="X65" s="1"/>
      <c r="Y65" s="1"/>
      <c r="Z65" s="1"/>
      <c r="AA65" s="1"/>
      <c r="AB65" s="1" t="s">
        <v>3</v>
      </c>
      <c r="AC65" s="1" t="s">
        <v>3</v>
      </c>
      <c r="AD65" s="1" t="s">
        <v>3</v>
      </c>
      <c r="AE65" s="1" t="s">
        <v>3</v>
      </c>
      <c r="AF65" s="1" t="s">
        <v>3</v>
      </c>
      <c r="AG65" s="1" t="s">
        <v>3</v>
      </c>
      <c r="AH65" s="1"/>
      <c r="AI65" s="1"/>
      <c r="AJ65" s="1"/>
      <c r="AK65" s="1"/>
      <c r="AL65" s="1"/>
      <c r="AM65" s="1"/>
      <c r="AN65" s="1"/>
      <c r="AO65" s="1"/>
      <c r="AP65" s="1" t="s">
        <v>3</v>
      </c>
      <c r="AQ65" s="1" t="s">
        <v>3</v>
      </c>
      <c r="AR65" s="1" t="s">
        <v>3</v>
      </c>
      <c r="AS65" s="1"/>
      <c r="AT65" s="1"/>
      <c r="AU65" s="1"/>
      <c r="AV65" s="1"/>
      <c r="AW65" s="1"/>
      <c r="AX65" s="1"/>
      <c r="AY65" s="1"/>
      <c r="AZ65" s="1" t="s">
        <v>3</v>
      </c>
      <c r="BA65" s="1"/>
      <c r="BB65" s="1" t="s">
        <v>3</v>
      </c>
      <c r="BC65" s="1" t="s">
        <v>3</v>
      </c>
      <c r="BD65" s="1" t="s">
        <v>3</v>
      </c>
      <c r="BE65" s="1" t="s">
        <v>3</v>
      </c>
      <c r="BF65" s="1" t="s">
        <v>3</v>
      </c>
      <c r="BG65" s="1" t="s">
        <v>3</v>
      </c>
      <c r="BH65" s="1" t="s">
        <v>3</v>
      </c>
      <c r="BI65" s="1" t="s">
        <v>3</v>
      </c>
      <c r="BJ65" s="1" t="s">
        <v>3</v>
      </c>
      <c r="BK65" s="1" t="s">
        <v>3</v>
      </c>
      <c r="BL65" s="1" t="s">
        <v>3</v>
      </c>
      <c r="BM65" s="1" t="s">
        <v>3</v>
      </c>
      <c r="BN65" s="1" t="s">
        <v>3</v>
      </c>
      <c r="BO65" s="1" t="s">
        <v>3</v>
      </c>
      <c r="BP65" s="1" t="s">
        <v>3</v>
      </c>
      <c r="BQ65" s="1"/>
      <c r="BR65" s="1"/>
      <c r="BS65" s="1"/>
      <c r="BT65" s="1"/>
      <c r="BU65" s="1"/>
      <c r="BV65" s="1"/>
      <c r="BW65" s="1"/>
      <c r="BX65" s="1">
        <v>0</v>
      </c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>
        <v>0</v>
      </c>
    </row>
    <row r="67" spans="1:255" x14ac:dyDescent="0.2">
      <c r="A67" s="3">
        <v>52</v>
      </c>
      <c r="B67" s="3">
        <f t="shared" ref="B67:G67" si="43">B102</f>
        <v>1</v>
      </c>
      <c r="C67" s="3">
        <f t="shared" si="43"/>
        <v>4</v>
      </c>
      <c r="D67" s="3">
        <f t="shared" si="43"/>
        <v>65</v>
      </c>
      <c r="E67" s="3">
        <f t="shared" si="43"/>
        <v>0</v>
      </c>
      <c r="F67" s="3" t="str">
        <f t="shared" si="43"/>
        <v>Новый раздел</v>
      </c>
      <c r="G67" s="3" t="str">
        <f t="shared" si="43"/>
        <v>Укладка трубы</v>
      </c>
      <c r="H67" s="3"/>
      <c r="I67" s="3"/>
      <c r="J67" s="3"/>
      <c r="K67" s="3"/>
      <c r="L67" s="3"/>
      <c r="M67" s="3"/>
      <c r="N67" s="3"/>
      <c r="O67" s="3">
        <f t="shared" ref="O67:AT67" si="44">O102</f>
        <v>218236.65</v>
      </c>
      <c r="P67" s="3">
        <f t="shared" si="44"/>
        <v>162585.26999999999</v>
      </c>
      <c r="Q67" s="3">
        <f t="shared" si="44"/>
        <v>18701.68</v>
      </c>
      <c r="R67" s="3">
        <f t="shared" si="44"/>
        <v>7704.35</v>
      </c>
      <c r="S67" s="3">
        <f t="shared" si="44"/>
        <v>29245.35</v>
      </c>
      <c r="T67" s="3">
        <f t="shared" si="44"/>
        <v>0</v>
      </c>
      <c r="U67" s="3">
        <f t="shared" si="44"/>
        <v>71.873799999999989</v>
      </c>
      <c r="V67" s="3">
        <f t="shared" si="44"/>
        <v>17.130132400000001</v>
      </c>
      <c r="W67" s="3">
        <f t="shared" si="44"/>
        <v>0</v>
      </c>
      <c r="X67" s="3">
        <f t="shared" si="44"/>
        <v>42909.72</v>
      </c>
      <c r="Y67" s="3">
        <f t="shared" si="44"/>
        <v>26111.56</v>
      </c>
      <c r="Z67" s="3">
        <f t="shared" si="44"/>
        <v>0</v>
      </c>
      <c r="AA67" s="3">
        <f t="shared" si="44"/>
        <v>0</v>
      </c>
      <c r="AB67" s="3">
        <f t="shared" si="44"/>
        <v>218236.65</v>
      </c>
      <c r="AC67" s="3">
        <f t="shared" si="44"/>
        <v>162585.26999999999</v>
      </c>
      <c r="AD67" s="3">
        <f t="shared" si="44"/>
        <v>18701.68</v>
      </c>
      <c r="AE67" s="3">
        <f t="shared" si="44"/>
        <v>7704.35</v>
      </c>
      <c r="AF67" s="3">
        <f t="shared" si="44"/>
        <v>29245.35</v>
      </c>
      <c r="AG67" s="3">
        <f t="shared" si="44"/>
        <v>0</v>
      </c>
      <c r="AH67" s="3">
        <f t="shared" si="44"/>
        <v>71.873799999999989</v>
      </c>
      <c r="AI67" s="3">
        <f t="shared" si="44"/>
        <v>17.130132400000001</v>
      </c>
      <c r="AJ67" s="3">
        <f t="shared" si="44"/>
        <v>0</v>
      </c>
      <c r="AK67" s="3">
        <f t="shared" si="44"/>
        <v>42909.72</v>
      </c>
      <c r="AL67" s="3">
        <f t="shared" si="44"/>
        <v>26111.56</v>
      </c>
      <c r="AM67" s="3">
        <f t="shared" si="44"/>
        <v>0</v>
      </c>
      <c r="AN67" s="3">
        <f t="shared" si="44"/>
        <v>0</v>
      </c>
      <c r="AO67" s="3">
        <f t="shared" si="44"/>
        <v>0</v>
      </c>
      <c r="AP67" s="3">
        <f t="shared" si="44"/>
        <v>0</v>
      </c>
      <c r="AQ67" s="3">
        <f t="shared" si="44"/>
        <v>0</v>
      </c>
      <c r="AR67" s="3">
        <f t="shared" si="44"/>
        <v>287257.93</v>
      </c>
      <c r="AS67" s="3">
        <f t="shared" si="44"/>
        <v>255914.2</v>
      </c>
      <c r="AT67" s="3">
        <f t="shared" si="44"/>
        <v>31343.73</v>
      </c>
      <c r="AU67" s="3">
        <f t="shared" ref="AU67:BZ67" si="45">AU102</f>
        <v>0</v>
      </c>
      <c r="AV67" s="3">
        <f t="shared" si="45"/>
        <v>162585.26999999999</v>
      </c>
      <c r="AW67" s="3">
        <f t="shared" si="45"/>
        <v>162585.26999999999</v>
      </c>
      <c r="AX67" s="3">
        <f t="shared" si="45"/>
        <v>0</v>
      </c>
      <c r="AY67" s="3">
        <f t="shared" si="45"/>
        <v>162585.26999999999</v>
      </c>
      <c r="AZ67" s="3">
        <f t="shared" si="45"/>
        <v>0</v>
      </c>
      <c r="BA67" s="3">
        <f t="shared" si="45"/>
        <v>0</v>
      </c>
      <c r="BB67" s="3">
        <f t="shared" si="45"/>
        <v>0</v>
      </c>
      <c r="BC67" s="3">
        <f t="shared" si="45"/>
        <v>0</v>
      </c>
      <c r="BD67" s="3">
        <f t="shared" si="45"/>
        <v>0</v>
      </c>
      <c r="BE67" s="3">
        <f t="shared" si="45"/>
        <v>0</v>
      </c>
      <c r="BF67" s="3">
        <f t="shared" si="45"/>
        <v>0</v>
      </c>
      <c r="BG67" s="3">
        <f t="shared" si="45"/>
        <v>0</v>
      </c>
      <c r="BH67" s="3">
        <f t="shared" si="45"/>
        <v>0</v>
      </c>
      <c r="BI67" s="3">
        <f t="shared" si="45"/>
        <v>0</v>
      </c>
      <c r="BJ67" s="3">
        <f t="shared" si="45"/>
        <v>0</v>
      </c>
      <c r="BK67" s="3">
        <f t="shared" si="45"/>
        <v>0</v>
      </c>
      <c r="BL67" s="3">
        <f t="shared" si="45"/>
        <v>0</v>
      </c>
      <c r="BM67" s="3">
        <f t="shared" si="45"/>
        <v>0</v>
      </c>
      <c r="BN67" s="3">
        <f t="shared" si="45"/>
        <v>0</v>
      </c>
      <c r="BO67" s="3">
        <f t="shared" si="45"/>
        <v>0</v>
      </c>
      <c r="BP67" s="3">
        <f t="shared" si="45"/>
        <v>0</v>
      </c>
      <c r="BQ67" s="3">
        <f t="shared" si="45"/>
        <v>0</v>
      </c>
      <c r="BR67" s="3">
        <f t="shared" si="45"/>
        <v>0</v>
      </c>
      <c r="BS67" s="3">
        <f t="shared" si="45"/>
        <v>0</v>
      </c>
      <c r="BT67" s="3">
        <f t="shared" si="45"/>
        <v>0</v>
      </c>
      <c r="BU67" s="3">
        <f t="shared" si="45"/>
        <v>0</v>
      </c>
      <c r="BV67" s="3">
        <f t="shared" si="45"/>
        <v>0</v>
      </c>
      <c r="BW67" s="3">
        <f t="shared" si="45"/>
        <v>0</v>
      </c>
      <c r="BX67" s="3">
        <f t="shared" si="45"/>
        <v>0</v>
      </c>
      <c r="BY67" s="3">
        <f t="shared" si="45"/>
        <v>0</v>
      </c>
      <c r="BZ67" s="3">
        <f t="shared" si="45"/>
        <v>0</v>
      </c>
      <c r="CA67" s="3">
        <f t="shared" ref="CA67:DF67" si="46">CA102</f>
        <v>287257.93</v>
      </c>
      <c r="CB67" s="3">
        <f t="shared" si="46"/>
        <v>255914.2</v>
      </c>
      <c r="CC67" s="3">
        <f t="shared" si="46"/>
        <v>31343.73</v>
      </c>
      <c r="CD67" s="3">
        <f t="shared" si="46"/>
        <v>0</v>
      </c>
      <c r="CE67" s="3">
        <f t="shared" si="46"/>
        <v>162585.26999999999</v>
      </c>
      <c r="CF67" s="3">
        <f t="shared" si="46"/>
        <v>162585.26999999999</v>
      </c>
      <c r="CG67" s="3">
        <f t="shared" si="46"/>
        <v>0</v>
      </c>
      <c r="CH67" s="3">
        <f t="shared" si="46"/>
        <v>162585.26999999999</v>
      </c>
      <c r="CI67" s="3">
        <f t="shared" si="46"/>
        <v>0</v>
      </c>
      <c r="CJ67" s="3">
        <f t="shared" si="46"/>
        <v>0</v>
      </c>
      <c r="CK67" s="3">
        <f t="shared" si="46"/>
        <v>0</v>
      </c>
      <c r="CL67" s="3">
        <f t="shared" si="46"/>
        <v>0</v>
      </c>
      <c r="CM67" s="3">
        <f t="shared" si="46"/>
        <v>0</v>
      </c>
      <c r="CN67" s="3">
        <f t="shared" si="46"/>
        <v>0</v>
      </c>
      <c r="CO67" s="3">
        <f t="shared" si="46"/>
        <v>0</v>
      </c>
      <c r="CP67" s="3">
        <f t="shared" si="46"/>
        <v>0</v>
      </c>
      <c r="CQ67" s="3">
        <f t="shared" si="46"/>
        <v>0</v>
      </c>
      <c r="CR67" s="3">
        <f t="shared" si="46"/>
        <v>0</v>
      </c>
      <c r="CS67" s="3">
        <f t="shared" si="46"/>
        <v>0</v>
      </c>
      <c r="CT67" s="3">
        <f t="shared" si="46"/>
        <v>0</v>
      </c>
      <c r="CU67" s="3">
        <f t="shared" si="46"/>
        <v>0</v>
      </c>
      <c r="CV67" s="3">
        <f t="shared" si="46"/>
        <v>0</v>
      </c>
      <c r="CW67" s="3">
        <f t="shared" si="46"/>
        <v>0</v>
      </c>
      <c r="CX67" s="3">
        <f t="shared" si="46"/>
        <v>0</v>
      </c>
      <c r="CY67" s="3">
        <f t="shared" si="46"/>
        <v>0</v>
      </c>
      <c r="CZ67" s="3">
        <f t="shared" si="46"/>
        <v>0</v>
      </c>
      <c r="DA67" s="3">
        <f t="shared" si="46"/>
        <v>0</v>
      </c>
      <c r="DB67" s="3">
        <f t="shared" si="46"/>
        <v>0</v>
      </c>
      <c r="DC67" s="3">
        <f t="shared" si="46"/>
        <v>0</v>
      </c>
      <c r="DD67" s="3">
        <f t="shared" si="46"/>
        <v>0</v>
      </c>
      <c r="DE67" s="3">
        <f t="shared" si="46"/>
        <v>0</v>
      </c>
      <c r="DF67" s="3">
        <f t="shared" si="46"/>
        <v>0</v>
      </c>
      <c r="DG67" s="4">
        <f t="shared" ref="DG67:EL67" si="47">DG102</f>
        <v>0</v>
      </c>
      <c r="DH67" s="4">
        <f t="shared" si="47"/>
        <v>0</v>
      </c>
      <c r="DI67" s="4">
        <f t="shared" si="47"/>
        <v>0</v>
      </c>
      <c r="DJ67" s="4">
        <f t="shared" si="47"/>
        <v>0</v>
      </c>
      <c r="DK67" s="4">
        <f t="shared" si="47"/>
        <v>0</v>
      </c>
      <c r="DL67" s="4">
        <f t="shared" si="47"/>
        <v>0</v>
      </c>
      <c r="DM67" s="4">
        <f t="shared" si="47"/>
        <v>0</v>
      </c>
      <c r="DN67" s="4">
        <f t="shared" si="47"/>
        <v>0</v>
      </c>
      <c r="DO67" s="4">
        <f t="shared" si="47"/>
        <v>0</v>
      </c>
      <c r="DP67" s="4">
        <f t="shared" si="47"/>
        <v>0</v>
      </c>
      <c r="DQ67" s="4">
        <f t="shared" si="47"/>
        <v>0</v>
      </c>
      <c r="DR67" s="4">
        <f t="shared" si="47"/>
        <v>0</v>
      </c>
      <c r="DS67" s="4">
        <f t="shared" si="47"/>
        <v>0</v>
      </c>
      <c r="DT67" s="4">
        <f t="shared" si="47"/>
        <v>0</v>
      </c>
      <c r="DU67" s="4">
        <f t="shared" si="47"/>
        <v>0</v>
      </c>
      <c r="DV67" s="4">
        <f t="shared" si="47"/>
        <v>0</v>
      </c>
      <c r="DW67" s="4">
        <f t="shared" si="47"/>
        <v>0</v>
      </c>
      <c r="DX67" s="4">
        <f t="shared" si="47"/>
        <v>0</v>
      </c>
      <c r="DY67" s="4">
        <f t="shared" si="47"/>
        <v>0</v>
      </c>
      <c r="DZ67" s="4">
        <f t="shared" si="47"/>
        <v>0</v>
      </c>
      <c r="EA67" s="4">
        <f t="shared" si="47"/>
        <v>0</v>
      </c>
      <c r="EB67" s="4">
        <f t="shared" si="47"/>
        <v>0</v>
      </c>
      <c r="EC67" s="4">
        <f t="shared" si="47"/>
        <v>0</v>
      </c>
      <c r="ED67" s="4">
        <f t="shared" si="47"/>
        <v>0</v>
      </c>
      <c r="EE67" s="4">
        <f t="shared" si="47"/>
        <v>0</v>
      </c>
      <c r="EF67" s="4">
        <f t="shared" si="47"/>
        <v>0</v>
      </c>
      <c r="EG67" s="4">
        <f t="shared" si="47"/>
        <v>0</v>
      </c>
      <c r="EH67" s="4">
        <f t="shared" si="47"/>
        <v>0</v>
      </c>
      <c r="EI67" s="4">
        <f t="shared" si="47"/>
        <v>0</v>
      </c>
      <c r="EJ67" s="4">
        <f t="shared" si="47"/>
        <v>0</v>
      </c>
      <c r="EK67" s="4">
        <f t="shared" si="47"/>
        <v>0</v>
      </c>
      <c r="EL67" s="4">
        <f t="shared" si="47"/>
        <v>0</v>
      </c>
      <c r="EM67" s="4">
        <f t="shared" ref="EM67:FR67" si="48">EM102</f>
        <v>0</v>
      </c>
      <c r="EN67" s="4">
        <f t="shared" si="48"/>
        <v>0</v>
      </c>
      <c r="EO67" s="4">
        <f t="shared" si="48"/>
        <v>0</v>
      </c>
      <c r="EP67" s="4">
        <f t="shared" si="48"/>
        <v>0</v>
      </c>
      <c r="EQ67" s="4">
        <f t="shared" si="48"/>
        <v>0</v>
      </c>
      <c r="ER67" s="4">
        <f t="shared" si="48"/>
        <v>0</v>
      </c>
      <c r="ES67" s="4">
        <f t="shared" si="48"/>
        <v>0</v>
      </c>
      <c r="ET67" s="4">
        <f t="shared" si="48"/>
        <v>0</v>
      </c>
      <c r="EU67" s="4">
        <f t="shared" si="48"/>
        <v>0</v>
      </c>
      <c r="EV67" s="4">
        <f t="shared" si="48"/>
        <v>0</v>
      </c>
      <c r="EW67" s="4">
        <f t="shared" si="48"/>
        <v>0</v>
      </c>
      <c r="EX67" s="4">
        <f t="shared" si="48"/>
        <v>0</v>
      </c>
      <c r="EY67" s="4">
        <f t="shared" si="48"/>
        <v>0</v>
      </c>
      <c r="EZ67" s="4">
        <f t="shared" si="48"/>
        <v>0</v>
      </c>
      <c r="FA67" s="4">
        <f t="shared" si="48"/>
        <v>0</v>
      </c>
      <c r="FB67" s="4">
        <f t="shared" si="48"/>
        <v>0</v>
      </c>
      <c r="FC67" s="4">
        <f t="shared" si="48"/>
        <v>0</v>
      </c>
      <c r="FD67" s="4">
        <f t="shared" si="48"/>
        <v>0</v>
      </c>
      <c r="FE67" s="4">
        <f t="shared" si="48"/>
        <v>0</v>
      </c>
      <c r="FF67" s="4">
        <f t="shared" si="48"/>
        <v>0</v>
      </c>
      <c r="FG67" s="4">
        <f t="shared" si="48"/>
        <v>0</v>
      </c>
      <c r="FH67" s="4">
        <f t="shared" si="48"/>
        <v>0</v>
      </c>
      <c r="FI67" s="4">
        <f t="shared" si="48"/>
        <v>0</v>
      </c>
      <c r="FJ67" s="4">
        <f t="shared" si="48"/>
        <v>0</v>
      </c>
      <c r="FK67" s="4">
        <f t="shared" si="48"/>
        <v>0</v>
      </c>
      <c r="FL67" s="4">
        <f t="shared" si="48"/>
        <v>0</v>
      </c>
      <c r="FM67" s="4">
        <f t="shared" si="48"/>
        <v>0</v>
      </c>
      <c r="FN67" s="4">
        <f t="shared" si="48"/>
        <v>0</v>
      </c>
      <c r="FO67" s="4">
        <f t="shared" si="48"/>
        <v>0</v>
      </c>
      <c r="FP67" s="4">
        <f t="shared" si="48"/>
        <v>0</v>
      </c>
      <c r="FQ67" s="4">
        <f t="shared" si="48"/>
        <v>0</v>
      </c>
      <c r="FR67" s="4">
        <f t="shared" si="48"/>
        <v>0</v>
      </c>
      <c r="FS67" s="4">
        <f t="shared" ref="FS67:GX67" si="49">FS102</f>
        <v>0</v>
      </c>
      <c r="FT67" s="4">
        <f t="shared" si="49"/>
        <v>0</v>
      </c>
      <c r="FU67" s="4">
        <f t="shared" si="49"/>
        <v>0</v>
      </c>
      <c r="FV67" s="4">
        <f t="shared" si="49"/>
        <v>0</v>
      </c>
      <c r="FW67" s="4">
        <f t="shared" si="49"/>
        <v>0</v>
      </c>
      <c r="FX67" s="4">
        <f t="shared" si="49"/>
        <v>0</v>
      </c>
      <c r="FY67" s="4">
        <f t="shared" si="49"/>
        <v>0</v>
      </c>
      <c r="FZ67" s="4">
        <f t="shared" si="49"/>
        <v>0</v>
      </c>
      <c r="GA67" s="4">
        <f t="shared" si="49"/>
        <v>0</v>
      </c>
      <c r="GB67" s="4">
        <f t="shared" si="49"/>
        <v>0</v>
      </c>
      <c r="GC67" s="4">
        <f t="shared" si="49"/>
        <v>0</v>
      </c>
      <c r="GD67" s="4">
        <f t="shared" si="49"/>
        <v>0</v>
      </c>
      <c r="GE67" s="4">
        <f t="shared" si="49"/>
        <v>0</v>
      </c>
      <c r="GF67" s="4">
        <f t="shared" si="49"/>
        <v>0</v>
      </c>
      <c r="GG67" s="4">
        <f t="shared" si="49"/>
        <v>0</v>
      </c>
      <c r="GH67" s="4">
        <f t="shared" si="49"/>
        <v>0</v>
      </c>
      <c r="GI67" s="4">
        <f t="shared" si="49"/>
        <v>0</v>
      </c>
      <c r="GJ67" s="4">
        <f t="shared" si="49"/>
        <v>0</v>
      </c>
      <c r="GK67" s="4">
        <f t="shared" si="49"/>
        <v>0</v>
      </c>
      <c r="GL67" s="4">
        <f t="shared" si="49"/>
        <v>0</v>
      </c>
      <c r="GM67" s="4">
        <f t="shared" si="49"/>
        <v>0</v>
      </c>
      <c r="GN67" s="4">
        <f t="shared" si="49"/>
        <v>0</v>
      </c>
      <c r="GO67" s="4">
        <f t="shared" si="49"/>
        <v>0</v>
      </c>
      <c r="GP67" s="4">
        <f t="shared" si="49"/>
        <v>0</v>
      </c>
      <c r="GQ67" s="4">
        <f t="shared" si="49"/>
        <v>0</v>
      </c>
      <c r="GR67" s="4">
        <f t="shared" si="49"/>
        <v>0</v>
      </c>
      <c r="GS67" s="4">
        <f t="shared" si="49"/>
        <v>0</v>
      </c>
      <c r="GT67" s="4">
        <f t="shared" si="49"/>
        <v>0</v>
      </c>
      <c r="GU67" s="4">
        <f t="shared" si="49"/>
        <v>0</v>
      </c>
      <c r="GV67" s="4">
        <f t="shared" si="49"/>
        <v>0</v>
      </c>
      <c r="GW67" s="4">
        <f t="shared" si="49"/>
        <v>0</v>
      </c>
      <c r="GX67" s="4">
        <f t="shared" si="49"/>
        <v>0</v>
      </c>
    </row>
    <row r="69" spans="1:255" x14ac:dyDescent="0.2">
      <c r="A69" s="2">
        <v>17</v>
      </c>
      <c r="B69" s="2">
        <v>1</v>
      </c>
      <c r="C69" s="2">
        <f>ROW(SmtRes!A14)</f>
        <v>14</v>
      </c>
      <c r="D69" s="2">
        <f>ROW(EtalonRes!A15)</f>
        <v>15</v>
      </c>
      <c r="E69" s="2" t="s">
        <v>113</v>
      </c>
      <c r="F69" s="2" t="s">
        <v>114</v>
      </c>
      <c r="G69" s="2" t="s">
        <v>115</v>
      </c>
      <c r="H69" s="2" t="s">
        <v>116</v>
      </c>
      <c r="I69" s="2">
        <f>ROUND(220/100,7)</f>
        <v>2.2000000000000002</v>
      </c>
      <c r="J69" s="2">
        <v>0</v>
      </c>
      <c r="K69" s="2">
        <f>ROUND(220/100,7)</f>
        <v>2.2000000000000002</v>
      </c>
      <c r="L69" s="2"/>
      <c r="M69" s="2"/>
      <c r="N69" s="2"/>
      <c r="O69" s="2">
        <f t="shared" ref="O69:O85" si="50">ROUND(CP69,2)</f>
        <v>6525.57</v>
      </c>
      <c r="P69" s="2">
        <f>SUMIF(SmtRes!AQ11:'SmtRes'!AQ14,"=1",SmtRes!DF11:'SmtRes'!DF14)</f>
        <v>0</v>
      </c>
      <c r="Q69" s="2">
        <f>SUMIF(SmtRes!AQ11:'SmtRes'!AQ14,"=1",SmtRes!DG11:'SmtRes'!DG14)</f>
        <v>982.14</v>
      </c>
      <c r="R69" s="2">
        <f>SUMIF(SmtRes!AQ11:'SmtRes'!AQ14,"=1",SmtRes!DH11:'SmtRes'!DH14)</f>
        <v>0</v>
      </c>
      <c r="S69" s="2">
        <f>SUMIF(SmtRes!AQ11:'SmtRes'!AQ14,"=1",SmtRes!DI11:'SmtRes'!DI14)</f>
        <v>5543.43</v>
      </c>
      <c r="T69" s="2">
        <f t="shared" ref="T69:T100" si="51">ROUND(CU69*I69,2)</f>
        <v>0</v>
      </c>
      <c r="U69" s="2">
        <f>SUMIF(SmtRes!AQ11:'SmtRes'!AQ14,"=1",SmtRes!CV11:'SmtRes'!CV14)</f>
        <v>12.54</v>
      </c>
      <c r="V69" s="2">
        <f>SUMIF(SmtRes!AQ11:'SmtRes'!AQ14,"=1",SmtRes!CW11:'SmtRes'!CW14)</f>
        <v>0</v>
      </c>
      <c r="W69" s="2">
        <f t="shared" ref="W69:W100" si="52">ROUND(CX69*I69,2)</f>
        <v>0</v>
      </c>
      <c r="X69" s="2">
        <f t="shared" ref="X69:X100" si="53">ROUND(CY69,2)</f>
        <v>6485.81</v>
      </c>
      <c r="Y69" s="2">
        <f t="shared" ref="Y69:Y100" si="54">ROUND(CZ69,2)</f>
        <v>4102.1400000000003</v>
      </c>
      <c r="Z69" s="2"/>
      <c r="AA69" s="2">
        <v>73953415</v>
      </c>
      <c r="AB69" s="2">
        <f t="shared" ref="AB69:AB100" si="55">ROUND((AC69+AD69+AF69),6)</f>
        <v>2844.0744</v>
      </c>
      <c r="AC69" s="2">
        <f>ROUND((0),6)</f>
        <v>0</v>
      </c>
      <c r="AD69" s="2">
        <f>ROUND((((SUM(SmtRes!BR11:'SmtRes'!BR14))-(0))+AE69),6)</f>
        <v>324.33240000000001</v>
      </c>
      <c r="AE69" s="2">
        <f>ROUND((0),6)</f>
        <v>0</v>
      </c>
      <c r="AF69" s="2">
        <f>ROUND((SUM(SmtRes!BT11:'SmtRes'!BT14)),6)</f>
        <v>2519.7420000000002</v>
      </c>
      <c r="AG69" s="2">
        <f t="shared" ref="AG69:AG100" si="56">ROUND((AP69),6)</f>
        <v>0</v>
      </c>
      <c r="AH69" s="2">
        <f>(SUM(SmtRes!BU11:'SmtRes'!BU14))</f>
        <v>5.7</v>
      </c>
      <c r="AI69" s="2">
        <f>(0)</f>
        <v>0</v>
      </c>
      <c r="AJ69" s="2">
        <f t="shared" ref="AJ69:AJ100" si="57">(AS69)</f>
        <v>0</v>
      </c>
      <c r="AK69" s="2">
        <v>2844.0744000000004</v>
      </c>
      <c r="AL69" s="2">
        <v>0</v>
      </c>
      <c r="AM69" s="2">
        <v>324.33240000000001</v>
      </c>
      <c r="AN69" s="2">
        <v>0</v>
      </c>
      <c r="AO69" s="2">
        <v>2519.7420000000002</v>
      </c>
      <c r="AP69" s="2">
        <v>0</v>
      </c>
      <c r="AQ69" s="2">
        <v>5.7</v>
      </c>
      <c r="AR69" s="2">
        <v>0</v>
      </c>
      <c r="AS69" s="2">
        <v>0</v>
      </c>
      <c r="AT69" s="2">
        <v>117</v>
      </c>
      <c r="AU69" s="2">
        <v>74</v>
      </c>
      <c r="AV69" s="2">
        <v>1</v>
      </c>
      <c r="AW69" s="2">
        <v>1</v>
      </c>
      <c r="AX69" s="2"/>
      <c r="AY69" s="2"/>
      <c r="AZ69" s="2">
        <v>1</v>
      </c>
      <c r="BA69" s="2">
        <v>1</v>
      </c>
      <c r="BB69" s="2">
        <v>1</v>
      </c>
      <c r="BC69" s="2">
        <v>1</v>
      </c>
      <c r="BD69" s="2" t="s">
        <v>3</v>
      </c>
      <c r="BE69" s="2" t="s">
        <v>3</v>
      </c>
      <c r="BF69" s="2" t="s">
        <v>3</v>
      </c>
      <c r="BG69" s="2" t="s">
        <v>3</v>
      </c>
      <c r="BH69" s="2">
        <v>0</v>
      </c>
      <c r="BI69" s="2">
        <v>1</v>
      </c>
      <c r="BJ69" s="2" t="s">
        <v>117</v>
      </c>
      <c r="BK69" s="2"/>
      <c r="BL69" s="2"/>
      <c r="BM69" s="2">
        <v>24001</v>
      </c>
      <c r="BN69" s="2">
        <v>0</v>
      </c>
      <c r="BO69" s="2" t="s">
        <v>3</v>
      </c>
      <c r="BP69" s="2">
        <v>0</v>
      </c>
      <c r="BQ69" s="2">
        <v>2</v>
      </c>
      <c r="BR69" s="2">
        <v>0</v>
      </c>
      <c r="BS69" s="2">
        <v>1</v>
      </c>
      <c r="BT69" s="2">
        <v>1</v>
      </c>
      <c r="BU69" s="2">
        <v>1</v>
      </c>
      <c r="BV69" s="2">
        <v>1</v>
      </c>
      <c r="BW69" s="2">
        <v>1</v>
      </c>
      <c r="BX69" s="2">
        <v>1</v>
      </c>
      <c r="BY69" s="2" t="s">
        <v>3</v>
      </c>
      <c r="BZ69" s="2">
        <v>117</v>
      </c>
      <c r="CA69" s="2">
        <v>74</v>
      </c>
      <c r="CB69" s="2" t="s">
        <v>3</v>
      </c>
      <c r="CC69" s="2"/>
      <c r="CD69" s="2"/>
      <c r="CE69" s="2">
        <v>0</v>
      </c>
      <c r="CF69" s="2">
        <v>0</v>
      </c>
      <c r="CG69" s="2">
        <v>0</v>
      </c>
      <c r="CH69" s="2"/>
      <c r="CI69" s="2"/>
      <c r="CJ69" s="2"/>
      <c r="CK69" s="2"/>
      <c r="CL69" s="2"/>
      <c r="CM69" s="2">
        <v>0</v>
      </c>
      <c r="CN69" s="2" t="s">
        <v>3</v>
      </c>
      <c r="CO69" s="2">
        <v>0</v>
      </c>
      <c r="CP69" s="2">
        <f t="shared" ref="CP69:CP85" si="58">(P69+Q69+S69+R69)</f>
        <v>6525.5700000000006</v>
      </c>
      <c r="CQ69" s="2">
        <f>SUMIF(SmtRes!AQ11:'SmtRes'!AQ14,"=1",SmtRes!AA11:'SmtRes'!AA14)</f>
        <v>0</v>
      </c>
      <c r="CR69" s="2">
        <f>SUMIF(SmtRes!AQ11:'SmtRes'!AQ14,"=1",SmtRes!AB11:'SmtRes'!AB14)</f>
        <v>518.44000000000005</v>
      </c>
      <c r="CS69" s="2">
        <f>SUMIF(SmtRes!AQ11:'SmtRes'!AQ14,"=1",SmtRes!AC11:'SmtRes'!AC14)</f>
        <v>0</v>
      </c>
      <c r="CT69" s="2">
        <f>SUMIF(SmtRes!AQ11:'SmtRes'!AQ14,"=1",SmtRes!AD11:'SmtRes'!AD14)</f>
        <v>442.06</v>
      </c>
      <c r="CU69" s="2">
        <f t="shared" ref="CU69:CU85" si="59">AG69</f>
        <v>0</v>
      </c>
      <c r="CV69" s="2">
        <f>SUMIF(SmtRes!AQ11:'SmtRes'!AQ14,"=1",SmtRes!BU11:'SmtRes'!BU14)</f>
        <v>5.7</v>
      </c>
      <c r="CW69" s="2">
        <f>SUMIF(SmtRes!AQ11:'SmtRes'!AQ14,"=1",SmtRes!BV11:'SmtRes'!BV14)</f>
        <v>0</v>
      </c>
      <c r="CX69" s="2">
        <f t="shared" ref="CX69:CX85" si="60">AJ69</f>
        <v>0</v>
      </c>
      <c r="CY69" s="2">
        <f>(((S69+R69)*AT69)/100)</f>
        <v>6485.8131000000003</v>
      </c>
      <c r="CZ69" s="2">
        <f>(((S69+R69)*AU69)/100)</f>
        <v>4102.1382000000003</v>
      </c>
      <c r="DA69" s="2"/>
      <c r="DB69" s="2"/>
      <c r="DC69" s="2" t="s">
        <v>3</v>
      </c>
      <c r="DD69" s="2" t="s">
        <v>3</v>
      </c>
      <c r="DE69" s="2" t="s">
        <v>3</v>
      </c>
      <c r="DF69" s="2" t="s">
        <v>3</v>
      </c>
      <c r="DG69" s="2" t="s">
        <v>3</v>
      </c>
      <c r="DH69" s="2" t="s">
        <v>3</v>
      </c>
      <c r="DI69" s="2" t="s">
        <v>3</v>
      </c>
      <c r="DJ69" s="2" t="s">
        <v>3</v>
      </c>
      <c r="DK69" s="2" t="s">
        <v>3</v>
      </c>
      <c r="DL69" s="2" t="s">
        <v>3</v>
      </c>
      <c r="DM69" s="2" t="s">
        <v>3</v>
      </c>
      <c r="DN69" s="2">
        <v>0</v>
      </c>
      <c r="DO69" s="2">
        <v>0</v>
      </c>
      <c r="DP69" s="2">
        <v>1</v>
      </c>
      <c r="DQ69" s="2">
        <v>1</v>
      </c>
      <c r="DR69" s="2"/>
      <c r="DS69" s="2"/>
      <c r="DT69" s="2"/>
      <c r="DU69" s="2">
        <v>1003</v>
      </c>
      <c r="DV69" s="2" t="s">
        <v>116</v>
      </c>
      <c r="DW69" s="2" t="s">
        <v>116</v>
      </c>
      <c r="DX69" s="2">
        <v>100</v>
      </c>
      <c r="DY69" s="2"/>
      <c r="DZ69" s="2" t="s">
        <v>3</v>
      </c>
      <c r="EA69" s="2" t="s">
        <v>3</v>
      </c>
      <c r="EB69" s="2" t="s">
        <v>3</v>
      </c>
      <c r="EC69" s="2" t="s">
        <v>3</v>
      </c>
      <c r="ED69" s="2"/>
      <c r="EE69" s="2">
        <v>72340632</v>
      </c>
      <c r="EF69" s="2">
        <v>2</v>
      </c>
      <c r="EG69" s="2" t="s">
        <v>23</v>
      </c>
      <c r="EH69" s="2">
        <v>18</v>
      </c>
      <c r="EI69" s="2" t="s">
        <v>41</v>
      </c>
      <c r="EJ69" s="2">
        <v>1</v>
      </c>
      <c r="EK69" s="2">
        <v>24001</v>
      </c>
      <c r="EL69" s="2" t="s">
        <v>41</v>
      </c>
      <c r="EM69" s="2" t="s">
        <v>118</v>
      </c>
      <c r="EN69" s="2"/>
      <c r="EO69" s="2" t="s">
        <v>3</v>
      </c>
      <c r="EP69" s="2"/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5.7</v>
      </c>
      <c r="EX69" s="2">
        <v>0</v>
      </c>
      <c r="EY69" s="2">
        <v>0</v>
      </c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>
        <v>0</v>
      </c>
      <c r="FR69" s="2">
        <v>0</v>
      </c>
      <c r="FS69" s="2">
        <v>0</v>
      </c>
      <c r="FT69" s="2"/>
      <c r="FU69" s="2"/>
      <c r="FV69" s="2"/>
      <c r="FW69" s="2"/>
      <c r="FX69" s="2">
        <v>117</v>
      </c>
      <c r="FY69" s="2">
        <v>74</v>
      </c>
      <c r="FZ69" s="2"/>
      <c r="GA69" s="2" t="s">
        <v>3</v>
      </c>
      <c r="GB69" s="2"/>
      <c r="GC69" s="2"/>
      <c r="GD69" s="2">
        <v>1</v>
      </c>
      <c r="GE69" s="2"/>
      <c r="GF69" s="2">
        <v>-705619183</v>
      </c>
      <c r="GG69" s="2">
        <v>2</v>
      </c>
      <c r="GH69" s="2">
        <v>1</v>
      </c>
      <c r="GI69" s="2">
        <v>-2</v>
      </c>
      <c r="GJ69" s="2">
        <v>0</v>
      </c>
      <c r="GK69" s="2">
        <v>0</v>
      </c>
      <c r="GL69" s="2">
        <f t="shared" ref="GL69:GL100" si="61">ROUND(IF(AND(BH69=3,BI69=3,FS69&lt;&gt;0),P69,0),2)</f>
        <v>0</v>
      </c>
      <c r="GM69" s="2">
        <f t="shared" ref="GM69:GM100" si="62">ROUND(O69+X69+Y69,2)+GX69</f>
        <v>17113.52</v>
      </c>
      <c r="GN69" s="2">
        <f t="shared" ref="GN69:GN100" si="63">IF(OR(BI69=0,BI69=1),GM69-GX69,0)</f>
        <v>17113.52</v>
      </c>
      <c r="GO69" s="2">
        <f t="shared" ref="GO69:GO100" si="64">IF(BI69=2,GM69-GX69,0)</f>
        <v>0</v>
      </c>
      <c r="GP69" s="2">
        <f t="shared" ref="GP69:GP100" si="65">IF(BI69=4,GM69-GX69,0)</f>
        <v>0</v>
      </c>
      <c r="GQ69" s="2"/>
      <c r="GR69" s="2">
        <v>0</v>
      </c>
      <c r="GS69" s="2">
        <v>3</v>
      </c>
      <c r="GT69" s="2">
        <v>0</v>
      </c>
      <c r="GU69" s="2" t="s">
        <v>3</v>
      </c>
      <c r="GV69" s="2">
        <f t="shared" ref="GV69:GV100" si="66">ROUND((GT69),6)</f>
        <v>0</v>
      </c>
      <c r="GW69" s="2">
        <v>1</v>
      </c>
      <c r="GX69" s="2">
        <f t="shared" ref="GX69:GX100" si="67">ROUND(HC69*I69,2)</f>
        <v>0</v>
      </c>
      <c r="GY69" s="2"/>
      <c r="GZ69" s="2"/>
      <c r="HA69" s="2">
        <v>0</v>
      </c>
      <c r="HB69" s="2">
        <v>0</v>
      </c>
      <c r="HC69" s="2">
        <f t="shared" ref="HC69:HC85" si="68">GV69*GW69</f>
        <v>0</v>
      </c>
      <c r="HD69" s="2"/>
      <c r="HE69" s="2" t="s">
        <v>3</v>
      </c>
      <c r="HF69" s="2" t="s">
        <v>3</v>
      </c>
      <c r="HG69" s="2"/>
      <c r="HH69" s="2"/>
      <c r="HI69" s="2"/>
      <c r="HJ69" s="2"/>
      <c r="HK69" s="2"/>
      <c r="HL69" s="2"/>
      <c r="HM69" s="2" t="s">
        <v>3</v>
      </c>
      <c r="HN69" s="2" t="s">
        <v>43</v>
      </c>
      <c r="HO69" s="2" t="s">
        <v>44</v>
      </c>
      <c r="HP69" s="2" t="s">
        <v>41</v>
      </c>
      <c r="HQ69" s="2" t="s">
        <v>41</v>
      </c>
      <c r="HR69" s="2"/>
      <c r="HS69" s="2">
        <v>0</v>
      </c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>
        <v>0</v>
      </c>
      <c r="IL69" s="2"/>
      <c r="IM69" s="2"/>
      <c r="IN69" s="2"/>
      <c r="IO69" s="2"/>
      <c r="IP69" s="2"/>
      <c r="IQ69" s="2"/>
      <c r="IR69" s="2"/>
      <c r="IS69" s="2"/>
      <c r="IT69" s="2"/>
      <c r="IU69" s="2"/>
    </row>
    <row r="70" spans="1:255" x14ac:dyDescent="0.2">
      <c r="A70" s="2">
        <v>17</v>
      </c>
      <c r="B70" s="2">
        <v>1</v>
      </c>
      <c r="C70" s="2"/>
      <c r="D70" s="2"/>
      <c r="E70" s="2" t="s">
        <v>119</v>
      </c>
      <c r="F70" s="2" t="s">
        <v>120</v>
      </c>
      <c r="G70" s="2" t="s">
        <v>121</v>
      </c>
      <c r="H70" s="2" t="s">
        <v>122</v>
      </c>
      <c r="I70" s="2">
        <v>220</v>
      </c>
      <c r="J70" s="2">
        <v>0</v>
      </c>
      <c r="K70" s="2">
        <v>220</v>
      </c>
      <c r="L70" s="2"/>
      <c r="M70" s="2"/>
      <c r="N70" s="2"/>
      <c r="O70" s="2">
        <f t="shared" si="50"/>
        <v>98111.2</v>
      </c>
      <c r="P70" s="2">
        <f>ROUND(CQ70*I70,2)</f>
        <v>98111.2</v>
      </c>
      <c r="Q70" s="2">
        <f>ROUND(CR70*I70,2)</f>
        <v>0</v>
      </c>
      <c r="R70" s="2">
        <f>ROUND(CS70*I70,2)</f>
        <v>0</v>
      </c>
      <c r="S70" s="2">
        <f>ROUND(CT70*I70,2)</f>
        <v>0</v>
      </c>
      <c r="T70" s="2">
        <f t="shared" si="51"/>
        <v>0</v>
      </c>
      <c r="U70" s="2">
        <f>ROUND(CV70*I70,7)</f>
        <v>0</v>
      </c>
      <c r="V70" s="2">
        <f>ROUND(CW70*I70,7)</f>
        <v>0</v>
      </c>
      <c r="W70" s="2">
        <f t="shared" si="52"/>
        <v>0</v>
      </c>
      <c r="X70" s="2">
        <f t="shared" si="53"/>
        <v>0</v>
      </c>
      <c r="Y70" s="2">
        <f t="shared" si="54"/>
        <v>0</v>
      </c>
      <c r="Z70" s="2"/>
      <c r="AA70" s="2">
        <v>73953415</v>
      </c>
      <c r="AB70" s="2">
        <f t="shared" si="55"/>
        <v>445.96</v>
      </c>
      <c r="AC70" s="2">
        <f>ROUND((ES70),6)</f>
        <v>445.96</v>
      </c>
      <c r="AD70" s="2">
        <f>ROUND((((ET70)-(EU70))+AE70),6)</f>
        <v>0</v>
      </c>
      <c r="AE70" s="2">
        <f>ROUND((EU70),6)</f>
        <v>0</v>
      </c>
      <c r="AF70" s="2">
        <f>ROUND((EV70),6)</f>
        <v>0</v>
      </c>
      <c r="AG70" s="2">
        <f t="shared" si="56"/>
        <v>0</v>
      </c>
      <c r="AH70" s="2">
        <f>(EW70)</f>
        <v>0</v>
      </c>
      <c r="AI70" s="2">
        <f>(EX70)</f>
        <v>0</v>
      </c>
      <c r="AJ70" s="2">
        <f t="shared" si="57"/>
        <v>0</v>
      </c>
      <c r="AK70" s="2">
        <v>445.96</v>
      </c>
      <c r="AL70" s="2">
        <v>445.96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1</v>
      </c>
      <c r="AW70" s="2">
        <v>1</v>
      </c>
      <c r="AX70" s="2"/>
      <c r="AY70" s="2"/>
      <c r="AZ70" s="2">
        <v>1</v>
      </c>
      <c r="BA70" s="2">
        <v>1</v>
      </c>
      <c r="BB70" s="2">
        <v>1</v>
      </c>
      <c r="BC70" s="2">
        <v>1</v>
      </c>
      <c r="BD70" s="2" t="s">
        <v>3</v>
      </c>
      <c r="BE70" s="2" t="s">
        <v>3</v>
      </c>
      <c r="BF70" s="2" t="s">
        <v>3</v>
      </c>
      <c r="BG70" s="2" t="s">
        <v>3</v>
      </c>
      <c r="BH70" s="2">
        <v>3</v>
      </c>
      <c r="BI70" s="2">
        <v>1</v>
      </c>
      <c r="BJ70" s="2" t="s">
        <v>123</v>
      </c>
      <c r="BK70" s="2"/>
      <c r="BL70" s="2"/>
      <c r="BM70" s="2">
        <v>500001</v>
      </c>
      <c r="BN70" s="2">
        <v>0</v>
      </c>
      <c r="BO70" s="2" t="s">
        <v>3</v>
      </c>
      <c r="BP70" s="2">
        <v>0</v>
      </c>
      <c r="BQ70" s="2">
        <v>8</v>
      </c>
      <c r="BR70" s="2">
        <v>0</v>
      </c>
      <c r="BS70" s="2">
        <v>1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 t="s">
        <v>3</v>
      </c>
      <c r="BZ70" s="2">
        <v>0</v>
      </c>
      <c r="CA70" s="2">
        <v>0</v>
      </c>
      <c r="CB70" s="2" t="s">
        <v>3</v>
      </c>
      <c r="CC70" s="2"/>
      <c r="CD70" s="2"/>
      <c r="CE70" s="2">
        <v>0</v>
      </c>
      <c r="CF70" s="2">
        <v>0</v>
      </c>
      <c r="CG70" s="2">
        <v>0</v>
      </c>
      <c r="CH70" s="2"/>
      <c r="CI70" s="2"/>
      <c r="CJ70" s="2"/>
      <c r="CK70" s="2"/>
      <c r="CL70" s="2"/>
      <c r="CM70" s="2">
        <v>0</v>
      </c>
      <c r="CN70" s="2" t="s">
        <v>3</v>
      </c>
      <c r="CO70" s="2">
        <v>0</v>
      </c>
      <c r="CP70" s="2">
        <f t="shared" si="58"/>
        <v>98111.2</v>
      </c>
      <c r="CQ70" s="2">
        <f>ROUND(AL70*BC70,2)</f>
        <v>445.96</v>
      </c>
      <c r="CR70" s="2">
        <f>ROUND(AM70*BB70,2)</f>
        <v>0</v>
      </c>
      <c r="CS70" s="2">
        <f>ROUND(AN70*BS70,2)</f>
        <v>0</v>
      </c>
      <c r="CT70" s="2">
        <f>ROUND(AO70*BA70,2)</f>
        <v>0</v>
      </c>
      <c r="CU70" s="2">
        <f t="shared" si="59"/>
        <v>0</v>
      </c>
      <c r="CV70" s="2">
        <f>AH70</f>
        <v>0</v>
      </c>
      <c r="CW70" s="2">
        <f>AI70</f>
        <v>0</v>
      </c>
      <c r="CX70" s="2">
        <f t="shared" si="60"/>
        <v>0</v>
      </c>
      <c r="CY70" s="2">
        <f>0</f>
        <v>0</v>
      </c>
      <c r="CZ70" s="2">
        <f>0</f>
        <v>0</v>
      </c>
      <c r="DA70" s="2"/>
      <c r="DB70" s="2"/>
      <c r="DC70" s="2" t="s">
        <v>3</v>
      </c>
      <c r="DD70" s="2" t="s">
        <v>3</v>
      </c>
      <c r="DE70" s="2" t="s">
        <v>3</v>
      </c>
      <c r="DF70" s="2" t="s">
        <v>3</v>
      </c>
      <c r="DG70" s="2" t="s">
        <v>3</v>
      </c>
      <c r="DH70" s="2" t="s">
        <v>3</v>
      </c>
      <c r="DI70" s="2" t="s">
        <v>3</v>
      </c>
      <c r="DJ70" s="2" t="s">
        <v>3</v>
      </c>
      <c r="DK70" s="2" t="s">
        <v>3</v>
      </c>
      <c r="DL70" s="2" t="s">
        <v>3</v>
      </c>
      <c r="DM70" s="2" t="s">
        <v>3</v>
      </c>
      <c r="DN70" s="2">
        <v>0</v>
      </c>
      <c r="DO70" s="2">
        <v>0</v>
      </c>
      <c r="DP70" s="2">
        <v>1</v>
      </c>
      <c r="DQ70" s="2">
        <v>1</v>
      </c>
      <c r="DR70" s="2"/>
      <c r="DS70" s="2"/>
      <c r="DT70" s="2"/>
      <c r="DU70" s="2">
        <v>1003</v>
      </c>
      <c r="DV70" s="2" t="s">
        <v>122</v>
      </c>
      <c r="DW70" s="2" t="s">
        <v>122</v>
      </c>
      <c r="DX70" s="2">
        <v>1</v>
      </c>
      <c r="DY70" s="2"/>
      <c r="DZ70" s="2" t="s">
        <v>3</v>
      </c>
      <c r="EA70" s="2" t="s">
        <v>3</v>
      </c>
      <c r="EB70" s="2" t="s">
        <v>3</v>
      </c>
      <c r="EC70" s="2" t="s">
        <v>3</v>
      </c>
      <c r="ED70" s="2"/>
      <c r="EE70" s="2">
        <v>72340530</v>
      </c>
      <c r="EF70" s="2">
        <v>8</v>
      </c>
      <c r="EG70" s="2" t="s">
        <v>124</v>
      </c>
      <c r="EH70" s="2">
        <v>0</v>
      </c>
      <c r="EI70" s="2" t="s">
        <v>3</v>
      </c>
      <c r="EJ70" s="2">
        <v>1</v>
      </c>
      <c r="EK70" s="2">
        <v>500001</v>
      </c>
      <c r="EL70" s="2" t="s">
        <v>125</v>
      </c>
      <c r="EM70" s="2" t="s">
        <v>126</v>
      </c>
      <c r="EN70" s="2"/>
      <c r="EO70" s="2" t="s">
        <v>3</v>
      </c>
      <c r="EP70" s="2"/>
      <c r="EQ70" s="2">
        <v>0</v>
      </c>
      <c r="ER70" s="2">
        <v>445.96</v>
      </c>
      <c r="ES70" s="2">
        <v>445.96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>
        <v>0</v>
      </c>
      <c r="FR70" s="2">
        <v>0</v>
      </c>
      <c r="FS70" s="2">
        <v>0</v>
      </c>
      <c r="FT70" s="2"/>
      <c r="FU70" s="2"/>
      <c r="FV70" s="2"/>
      <c r="FW70" s="2"/>
      <c r="FX70" s="2">
        <v>0</v>
      </c>
      <c r="FY70" s="2">
        <v>0</v>
      </c>
      <c r="FZ70" s="2"/>
      <c r="GA70" s="2" t="s">
        <v>3</v>
      </c>
      <c r="GB70" s="2"/>
      <c r="GC70" s="2"/>
      <c r="GD70" s="2">
        <v>1</v>
      </c>
      <c r="GE70" s="2">
        <v>356.47</v>
      </c>
      <c r="GF70" s="2">
        <v>-1478815123</v>
      </c>
      <c r="GG70" s="2">
        <v>2</v>
      </c>
      <c r="GH70" s="2">
        <v>1</v>
      </c>
      <c r="GI70" s="2">
        <v>-2</v>
      </c>
      <c r="GJ70" s="2">
        <v>0</v>
      </c>
      <c r="GK70" s="2">
        <v>0</v>
      </c>
      <c r="GL70" s="2">
        <f t="shared" si="61"/>
        <v>0</v>
      </c>
      <c r="GM70" s="2">
        <f t="shared" si="62"/>
        <v>98111.2</v>
      </c>
      <c r="GN70" s="2">
        <f t="shared" si="63"/>
        <v>98111.2</v>
      </c>
      <c r="GO70" s="2">
        <f t="shared" si="64"/>
        <v>0</v>
      </c>
      <c r="GP70" s="2">
        <f t="shared" si="65"/>
        <v>0</v>
      </c>
      <c r="GQ70" s="2"/>
      <c r="GR70" s="2">
        <v>3</v>
      </c>
      <c r="GS70" s="2">
        <v>3</v>
      </c>
      <c r="GT70" s="2">
        <v>0</v>
      </c>
      <c r="GU70" s="2" t="s">
        <v>3</v>
      </c>
      <c r="GV70" s="2">
        <f t="shared" si="66"/>
        <v>0</v>
      </c>
      <c r="GW70" s="2">
        <v>1</v>
      </c>
      <c r="GX70" s="2">
        <f t="shared" si="67"/>
        <v>0</v>
      </c>
      <c r="GY70" s="2"/>
      <c r="GZ70" s="2"/>
      <c r="HA70" s="2">
        <v>0</v>
      </c>
      <c r="HB70" s="2">
        <v>0</v>
      </c>
      <c r="HC70" s="2">
        <f t="shared" si="68"/>
        <v>0</v>
      </c>
      <c r="HD70" s="2"/>
      <c r="HE70" s="2" t="s">
        <v>3</v>
      </c>
      <c r="HF70" s="2" t="s">
        <v>3</v>
      </c>
      <c r="HG70" s="2"/>
      <c r="HH70" s="2"/>
      <c r="HI70" s="2"/>
      <c r="HJ70" s="2"/>
      <c r="HK70" s="2"/>
      <c r="HL70" s="2"/>
      <c r="HM70" s="2" t="s">
        <v>3</v>
      </c>
      <c r="HN70" s="2" t="s">
        <v>3</v>
      </c>
      <c r="HO70" s="2" t="s">
        <v>3</v>
      </c>
      <c r="HP70" s="2" t="s">
        <v>3</v>
      </c>
      <c r="HQ70" s="2" t="s">
        <v>3</v>
      </c>
      <c r="HR70" s="2"/>
      <c r="HS70" s="2">
        <v>0</v>
      </c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>
        <v>0</v>
      </c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 x14ac:dyDescent="0.2">
      <c r="A71" s="2">
        <v>17</v>
      </c>
      <c r="B71" s="2">
        <v>1</v>
      </c>
      <c r="C71" s="2"/>
      <c r="D71" s="2"/>
      <c r="E71" s="2" t="s">
        <v>127</v>
      </c>
      <c r="F71" s="2" t="s">
        <v>128</v>
      </c>
      <c r="G71" s="2" t="s">
        <v>129</v>
      </c>
      <c r="H71" s="2" t="s">
        <v>130</v>
      </c>
      <c r="I71" s="2">
        <v>1</v>
      </c>
      <c r="J71" s="2">
        <v>0</v>
      </c>
      <c r="K71" s="2">
        <v>1</v>
      </c>
      <c r="L71" s="2"/>
      <c r="M71" s="2"/>
      <c r="N71" s="2"/>
      <c r="O71" s="2">
        <f t="shared" si="50"/>
        <v>1058.28</v>
      </c>
      <c r="P71" s="2">
        <f>ROUND(CQ71*I71,2)</f>
        <v>1058.28</v>
      </c>
      <c r="Q71" s="2">
        <f>ROUND(CR71*I71,2)</f>
        <v>0</v>
      </c>
      <c r="R71" s="2">
        <f>ROUND(CS71*I71,2)</f>
        <v>0</v>
      </c>
      <c r="S71" s="2">
        <f>ROUND(CT71*I71,2)</f>
        <v>0</v>
      </c>
      <c r="T71" s="2">
        <f t="shared" si="51"/>
        <v>0</v>
      </c>
      <c r="U71" s="2">
        <f>ROUND(CV71*I71,7)</f>
        <v>0</v>
      </c>
      <c r="V71" s="2">
        <f>ROUND(CW71*I71,7)</f>
        <v>0</v>
      </c>
      <c r="W71" s="2">
        <f t="shared" si="52"/>
        <v>0</v>
      </c>
      <c r="X71" s="2">
        <f t="shared" si="53"/>
        <v>0</v>
      </c>
      <c r="Y71" s="2">
        <f t="shared" si="54"/>
        <v>0</v>
      </c>
      <c r="Z71" s="2"/>
      <c r="AA71" s="2">
        <v>73953415</v>
      </c>
      <c r="AB71" s="2">
        <f t="shared" si="55"/>
        <v>1027.46</v>
      </c>
      <c r="AC71" s="2">
        <f>ROUND((ES71),6)</f>
        <v>1027.46</v>
      </c>
      <c r="AD71" s="2">
        <f>ROUND((((ET71)-(EU71))+AE71),6)</f>
        <v>0</v>
      </c>
      <c r="AE71" s="2">
        <f>ROUND((EU71),6)</f>
        <v>0</v>
      </c>
      <c r="AF71" s="2">
        <f>ROUND((EV71),6)</f>
        <v>0</v>
      </c>
      <c r="AG71" s="2">
        <f t="shared" si="56"/>
        <v>0</v>
      </c>
      <c r="AH71" s="2">
        <f>(EW71)</f>
        <v>0</v>
      </c>
      <c r="AI71" s="2">
        <f>(EX71)</f>
        <v>0</v>
      </c>
      <c r="AJ71" s="2">
        <f t="shared" si="57"/>
        <v>0</v>
      </c>
      <c r="AK71" s="2">
        <v>1027.46</v>
      </c>
      <c r="AL71" s="2">
        <v>1027.46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1</v>
      </c>
      <c r="AW71" s="2">
        <v>1</v>
      </c>
      <c r="AX71" s="2"/>
      <c r="AY71" s="2"/>
      <c r="AZ71" s="2">
        <v>1</v>
      </c>
      <c r="BA71" s="2">
        <v>1</v>
      </c>
      <c r="BB71" s="2">
        <v>1</v>
      </c>
      <c r="BC71" s="2">
        <v>1.03</v>
      </c>
      <c r="BD71" s="2" t="s">
        <v>3</v>
      </c>
      <c r="BE71" s="2" t="s">
        <v>3</v>
      </c>
      <c r="BF71" s="2" t="s">
        <v>3</v>
      </c>
      <c r="BG71" s="2" t="s">
        <v>3</v>
      </c>
      <c r="BH71" s="2">
        <v>3</v>
      </c>
      <c r="BI71" s="2">
        <v>1</v>
      </c>
      <c r="BJ71" s="2" t="s">
        <v>131</v>
      </c>
      <c r="BK71" s="2"/>
      <c r="BL71" s="2"/>
      <c r="BM71" s="2">
        <v>500001</v>
      </c>
      <c r="BN71" s="2">
        <v>0</v>
      </c>
      <c r="BO71" s="2" t="s">
        <v>128</v>
      </c>
      <c r="BP71" s="2">
        <v>1</v>
      </c>
      <c r="BQ71" s="2">
        <v>8</v>
      </c>
      <c r="BR71" s="2">
        <v>0</v>
      </c>
      <c r="BS71" s="2">
        <v>1</v>
      </c>
      <c r="BT71" s="2">
        <v>1</v>
      </c>
      <c r="BU71" s="2">
        <v>1</v>
      </c>
      <c r="BV71" s="2">
        <v>1</v>
      </c>
      <c r="BW71" s="2">
        <v>1</v>
      </c>
      <c r="BX71" s="2">
        <v>1</v>
      </c>
      <c r="BY71" s="2" t="s">
        <v>3</v>
      </c>
      <c r="BZ71" s="2">
        <v>0</v>
      </c>
      <c r="CA71" s="2">
        <v>0</v>
      </c>
      <c r="CB71" s="2" t="s">
        <v>3</v>
      </c>
      <c r="CC71" s="2"/>
      <c r="CD71" s="2"/>
      <c r="CE71" s="2">
        <v>0</v>
      </c>
      <c r="CF71" s="2">
        <v>0</v>
      </c>
      <c r="CG71" s="2">
        <v>0</v>
      </c>
      <c r="CH71" s="2"/>
      <c r="CI71" s="2"/>
      <c r="CJ71" s="2"/>
      <c r="CK71" s="2"/>
      <c r="CL71" s="2"/>
      <c r="CM71" s="2">
        <v>0</v>
      </c>
      <c r="CN71" s="2" t="s">
        <v>3</v>
      </c>
      <c r="CO71" s="2">
        <v>0</v>
      </c>
      <c r="CP71" s="2">
        <f t="shared" si="58"/>
        <v>1058.28</v>
      </c>
      <c r="CQ71" s="2">
        <f>ROUND(AL71*BC71,2)</f>
        <v>1058.28</v>
      </c>
      <c r="CR71" s="2">
        <f>ROUND(AM71*BB71,2)</f>
        <v>0</v>
      </c>
      <c r="CS71" s="2">
        <f>ROUND(AN71*BS71,2)</f>
        <v>0</v>
      </c>
      <c r="CT71" s="2">
        <f>ROUND(AO71*BA71,2)</f>
        <v>0</v>
      </c>
      <c r="CU71" s="2">
        <f t="shared" si="59"/>
        <v>0</v>
      </c>
      <c r="CV71" s="2">
        <f>AH71</f>
        <v>0</v>
      </c>
      <c r="CW71" s="2">
        <f>AI71</f>
        <v>0</v>
      </c>
      <c r="CX71" s="2">
        <f t="shared" si="60"/>
        <v>0</v>
      </c>
      <c r="CY71" s="2">
        <f>0</f>
        <v>0</v>
      </c>
      <c r="CZ71" s="2">
        <f>0</f>
        <v>0</v>
      </c>
      <c r="DA71" s="2"/>
      <c r="DB71" s="2"/>
      <c r="DC71" s="2" t="s">
        <v>3</v>
      </c>
      <c r="DD71" s="2" t="s">
        <v>3</v>
      </c>
      <c r="DE71" s="2" t="s">
        <v>3</v>
      </c>
      <c r="DF71" s="2" t="s">
        <v>3</v>
      </c>
      <c r="DG71" s="2" t="s">
        <v>3</v>
      </c>
      <c r="DH71" s="2" t="s">
        <v>3</v>
      </c>
      <c r="DI71" s="2" t="s">
        <v>3</v>
      </c>
      <c r="DJ71" s="2" t="s">
        <v>3</v>
      </c>
      <c r="DK71" s="2" t="s">
        <v>3</v>
      </c>
      <c r="DL71" s="2" t="s">
        <v>3</v>
      </c>
      <c r="DM71" s="2" t="s">
        <v>3</v>
      </c>
      <c r="DN71" s="2">
        <v>0</v>
      </c>
      <c r="DO71" s="2">
        <v>0</v>
      </c>
      <c r="DP71" s="2">
        <v>1</v>
      </c>
      <c r="DQ71" s="2">
        <v>1</v>
      </c>
      <c r="DR71" s="2"/>
      <c r="DS71" s="2"/>
      <c r="DT71" s="2"/>
      <c r="DU71" s="2">
        <v>1013</v>
      </c>
      <c r="DV71" s="2" t="s">
        <v>130</v>
      </c>
      <c r="DW71" s="2" t="s">
        <v>130</v>
      </c>
      <c r="DX71" s="2">
        <v>1</v>
      </c>
      <c r="DY71" s="2"/>
      <c r="DZ71" s="2" t="s">
        <v>3</v>
      </c>
      <c r="EA71" s="2" t="s">
        <v>3</v>
      </c>
      <c r="EB71" s="2" t="s">
        <v>3</v>
      </c>
      <c r="EC71" s="2" t="s">
        <v>3</v>
      </c>
      <c r="ED71" s="2"/>
      <c r="EE71" s="2">
        <v>72340530</v>
      </c>
      <c r="EF71" s="2">
        <v>8</v>
      </c>
      <c r="EG71" s="2" t="s">
        <v>124</v>
      </c>
      <c r="EH71" s="2">
        <v>0</v>
      </c>
      <c r="EI71" s="2" t="s">
        <v>3</v>
      </c>
      <c r="EJ71" s="2">
        <v>1</v>
      </c>
      <c r="EK71" s="2">
        <v>500001</v>
      </c>
      <c r="EL71" s="2" t="s">
        <v>125</v>
      </c>
      <c r="EM71" s="2" t="s">
        <v>126</v>
      </c>
      <c r="EN71" s="2"/>
      <c r="EO71" s="2" t="s">
        <v>3</v>
      </c>
      <c r="EP71" s="2"/>
      <c r="EQ71" s="2">
        <v>0</v>
      </c>
      <c r="ER71" s="2">
        <v>1027.46</v>
      </c>
      <c r="ES71" s="2">
        <v>1027.46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>
        <v>0</v>
      </c>
      <c r="FR71" s="2">
        <v>0</v>
      </c>
      <c r="FS71" s="2">
        <v>0</v>
      </c>
      <c r="FT71" s="2"/>
      <c r="FU71" s="2"/>
      <c r="FV71" s="2"/>
      <c r="FW71" s="2"/>
      <c r="FX71" s="2">
        <v>0</v>
      </c>
      <c r="FY71" s="2">
        <v>0</v>
      </c>
      <c r="FZ71" s="2"/>
      <c r="GA71" s="2" t="s">
        <v>3</v>
      </c>
      <c r="GB71" s="2"/>
      <c r="GC71" s="2"/>
      <c r="GD71" s="2">
        <v>1</v>
      </c>
      <c r="GE71" s="2"/>
      <c r="GF71" s="2">
        <v>1160847145</v>
      </c>
      <c r="GG71" s="2">
        <v>2</v>
      </c>
      <c r="GH71" s="2">
        <v>1</v>
      </c>
      <c r="GI71" s="2">
        <v>2</v>
      </c>
      <c r="GJ71" s="2">
        <v>0</v>
      </c>
      <c r="GK71" s="2">
        <v>0</v>
      </c>
      <c r="GL71" s="2">
        <f t="shared" si="61"/>
        <v>0</v>
      </c>
      <c r="GM71" s="2">
        <f t="shared" si="62"/>
        <v>1058.28</v>
      </c>
      <c r="GN71" s="2">
        <f t="shared" si="63"/>
        <v>1058.28</v>
      </c>
      <c r="GO71" s="2">
        <f t="shared" si="64"/>
        <v>0</v>
      </c>
      <c r="GP71" s="2">
        <f t="shared" si="65"/>
        <v>0</v>
      </c>
      <c r="GQ71" s="2"/>
      <c r="GR71" s="2">
        <v>0</v>
      </c>
      <c r="GS71" s="2">
        <v>3</v>
      </c>
      <c r="GT71" s="2">
        <v>0</v>
      </c>
      <c r="GU71" s="2" t="s">
        <v>3</v>
      </c>
      <c r="GV71" s="2">
        <f t="shared" si="66"/>
        <v>0</v>
      </c>
      <c r="GW71" s="2">
        <v>1</v>
      </c>
      <c r="GX71" s="2">
        <f t="shared" si="67"/>
        <v>0</v>
      </c>
      <c r="GY71" s="2"/>
      <c r="GZ71" s="2"/>
      <c r="HA71" s="2">
        <v>0</v>
      </c>
      <c r="HB71" s="2">
        <v>0</v>
      </c>
      <c r="HC71" s="2">
        <f t="shared" si="68"/>
        <v>0</v>
      </c>
      <c r="HD71" s="2"/>
      <c r="HE71" s="2" t="s">
        <v>3</v>
      </c>
      <c r="HF71" s="2" t="s">
        <v>3</v>
      </c>
      <c r="HG71" s="2"/>
      <c r="HH71" s="2"/>
      <c r="HI71" s="2"/>
      <c r="HJ71" s="2"/>
      <c r="HK71" s="2"/>
      <c r="HL71" s="2"/>
      <c r="HM71" s="2" t="s">
        <v>3</v>
      </c>
      <c r="HN71" s="2" t="s">
        <v>3</v>
      </c>
      <c r="HO71" s="2" t="s">
        <v>3</v>
      </c>
      <c r="HP71" s="2" t="s">
        <v>3</v>
      </c>
      <c r="HQ71" s="2" t="s">
        <v>3</v>
      </c>
      <c r="HR71" s="2"/>
      <c r="HS71" s="2">
        <v>0</v>
      </c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>
        <v>0</v>
      </c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5" x14ac:dyDescent="0.2">
      <c r="A72" s="2">
        <v>17</v>
      </c>
      <c r="B72" s="2">
        <v>1</v>
      </c>
      <c r="C72" s="2">
        <f>ROW(SmtRes!A29)</f>
        <v>29</v>
      </c>
      <c r="D72" s="2">
        <f>ROW(EtalonRes!A30)</f>
        <v>30</v>
      </c>
      <c r="E72" s="2" t="s">
        <v>132</v>
      </c>
      <c r="F72" s="2" t="s">
        <v>133</v>
      </c>
      <c r="G72" s="2" t="s">
        <v>134</v>
      </c>
      <c r="H72" s="2" t="s">
        <v>116</v>
      </c>
      <c r="I72" s="2">
        <f>ROUND(17/100,7)</f>
        <v>0.17</v>
      </c>
      <c r="J72" s="2">
        <v>0</v>
      </c>
      <c r="K72" s="2">
        <f>ROUND(17/100,7)</f>
        <v>0.17</v>
      </c>
      <c r="L72" s="2"/>
      <c r="M72" s="2"/>
      <c r="N72" s="2"/>
      <c r="O72" s="2">
        <f t="shared" si="50"/>
        <v>4892.7</v>
      </c>
      <c r="P72" s="2">
        <f>SUMIF(SmtRes!AQ15:'SmtRes'!AQ29,"=1",SmtRes!DF15:'SmtRes'!DF29)</f>
        <v>326.95000000000005</v>
      </c>
      <c r="Q72" s="2">
        <f>SUMIF(SmtRes!AQ15:'SmtRes'!AQ29,"=1",SmtRes!DG15:'SmtRes'!DG29)</f>
        <v>2334.0100000000002</v>
      </c>
      <c r="R72" s="2">
        <f>SUMIF(SmtRes!AQ15:'SmtRes'!AQ29,"=1",SmtRes!DH15:'SmtRes'!DH29)</f>
        <v>929.95</v>
      </c>
      <c r="S72" s="2">
        <f>SUMIF(SmtRes!AQ15:'SmtRes'!AQ29,"=1",SmtRes!DI15:'SmtRes'!DI29)</f>
        <v>1301.79</v>
      </c>
      <c r="T72" s="2">
        <f t="shared" si="51"/>
        <v>0</v>
      </c>
      <c r="U72" s="2">
        <f>SUMIF(SmtRes!AQ15:'SmtRes'!AQ29,"=1",SmtRes!CV15:'SmtRes'!CV29)</f>
        <v>3.4866999999999999</v>
      </c>
      <c r="V72" s="2">
        <f>SUMIF(SmtRes!AQ15:'SmtRes'!AQ29,"=1",SmtRes!CW15:'SmtRes'!CW29)</f>
        <v>2.0331999999999999</v>
      </c>
      <c r="W72" s="2">
        <f t="shared" si="52"/>
        <v>0</v>
      </c>
      <c r="X72" s="2">
        <f t="shared" si="53"/>
        <v>2611.14</v>
      </c>
      <c r="Y72" s="2">
        <f t="shared" si="54"/>
        <v>1651.49</v>
      </c>
      <c r="Z72" s="2"/>
      <c r="AA72" s="2">
        <v>73953415</v>
      </c>
      <c r="AB72" s="2">
        <f t="shared" si="55"/>
        <v>20759.782739999999</v>
      </c>
      <c r="AC72" s="2">
        <f>ROUND((SUM(SmtRes!BQ15:'SmtRes'!BQ29)),6)</f>
        <v>1420.63104</v>
      </c>
      <c r="AD72" s="2">
        <f>ROUND((((SUM(SmtRes!BR15:'SmtRes'!BR29))-(SUM(SmtRes!BS15:'SmtRes'!BS29)))+AE72),6)</f>
        <v>11681.5381</v>
      </c>
      <c r="AE72" s="2">
        <f>ROUND((SUM(SmtRes!BS15:'SmtRes'!BS29)),6)</f>
        <v>5470.2960000000003</v>
      </c>
      <c r="AF72" s="2">
        <f>ROUND((SUM(SmtRes!BT15:'SmtRes'!BT29)),6)</f>
        <v>7657.6135999999997</v>
      </c>
      <c r="AG72" s="2">
        <f t="shared" si="56"/>
        <v>0</v>
      </c>
      <c r="AH72" s="2">
        <f>(SUM(SmtRes!BU15:'SmtRes'!BU29))</f>
        <v>20.51</v>
      </c>
      <c r="AI72" s="2">
        <f>(SUM(SmtRes!BV15:'SmtRes'!BV29))</f>
        <v>11.959999999999999</v>
      </c>
      <c r="AJ72" s="2">
        <f t="shared" si="57"/>
        <v>0</v>
      </c>
      <c r="AK72" s="2">
        <v>26230.078739599998</v>
      </c>
      <c r="AL72" s="2">
        <v>1420.6310395999999</v>
      </c>
      <c r="AM72" s="2">
        <v>11681.5381</v>
      </c>
      <c r="AN72" s="2">
        <v>5470.2959999999994</v>
      </c>
      <c r="AO72" s="2">
        <v>7657.6136000000006</v>
      </c>
      <c r="AP72" s="2">
        <v>0</v>
      </c>
      <c r="AQ72" s="2">
        <v>20.51</v>
      </c>
      <c r="AR72" s="2">
        <v>11.959999999999999</v>
      </c>
      <c r="AS72" s="2">
        <v>0</v>
      </c>
      <c r="AT72" s="2">
        <v>117</v>
      </c>
      <c r="AU72" s="2">
        <v>74</v>
      </c>
      <c r="AV72" s="2">
        <v>1</v>
      </c>
      <c r="AW72" s="2">
        <v>1</v>
      </c>
      <c r="AX72" s="2"/>
      <c r="AY72" s="2"/>
      <c r="AZ72" s="2">
        <v>1</v>
      </c>
      <c r="BA72" s="2">
        <v>1</v>
      </c>
      <c r="BB72" s="2">
        <v>1</v>
      </c>
      <c r="BC72" s="2">
        <v>1</v>
      </c>
      <c r="BD72" s="2" t="s">
        <v>3</v>
      </c>
      <c r="BE72" s="2" t="s">
        <v>3</v>
      </c>
      <c r="BF72" s="2" t="s">
        <v>3</v>
      </c>
      <c r="BG72" s="2" t="s">
        <v>3</v>
      </c>
      <c r="BH72" s="2">
        <v>0</v>
      </c>
      <c r="BI72" s="2">
        <v>1</v>
      </c>
      <c r="BJ72" s="2" t="s">
        <v>135</v>
      </c>
      <c r="BK72" s="2"/>
      <c r="BL72" s="2"/>
      <c r="BM72" s="2">
        <v>24001</v>
      </c>
      <c r="BN72" s="2">
        <v>0</v>
      </c>
      <c r="BO72" s="2" t="s">
        <v>3</v>
      </c>
      <c r="BP72" s="2">
        <v>0</v>
      </c>
      <c r="BQ72" s="2">
        <v>2</v>
      </c>
      <c r="BR72" s="2">
        <v>0</v>
      </c>
      <c r="BS72" s="2">
        <v>1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 t="s">
        <v>3</v>
      </c>
      <c r="BZ72" s="2">
        <v>117</v>
      </c>
      <c r="CA72" s="2">
        <v>74</v>
      </c>
      <c r="CB72" s="2" t="s">
        <v>3</v>
      </c>
      <c r="CC72" s="2"/>
      <c r="CD72" s="2"/>
      <c r="CE72" s="2">
        <v>0</v>
      </c>
      <c r="CF72" s="2">
        <v>0</v>
      </c>
      <c r="CG72" s="2">
        <v>0</v>
      </c>
      <c r="CH72" s="2"/>
      <c r="CI72" s="2"/>
      <c r="CJ72" s="2"/>
      <c r="CK72" s="2"/>
      <c r="CL72" s="2"/>
      <c r="CM72" s="2">
        <v>0</v>
      </c>
      <c r="CN72" s="2" t="s">
        <v>3</v>
      </c>
      <c r="CO72" s="2">
        <v>0</v>
      </c>
      <c r="CP72" s="2">
        <f t="shared" si="58"/>
        <v>4892.7</v>
      </c>
      <c r="CQ72" s="2">
        <f>SUMIF(SmtRes!AQ15:'SmtRes'!AQ29,"=1",SmtRes!AA15:'SmtRes'!AA29)</f>
        <v>867589.44</v>
      </c>
      <c r="CR72" s="2">
        <f>SUMIF(SmtRes!AQ15:'SmtRes'!AQ29,"=1",SmtRes!AB15:'SmtRes'!AB29)</f>
        <v>1640.6100000000001</v>
      </c>
      <c r="CS72" s="2">
        <f>SUMIF(SmtRes!AQ15:'SmtRes'!AQ29,"=1",SmtRes!AC15:'SmtRes'!AC29)</f>
        <v>860.22</v>
      </c>
      <c r="CT72" s="2">
        <f>SUMIF(SmtRes!AQ15:'SmtRes'!AQ29,"=1",SmtRes!AD15:'SmtRes'!AD29)</f>
        <v>373.36</v>
      </c>
      <c r="CU72" s="2">
        <f t="shared" si="59"/>
        <v>0</v>
      </c>
      <c r="CV72" s="2">
        <f>SUMIF(SmtRes!AQ15:'SmtRes'!AQ29,"=1",SmtRes!BU15:'SmtRes'!BU29)</f>
        <v>20.51</v>
      </c>
      <c r="CW72" s="2">
        <f>SUMIF(SmtRes!AQ15:'SmtRes'!AQ29,"=1",SmtRes!BV15:'SmtRes'!BV29)</f>
        <v>11.959999999999999</v>
      </c>
      <c r="CX72" s="2">
        <f t="shared" si="60"/>
        <v>0</v>
      </c>
      <c r="CY72" s="2">
        <f t="shared" ref="CY72:CY79" si="69">(((S72+R72)*AT72)/100)</f>
        <v>2611.1358</v>
      </c>
      <c r="CZ72" s="2">
        <f t="shared" ref="CZ72:CZ79" si="70">(((S72+R72)*AU72)/100)</f>
        <v>1651.4875999999997</v>
      </c>
      <c r="DA72" s="2"/>
      <c r="DB72" s="2"/>
      <c r="DC72" s="2" t="s">
        <v>3</v>
      </c>
      <c r="DD72" s="2" t="s">
        <v>3</v>
      </c>
      <c r="DE72" s="2" t="s">
        <v>3</v>
      </c>
      <c r="DF72" s="2" t="s">
        <v>3</v>
      </c>
      <c r="DG72" s="2" t="s">
        <v>3</v>
      </c>
      <c r="DH72" s="2" t="s">
        <v>3</v>
      </c>
      <c r="DI72" s="2" t="s">
        <v>3</v>
      </c>
      <c r="DJ72" s="2" t="s">
        <v>3</v>
      </c>
      <c r="DK72" s="2" t="s">
        <v>3</v>
      </c>
      <c r="DL72" s="2" t="s">
        <v>3</v>
      </c>
      <c r="DM72" s="2" t="s">
        <v>3</v>
      </c>
      <c r="DN72" s="2">
        <v>0</v>
      </c>
      <c r="DO72" s="2">
        <v>0</v>
      </c>
      <c r="DP72" s="2">
        <v>1</v>
      </c>
      <c r="DQ72" s="2">
        <v>1</v>
      </c>
      <c r="DR72" s="2"/>
      <c r="DS72" s="2"/>
      <c r="DT72" s="2"/>
      <c r="DU72" s="2">
        <v>1003</v>
      </c>
      <c r="DV72" s="2" t="s">
        <v>116</v>
      </c>
      <c r="DW72" s="2" t="s">
        <v>116</v>
      </c>
      <c r="DX72" s="2">
        <v>100</v>
      </c>
      <c r="DY72" s="2"/>
      <c r="DZ72" s="2" t="s">
        <v>3</v>
      </c>
      <c r="EA72" s="2" t="s">
        <v>3</v>
      </c>
      <c r="EB72" s="2" t="s">
        <v>3</v>
      </c>
      <c r="EC72" s="2" t="s">
        <v>3</v>
      </c>
      <c r="ED72" s="2"/>
      <c r="EE72" s="2">
        <v>72340632</v>
      </c>
      <c r="EF72" s="2">
        <v>2</v>
      </c>
      <c r="EG72" s="2" t="s">
        <v>23</v>
      </c>
      <c r="EH72" s="2">
        <v>18</v>
      </c>
      <c r="EI72" s="2" t="s">
        <v>41</v>
      </c>
      <c r="EJ72" s="2">
        <v>1</v>
      </c>
      <c r="EK72" s="2">
        <v>24001</v>
      </c>
      <c r="EL72" s="2" t="s">
        <v>41</v>
      </c>
      <c r="EM72" s="2" t="s">
        <v>118</v>
      </c>
      <c r="EN72" s="2"/>
      <c r="EO72" s="2" t="s">
        <v>3</v>
      </c>
      <c r="EP72" s="2"/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20.51</v>
      </c>
      <c r="EX72" s="2">
        <v>11.96</v>
      </c>
      <c r="EY72" s="2">
        <v>0</v>
      </c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>
        <v>0</v>
      </c>
      <c r="FR72" s="2">
        <v>0</v>
      </c>
      <c r="FS72" s="2">
        <v>0</v>
      </c>
      <c r="FT72" s="2"/>
      <c r="FU72" s="2"/>
      <c r="FV72" s="2"/>
      <c r="FW72" s="2"/>
      <c r="FX72" s="2">
        <v>117</v>
      </c>
      <c r="FY72" s="2">
        <v>74</v>
      </c>
      <c r="FZ72" s="2"/>
      <c r="GA72" s="2" t="s">
        <v>3</v>
      </c>
      <c r="GB72" s="2"/>
      <c r="GC72" s="2"/>
      <c r="GD72" s="2">
        <v>1</v>
      </c>
      <c r="GE72" s="2"/>
      <c r="GF72" s="2">
        <v>-46601497</v>
      </c>
      <c r="GG72" s="2">
        <v>2</v>
      </c>
      <c r="GH72" s="2">
        <v>1</v>
      </c>
      <c r="GI72" s="2">
        <v>-2</v>
      </c>
      <c r="GJ72" s="2">
        <v>0</v>
      </c>
      <c r="GK72" s="2">
        <v>0</v>
      </c>
      <c r="GL72" s="2">
        <f t="shared" si="61"/>
        <v>0</v>
      </c>
      <c r="GM72" s="2">
        <f t="shared" si="62"/>
        <v>9155.33</v>
      </c>
      <c r="GN72" s="2">
        <f t="shared" si="63"/>
        <v>9155.33</v>
      </c>
      <c r="GO72" s="2">
        <f t="shared" si="64"/>
        <v>0</v>
      </c>
      <c r="GP72" s="2">
        <f t="shared" si="65"/>
        <v>0</v>
      </c>
      <c r="GQ72" s="2"/>
      <c r="GR72" s="2">
        <v>0</v>
      </c>
      <c r="GS72" s="2">
        <v>3</v>
      </c>
      <c r="GT72" s="2">
        <v>0</v>
      </c>
      <c r="GU72" s="2" t="s">
        <v>3</v>
      </c>
      <c r="GV72" s="2">
        <f t="shared" si="66"/>
        <v>0</v>
      </c>
      <c r="GW72" s="2">
        <v>1</v>
      </c>
      <c r="GX72" s="2">
        <f t="shared" si="67"/>
        <v>0</v>
      </c>
      <c r="GY72" s="2"/>
      <c r="GZ72" s="2"/>
      <c r="HA72" s="2">
        <v>0</v>
      </c>
      <c r="HB72" s="2">
        <v>0</v>
      </c>
      <c r="HC72" s="2">
        <f t="shared" si="68"/>
        <v>0</v>
      </c>
      <c r="HD72" s="2"/>
      <c r="HE72" s="2" t="s">
        <v>3</v>
      </c>
      <c r="HF72" s="2" t="s">
        <v>3</v>
      </c>
      <c r="HG72" s="2"/>
      <c r="HH72" s="2"/>
      <c r="HI72" s="2"/>
      <c r="HJ72" s="2"/>
      <c r="HK72" s="2"/>
      <c r="HL72" s="2"/>
      <c r="HM72" s="2" t="s">
        <v>3</v>
      </c>
      <c r="HN72" s="2" t="s">
        <v>43</v>
      </c>
      <c r="HO72" s="2" t="s">
        <v>44</v>
      </c>
      <c r="HP72" s="2" t="s">
        <v>41</v>
      </c>
      <c r="HQ72" s="2" t="s">
        <v>41</v>
      </c>
      <c r="HR72" s="2"/>
      <c r="HS72" s="2">
        <v>0</v>
      </c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>
        <v>0</v>
      </c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 x14ac:dyDescent="0.2">
      <c r="A73" s="2">
        <v>18</v>
      </c>
      <c r="B73" s="2">
        <v>1</v>
      </c>
      <c r="C73" s="2">
        <v>29</v>
      </c>
      <c r="D73" s="2"/>
      <c r="E73" s="2" t="s">
        <v>136</v>
      </c>
      <c r="F73" s="2" t="s">
        <v>137</v>
      </c>
      <c r="G73" s="2" t="s">
        <v>138</v>
      </c>
      <c r="H73" s="2" t="s">
        <v>122</v>
      </c>
      <c r="I73" s="2">
        <f>I72*J73</f>
        <v>17</v>
      </c>
      <c r="J73" s="2">
        <v>99.999999999999986</v>
      </c>
      <c r="K73" s="2">
        <v>100</v>
      </c>
      <c r="L73" s="2"/>
      <c r="M73" s="2"/>
      <c r="N73" s="2"/>
      <c r="O73" s="2">
        <f t="shared" si="50"/>
        <v>3417.85</v>
      </c>
      <c r="P73" s="2">
        <f>ROUND(CQ73*I73,2)</f>
        <v>3417.85</v>
      </c>
      <c r="Q73" s="2">
        <f>ROUND(CR73*I73,2)</f>
        <v>0</v>
      </c>
      <c r="R73" s="2">
        <f>ROUND(CS73*I73,2)</f>
        <v>0</v>
      </c>
      <c r="S73" s="2">
        <f>ROUND(CT73*I73,2)</f>
        <v>0</v>
      </c>
      <c r="T73" s="2">
        <f t="shared" si="51"/>
        <v>0</v>
      </c>
      <c r="U73" s="2">
        <f>ROUND(CV73*I73,7)</f>
        <v>0</v>
      </c>
      <c r="V73" s="2">
        <f>ROUND(CW73*I73,7)</f>
        <v>0</v>
      </c>
      <c r="W73" s="2">
        <f t="shared" si="52"/>
        <v>0</v>
      </c>
      <c r="X73" s="2">
        <f t="shared" si="53"/>
        <v>0</v>
      </c>
      <c r="Y73" s="2">
        <f t="shared" si="54"/>
        <v>0</v>
      </c>
      <c r="Z73" s="2"/>
      <c r="AA73" s="2">
        <v>73953415</v>
      </c>
      <c r="AB73" s="2">
        <f t="shared" si="55"/>
        <v>201.05</v>
      </c>
      <c r="AC73" s="2">
        <f>ROUND((ES73),6)</f>
        <v>201.05</v>
      </c>
      <c r="AD73" s="2">
        <f>ROUND((((ET73)-(EU73))+AE73),6)</f>
        <v>0</v>
      </c>
      <c r="AE73" s="2">
        <f>ROUND((EU73),6)</f>
        <v>0</v>
      </c>
      <c r="AF73" s="2">
        <f>ROUND((EV73),6)</f>
        <v>0</v>
      </c>
      <c r="AG73" s="2">
        <f t="shared" si="56"/>
        <v>0</v>
      </c>
      <c r="AH73" s="2">
        <f>(EW73)</f>
        <v>0</v>
      </c>
      <c r="AI73" s="2">
        <f>(EX73)</f>
        <v>0</v>
      </c>
      <c r="AJ73" s="2">
        <f t="shared" si="57"/>
        <v>0</v>
      </c>
      <c r="AK73" s="2">
        <v>201.05</v>
      </c>
      <c r="AL73" s="2">
        <v>201.05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117</v>
      </c>
      <c r="AU73" s="2">
        <v>74</v>
      </c>
      <c r="AV73" s="2">
        <v>1</v>
      </c>
      <c r="AW73" s="2">
        <v>1</v>
      </c>
      <c r="AX73" s="2"/>
      <c r="AY73" s="2"/>
      <c r="AZ73" s="2">
        <v>1</v>
      </c>
      <c r="BA73" s="2">
        <v>1</v>
      </c>
      <c r="BB73" s="2">
        <v>1</v>
      </c>
      <c r="BC73" s="2">
        <v>1</v>
      </c>
      <c r="BD73" s="2" t="s">
        <v>3</v>
      </c>
      <c r="BE73" s="2" t="s">
        <v>3</v>
      </c>
      <c r="BF73" s="2" t="s">
        <v>3</v>
      </c>
      <c r="BG73" s="2" t="s">
        <v>3</v>
      </c>
      <c r="BH73" s="2">
        <v>3</v>
      </c>
      <c r="BI73" s="2">
        <v>1</v>
      </c>
      <c r="BJ73" s="2" t="s">
        <v>139</v>
      </c>
      <c r="BK73" s="2"/>
      <c r="BL73" s="2"/>
      <c r="BM73" s="2">
        <v>24001</v>
      </c>
      <c r="BN73" s="2">
        <v>0</v>
      </c>
      <c r="BO73" s="2" t="s">
        <v>3</v>
      </c>
      <c r="BP73" s="2">
        <v>0</v>
      </c>
      <c r="BQ73" s="2">
        <v>2</v>
      </c>
      <c r="BR73" s="2">
        <v>0</v>
      </c>
      <c r="BS73" s="2">
        <v>1</v>
      </c>
      <c r="BT73" s="2">
        <v>1</v>
      </c>
      <c r="BU73" s="2">
        <v>1</v>
      </c>
      <c r="BV73" s="2">
        <v>1</v>
      </c>
      <c r="BW73" s="2">
        <v>1</v>
      </c>
      <c r="BX73" s="2">
        <v>1</v>
      </c>
      <c r="BY73" s="2" t="s">
        <v>3</v>
      </c>
      <c r="BZ73" s="2">
        <v>117</v>
      </c>
      <c r="CA73" s="2">
        <v>74</v>
      </c>
      <c r="CB73" s="2" t="s">
        <v>3</v>
      </c>
      <c r="CC73" s="2"/>
      <c r="CD73" s="2"/>
      <c r="CE73" s="2">
        <v>0</v>
      </c>
      <c r="CF73" s="2">
        <v>0</v>
      </c>
      <c r="CG73" s="2">
        <v>0</v>
      </c>
      <c r="CH73" s="2"/>
      <c r="CI73" s="2"/>
      <c r="CJ73" s="2"/>
      <c r="CK73" s="2"/>
      <c r="CL73" s="2"/>
      <c r="CM73" s="2">
        <v>0</v>
      </c>
      <c r="CN73" s="2" t="s">
        <v>3</v>
      </c>
      <c r="CO73" s="2">
        <v>0</v>
      </c>
      <c r="CP73" s="2">
        <f t="shared" si="58"/>
        <v>3417.85</v>
      </c>
      <c r="CQ73" s="2">
        <f>ROUND(AL73*BC73,2)</f>
        <v>201.05</v>
      </c>
      <c r="CR73" s="2">
        <f>ROUND(AM73*BB73,2)</f>
        <v>0</v>
      </c>
      <c r="CS73" s="2">
        <f>ROUND(AN73*BS73,2)</f>
        <v>0</v>
      </c>
      <c r="CT73" s="2">
        <f>ROUND(AO73*BA73,2)</f>
        <v>0</v>
      </c>
      <c r="CU73" s="2">
        <f t="shared" si="59"/>
        <v>0</v>
      </c>
      <c r="CV73" s="2">
        <f>AH73</f>
        <v>0</v>
      </c>
      <c r="CW73" s="2">
        <f>AI73</f>
        <v>0</v>
      </c>
      <c r="CX73" s="2">
        <f t="shared" si="60"/>
        <v>0</v>
      </c>
      <c r="CY73" s="2">
        <f t="shared" si="69"/>
        <v>0</v>
      </c>
      <c r="CZ73" s="2">
        <f t="shared" si="70"/>
        <v>0</v>
      </c>
      <c r="DA73" s="2"/>
      <c r="DB73" s="2"/>
      <c r="DC73" s="2" t="s">
        <v>3</v>
      </c>
      <c r="DD73" s="2" t="s">
        <v>3</v>
      </c>
      <c r="DE73" s="2" t="s">
        <v>3</v>
      </c>
      <c r="DF73" s="2" t="s">
        <v>3</v>
      </c>
      <c r="DG73" s="2" t="s">
        <v>3</v>
      </c>
      <c r="DH73" s="2" t="s">
        <v>3</v>
      </c>
      <c r="DI73" s="2" t="s">
        <v>3</v>
      </c>
      <c r="DJ73" s="2" t="s">
        <v>3</v>
      </c>
      <c r="DK73" s="2" t="s">
        <v>3</v>
      </c>
      <c r="DL73" s="2" t="s">
        <v>3</v>
      </c>
      <c r="DM73" s="2" t="s">
        <v>3</v>
      </c>
      <c r="DN73" s="2">
        <v>0</v>
      </c>
      <c r="DO73" s="2">
        <v>0</v>
      </c>
      <c r="DP73" s="2">
        <v>1</v>
      </c>
      <c r="DQ73" s="2">
        <v>1</v>
      </c>
      <c r="DR73" s="2"/>
      <c r="DS73" s="2"/>
      <c r="DT73" s="2"/>
      <c r="DU73" s="2">
        <v>1003</v>
      </c>
      <c r="DV73" s="2" t="s">
        <v>122</v>
      </c>
      <c r="DW73" s="2" t="s">
        <v>122</v>
      </c>
      <c r="DX73" s="2">
        <v>1</v>
      </c>
      <c r="DY73" s="2"/>
      <c r="DZ73" s="2" t="s">
        <v>3</v>
      </c>
      <c r="EA73" s="2" t="s">
        <v>3</v>
      </c>
      <c r="EB73" s="2" t="s">
        <v>3</v>
      </c>
      <c r="EC73" s="2" t="s">
        <v>3</v>
      </c>
      <c r="ED73" s="2"/>
      <c r="EE73" s="2">
        <v>72340632</v>
      </c>
      <c r="EF73" s="2">
        <v>2</v>
      </c>
      <c r="EG73" s="2" t="s">
        <v>23</v>
      </c>
      <c r="EH73" s="2">
        <v>18</v>
      </c>
      <c r="EI73" s="2" t="s">
        <v>41</v>
      </c>
      <c r="EJ73" s="2">
        <v>1</v>
      </c>
      <c r="EK73" s="2">
        <v>24001</v>
      </c>
      <c r="EL73" s="2" t="s">
        <v>41</v>
      </c>
      <c r="EM73" s="2" t="s">
        <v>118</v>
      </c>
      <c r="EN73" s="2"/>
      <c r="EO73" s="2" t="s">
        <v>3</v>
      </c>
      <c r="EP73" s="2"/>
      <c r="EQ73" s="2">
        <v>0</v>
      </c>
      <c r="ER73" s="2">
        <v>201.05</v>
      </c>
      <c r="ES73" s="2">
        <v>201.05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>
        <v>0</v>
      </c>
      <c r="FR73" s="2">
        <v>0</v>
      </c>
      <c r="FS73" s="2">
        <v>0</v>
      </c>
      <c r="FT73" s="2"/>
      <c r="FU73" s="2"/>
      <c r="FV73" s="2"/>
      <c r="FW73" s="2"/>
      <c r="FX73" s="2">
        <v>117</v>
      </c>
      <c r="FY73" s="2">
        <v>74</v>
      </c>
      <c r="FZ73" s="2"/>
      <c r="GA73" s="2" t="s">
        <v>3</v>
      </c>
      <c r="GB73" s="2"/>
      <c r="GC73" s="2"/>
      <c r="GD73" s="2">
        <v>1</v>
      </c>
      <c r="GE73" s="2">
        <v>225.92</v>
      </c>
      <c r="GF73" s="2">
        <v>918212004</v>
      </c>
      <c r="GG73" s="2">
        <v>2</v>
      </c>
      <c r="GH73" s="2">
        <v>1</v>
      </c>
      <c r="GI73" s="2">
        <v>-2</v>
      </c>
      <c r="GJ73" s="2">
        <v>0</v>
      </c>
      <c r="GK73" s="2">
        <v>0</v>
      </c>
      <c r="GL73" s="2">
        <f t="shared" si="61"/>
        <v>0</v>
      </c>
      <c r="GM73" s="2">
        <f t="shared" si="62"/>
        <v>3417.85</v>
      </c>
      <c r="GN73" s="2">
        <f t="shared" si="63"/>
        <v>3417.85</v>
      </c>
      <c r="GO73" s="2">
        <f t="shared" si="64"/>
        <v>0</v>
      </c>
      <c r="GP73" s="2">
        <f t="shared" si="65"/>
        <v>0</v>
      </c>
      <c r="GQ73" s="2"/>
      <c r="GR73" s="2">
        <v>3</v>
      </c>
      <c r="GS73" s="2">
        <v>3</v>
      </c>
      <c r="GT73" s="2">
        <v>0</v>
      </c>
      <c r="GU73" s="2" t="s">
        <v>3</v>
      </c>
      <c r="GV73" s="2">
        <f t="shared" si="66"/>
        <v>0</v>
      </c>
      <c r="GW73" s="2">
        <v>1</v>
      </c>
      <c r="GX73" s="2">
        <f t="shared" si="67"/>
        <v>0</v>
      </c>
      <c r="GY73" s="2"/>
      <c r="GZ73" s="2"/>
      <c r="HA73" s="2">
        <v>0</v>
      </c>
      <c r="HB73" s="2">
        <v>0</v>
      </c>
      <c r="HC73" s="2">
        <f t="shared" si="68"/>
        <v>0</v>
      </c>
      <c r="HD73" s="2"/>
      <c r="HE73" s="2" t="s">
        <v>3</v>
      </c>
      <c r="HF73" s="2" t="s">
        <v>3</v>
      </c>
      <c r="HG73" s="2"/>
      <c r="HH73" s="2"/>
      <c r="HI73" s="2"/>
      <c r="HJ73" s="2"/>
      <c r="HK73" s="2"/>
      <c r="HL73" s="2"/>
      <c r="HM73" s="2" t="s">
        <v>3</v>
      </c>
      <c r="HN73" s="2" t="s">
        <v>43</v>
      </c>
      <c r="HO73" s="2" t="s">
        <v>44</v>
      </c>
      <c r="HP73" s="2" t="s">
        <v>41</v>
      </c>
      <c r="HQ73" s="2" t="s">
        <v>41</v>
      </c>
      <c r="HR73" s="2"/>
      <c r="HS73" s="2">
        <v>0</v>
      </c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>
        <v>0</v>
      </c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 x14ac:dyDescent="0.2">
      <c r="A74" s="2">
        <v>17</v>
      </c>
      <c r="B74" s="2">
        <v>1</v>
      </c>
      <c r="C74" s="2">
        <f>ROW(SmtRes!A47)</f>
        <v>47</v>
      </c>
      <c r="D74" s="2">
        <f>ROW(EtalonRes!A48)</f>
        <v>48</v>
      </c>
      <c r="E74" s="2" t="s">
        <v>140</v>
      </c>
      <c r="F74" s="2" t="s">
        <v>141</v>
      </c>
      <c r="G74" s="2" t="s">
        <v>142</v>
      </c>
      <c r="H74" s="2" t="s">
        <v>116</v>
      </c>
      <c r="I74" s="2">
        <f>ROUND(17/100,7)</f>
        <v>0.17</v>
      </c>
      <c r="J74" s="2">
        <v>0</v>
      </c>
      <c r="K74" s="2">
        <f>ROUND(17/100,7)</f>
        <v>0.17</v>
      </c>
      <c r="L74" s="2"/>
      <c r="M74" s="2"/>
      <c r="N74" s="2"/>
      <c r="O74" s="2">
        <f t="shared" si="50"/>
        <v>3504.89</v>
      </c>
      <c r="P74" s="2">
        <f>SUMIF(SmtRes!AQ30:'SmtRes'!AQ47,"=1",SmtRes!DF30:'SmtRes'!DF47)</f>
        <v>274.39</v>
      </c>
      <c r="Q74" s="2">
        <f>SUMIF(SmtRes!AQ30:'SmtRes'!AQ47,"=1",SmtRes!DG30:'SmtRes'!DG47)</f>
        <v>1745.02</v>
      </c>
      <c r="R74" s="2">
        <f>SUMIF(SmtRes!AQ30:'SmtRes'!AQ47,"=1",SmtRes!DH30:'SmtRes'!DH47)</f>
        <v>393.93</v>
      </c>
      <c r="S74" s="2">
        <f>SUMIF(SmtRes!AQ30:'SmtRes'!AQ47,"=1",SmtRes!DI30:'SmtRes'!DI47)</f>
        <v>1091.55</v>
      </c>
      <c r="T74" s="2">
        <f t="shared" si="51"/>
        <v>0</v>
      </c>
      <c r="U74" s="2">
        <f>SUMIF(SmtRes!AQ30:'SmtRes'!AQ47,"=1",SmtRes!CV30:'SmtRes'!CV47)</f>
        <v>2.7896999999999998</v>
      </c>
      <c r="V74" s="2">
        <f>SUMIF(SmtRes!AQ30:'SmtRes'!AQ47,"=1",SmtRes!CW30:'SmtRes'!CW47)</f>
        <v>0.78539999999999999</v>
      </c>
      <c r="W74" s="2">
        <f t="shared" si="52"/>
        <v>0</v>
      </c>
      <c r="X74" s="2">
        <f t="shared" si="53"/>
        <v>1738.01</v>
      </c>
      <c r="Y74" s="2">
        <f t="shared" si="54"/>
        <v>1099.26</v>
      </c>
      <c r="Z74" s="2"/>
      <c r="AA74" s="2">
        <v>73953415</v>
      </c>
      <c r="AB74" s="2">
        <f t="shared" si="55"/>
        <v>16831.118999999999</v>
      </c>
      <c r="AC74" s="2">
        <f>ROUND((SUM(SmtRes!BQ30:'SmtRes'!BQ47)),6)</f>
        <v>1555.26</v>
      </c>
      <c r="AD74" s="2">
        <f>ROUND((((SUM(SmtRes!BR30:'SmtRes'!BR47))-(SUM(SmtRes!BS30:'SmtRes'!BS47)))+AE74),6)</f>
        <v>8854.9542000000001</v>
      </c>
      <c r="AE74" s="2">
        <f>ROUND((SUM(SmtRes!BS30:'SmtRes'!BS47)),6)</f>
        <v>2317.2262000000001</v>
      </c>
      <c r="AF74" s="2">
        <f>ROUND((SUM(SmtRes!BT30:'SmtRes'!BT47)),6)</f>
        <v>6420.9048000000003</v>
      </c>
      <c r="AG74" s="2">
        <f t="shared" si="56"/>
        <v>0</v>
      </c>
      <c r="AH74" s="2">
        <f>(SUM(SmtRes!BU30:'SmtRes'!BU47))</f>
        <v>16.41</v>
      </c>
      <c r="AI74" s="2">
        <f>(SUM(SmtRes!BV30:'SmtRes'!BV47))</f>
        <v>4.62</v>
      </c>
      <c r="AJ74" s="2">
        <f t="shared" si="57"/>
        <v>0</v>
      </c>
      <c r="AK74" s="2">
        <v>19148.345199999996</v>
      </c>
      <c r="AL74" s="2">
        <v>1555.26</v>
      </c>
      <c r="AM74" s="2">
        <v>8854.9541999999965</v>
      </c>
      <c r="AN74" s="2">
        <v>2317.2262000000001</v>
      </c>
      <c r="AO74" s="2">
        <v>6420.9047999999993</v>
      </c>
      <c r="AP74" s="2">
        <v>0</v>
      </c>
      <c r="AQ74" s="2">
        <v>16.41</v>
      </c>
      <c r="AR74" s="2">
        <v>4.62</v>
      </c>
      <c r="AS74" s="2">
        <v>0</v>
      </c>
      <c r="AT74" s="2">
        <v>117</v>
      </c>
      <c r="AU74" s="2">
        <v>74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1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0</v>
      </c>
      <c r="BI74" s="2">
        <v>1</v>
      </c>
      <c r="BJ74" s="2" t="s">
        <v>143</v>
      </c>
      <c r="BK74" s="2"/>
      <c r="BL74" s="2"/>
      <c r="BM74" s="2">
        <v>24001</v>
      </c>
      <c r="BN74" s="2">
        <v>0</v>
      </c>
      <c r="BO74" s="2" t="s">
        <v>3</v>
      </c>
      <c r="BP74" s="2">
        <v>0</v>
      </c>
      <c r="BQ74" s="2">
        <v>2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117</v>
      </c>
      <c r="CA74" s="2">
        <v>74</v>
      </c>
      <c r="CB74" s="2" t="s">
        <v>3</v>
      </c>
      <c r="CC74" s="2"/>
      <c r="CD74" s="2"/>
      <c r="CE74" s="2">
        <v>0</v>
      </c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58"/>
        <v>3504.89</v>
      </c>
      <c r="CQ74" s="2">
        <f>SUMIF(SmtRes!AQ30:'SmtRes'!AQ47,"=1",SmtRes!AA30:'SmtRes'!AA47)</f>
        <v>47955.1</v>
      </c>
      <c r="CR74" s="2">
        <f>SUMIF(SmtRes!AQ30:'SmtRes'!AQ47,"=1",SmtRes!AB30:'SmtRes'!AB47)</f>
        <v>5650.11</v>
      </c>
      <c r="CS74" s="2">
        <f>SUMIF(SmtRes!AQ30:'SmtRes'!AQ47,"=1",SmtRes!AC30:'SmtRes'!AC47)</f>
        <v>1397.8600000000001</v>
      </c>
      <c r="CT74" s="2">
        <f>SUMIF(SmtRes!AQ30:'SmtRes'!AQ47,"=1",SmtRes!AD30:'SmtRes'!AD47)</f>
        <v>391.28</v>
      </c>
      <c r="CU74" s="2">
        <f t="shared" si="59"/>
        <v>0</v>
      </c>
      <c r="CV74" s="2">
        <f>SUMIF(SmtRes!AQ30:'SmtRes'!AQ47,"=1",SmtRes!BU30:'SmtRes'!BU47)</f>
        <v>16.41</v>
      </c>
      <c r="CW74" s="2">
        <f>SUMIF(SmtRes!AQ30:'SmtRes'!AQ47,"=1",SmtRes!BV30:'SmtRes'!BV47)</f>
        <v>4.62</v>
      </c>
      <c r="CX74" s="2">
        <f t="shared" si="60"/>
        <v>0</v>
      </c>
      <c r="CY74" s="2">
        <f t="shared" si="69"/>
        <v>1738.0116</v>
      </c>
      <c r="CZ74" s="2">
        <f t="shared" si="70"/>
        <v>1099.2552000000001</v>
      </c>
      <c r="DA74" s="2"/>
      <c r="DB74" s="2"/>
      <c r="DC74" s="2" t="s">
        <v>3</v>
      </c>
      <c r="DD74" s="2" t="s">
        <v>3</v>
      </c>
      <c r="DE74" s="2" t="s">
        <v>3</v>
      </c>
      <c r="DF74" s="2" t="s">
        <v>3</v>
      </c>
      <c r="DG74" s="2" t="s">
        <v>3</v>
      </c>
      <c r="DH74" s="2" t="s">
        <v>3</v>
      </c>
      <c r="DI74" s="2" t="s">
        <v>3</v>
      </c>
      <c r="DJ74" s="2" t="s">
        <v>3</v>
      </c>
      <c r="DK74" s="2" t="s">
        <v>3</v>
      </c>
      <c r="DL74" s="2" t="s">
        <v>3</v>
      </c>
      <c r="DM74" s="2" t="s">
        <v>3</v>
      </c>
      <c r="DN74" s="2">
        <v>0</v>
      </c>
      <c r="DO74" s="2">
        <v>0</v>
      </c>
      <c r="DP74" s="2">
        <v>1</v>
      </c>
      <c r="DQ74" s="2">
        <v>1</v>
      </c>
      <c r="DR74" s="2"/>
      <c r="DS74" s="2"/>
      <c r="DT74" s="2"/>
      <c r="DU74" s="2">
        <v>1003</v>
      </c>
      <c r="DV74" s="2" t="s">
        <v>116</v>
      </c>
      <c r="DW74" s="2" t="s">
        <v>116</v>
      </c>
      <c r="DX74" s="2">
        <v>100</v>
      </c>
      <c r="DY74" s="2"/>
      <c r="DZ74" s="2" t="s">
        <v>3</v>
      </c>
      <c r="EA74" s="2" t="s">
        <v>3</v>
      </c>
      <c r="EB74" s="2" t="s">
        <v>3</v>
      </c>
      <c r="EC74" s="2" t="s">
        <v>3</v>
      </c>
      <c r="ED74" s="2"/>
      <c r="EE74" s="2">
        <v>72340632</v>
      </c>
      <c r="EF74" s="2">
        <v>2</v>
      </c>
      <c r="EG74" s="2" t="s">
        <v>23</v>
      </c>
      <c r="EH74" s="2">
        <v>18</v>
      </c>
      <c r="EI74" s="2" t="s">
        <v>41</v>
      </c>
      <c r="EJ74" s="2">
        <v>1</v>
      </c>
      <c r="EK74" s="2">
        <v>24001</v>
      </c>
      <c r="EL74" s="2" t="s">
        <v>41</v>
      </c>
      <c r="EM74" s="2" t="s">
        <v>118</v>
      </c>
      <c r="EN74" s="2"/>
      <c r="EO74" s="2" t="s">
        <v>3</v>
      </c>
      <c r="EP74" s="2"/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16.41</v>
      </c>
      <c r="EX74" s="2">
        <v>4.62</v>
      </c>
      <c r="EY74" s="2">
        <v>0</v>
      </c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v>0</v>
      </c>
      <c r="FS74" s="2">
        <v>0</v>
      </c>
      <c r="FT74" s="2"/>
      <c r="FU74" s="2"/>
      <c r="FV74" s="2"/>
      <c r="FW74" s="2"/>
      <c r="FX74" s="2">
        <v>117</v>
      </c>
      <c r="FY74" s="2">
        <v>74</v>
      </c>
      <c r="FZ74" s="2"/>
      <c r="GA74" s="2" t="s">
        <v>3</v>
      </c>
      <c r="GB74" s="2"/>
      <c r="GC74" s="2"/>
      <c r="GD74" s="2">
        <v>1</v>
      </c>
      <c r="GE74" s="2"/>
      <c r="GF74" s="2">
        <v>-1528835578</v>
      </c>
      <c r="GG74" s="2">
        <v>2</v>
      </c>
      <c r="GH74" s="2">
        <v>1</v>
      </c>
      <c r="GI74" s="2">
        <v>-2</v>
      </c>
      <c r="GJ74" s="2">
        <v>0</v>
      </c>
      <c r="GK74" s="2">
        <v>0</v>
      </c>
      <c r="GL74" s="2">
        <f t="shared" si="61"/>
        <v>0</v>
      </c>
      <c r="GM74" s="2">
        <f t="shared" si="62"/>
        <v>6342.16</v>
      </c>
      <c r="GN74" s="2">
        <f t="shared" si="63"/>
        <v>6342.16</v>
      </c>
      <c r="GO74" s="2">
        <f t="shared" si="64"/>
        <v>0</v>
      </c>
      <c r="GP74" s="2">
        <f t="shared" si="65"/>
        <v>0</v>
      </c>
      <c r="GQ74" s="2"/>
      <c r="GR74" s="2">
        <v>0</v>
      </c>
      <c r="GS74" s="2">
        <v>3</v>
      </c>
      <c r="GT74" s="2">
        <v>0</v>
      </c>
      <c r="GU74" s="2" t="s">
        <v>3</v>
      </c>
      <c r="GV74" s="2">
        <f t="shared" si="66"/>
        <v>0</v>
      </c>
      <c r="GW74" s="2">
        <v>1</v>
      </c>
      <c r="GX74" s="2">
        <f t="shared" si="67"/>
        <v>0</v>
      </c>
      <c r="GY74" s="2"/>
      <c r="GZ74" s="2"/>
      <c r="HA74" s="2">
        <v>0</v>
      </c>
      <c r="HB74" s="2">
        <v>0</v>
      </c>
      <c r="HC74" s="2">
        <f t="shared" si="68"/>
        <v>0</v>
      </c>
      <c r="HD74" s="2"/>
      <c r="HE74" s="2" t="s">
        <v>3</v>
      </c>
      <c r="HF74" s="2" t="s">
        <v>3</v>
      </c>
      <c r="HG74" s="2"/>
      <c r="HH74" s="2"/>
      <c r="HI74" s="2"/>
      <c r="HJ74" s="2"/>
      <c r="HK74" s="2"/>
      <c r="HL74" s="2"/>
      <c r="HM74" s="2" t="s">
        <v>3</v>
      </c>
      <c r="HN74" s="2" t="s">
        <v>43</v>
      </c>
      <c r="HO74" s="2" t="s">
        <v>44</v>
      </c>
      <c r="HP74" s="2" t="s">
        <v>41</v>
      </c>
      <c r="HQ74" s="2" t="s">
        <v>41</v>
      </c>
      <c r="HR74" s="2"/>
      <c r="HS74" s="2">
        <v>0</v>
      </c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x14ac:dyDescent="0.2">
      <c r="A75" s="2">
        <v>18</v>
      </c>
      <c r="B75" s="2">
        <v>1</v>
      </c>
      <c r="C75" s="2">
        <v>44</v>
      </c>
      <c r="D75" s="2"/>
      <c r="E75" s="2" t="s">
        <v>144</v>
      </c>
      <c r="F75" s="2" t="s">
        <v>145</v>
      </c>
      <c r="G75" s="2" t="s">
        <v>146</v>
      </c>
      <c r="H75" s="2" t="s">
        <v>48</v>
      </c>
      <c r="I75" s="2">
        <f>I74*J75</f>
        <v>9.8600000000000007E-2</v>
      </c>
      <c r="J75" s="2">
        <v>0.57999999999999996</v>
      </c>
      <c r="K75" s="2">
        <v>0.57999999999999996</v>
      </c>
      <c r="L75" s="2"/>
      <c r="M75" s="2"/>
      <c r="N75" s="2"/>
      <c r="O75" s="2">
        <f t="shared" si="50"/>
        <v>681.77</v>
      </c>
      <c r="P75" s="2">
        <f>ROUND(CQ75*I75,2)</f>
        <v>681.77</v>
      </c>
      <c r="Q75" s="2">
        <f>ROUND(CR75*I75,2)</f>
        <v>0</v>
      </c>
      <c r="R75" s="2">
        <f>ROUND(CS75*I75,2)</f>
        <v>0</v>
      </c>
      <c r="S75" s="2">
        <f>ROUND(CT75*I75,2)</f>
        <v>0</v>
      </c>
      <c r="T75" s="2">
        <f t="shared" si="51"/>
        <v>0</v>
      </c>
      <c r="U75" s="2">
        <f>ROUND(CV75*I75,7)</f>
        <v>0</v>
      </c>
      <c r="V75" s="2">
        <f>ROUND(CW75*I75,7)</f>
        <v>0</v>
      </c>
      <c r="W75" s="2">
        <f t="shared" si="52"/>
        <v>0</v>
      </c>
      <c r="X75" s="2">
        <f t="shared" si="53"/>
        <v>0</v>
      </c>
      <c r="Y75" s="2">
        <f t="shared" si="54"/>
        <v>0</v>
      </c>
      <c r="Z75" s="2"/>
      <c r="AA75" s="2">
        <v>73953415</v>
      </c>
      <c r="AB75" s="2">
        <f t="shared" si="55"/>
        <v>4768.6099999999997</v>
      </c>
      <c r="AC75" s="2">
        <f>ROUND((ES75),6)</f>
        <v>4768.6099999999997</v>
      </c>
      <c r="AD75" s="2">
        <f>ROUND((((ET75)-(EU75))+AE75),6)</f>
        <v>0</v>
      </c>
      <c r="AE75" s="2">
        <f>ROUND((EU75),6)</f>
        <v>0</v>
      </c>
      <c r="AF75" s="2">
        <f>ROUND((EV75),6)</f>
        <v>0</v>
      </c>
      <c r="AG75" s="2">
        <f t="shared" si="56"/>
        <v>0</v>
      </c>
      <c r="AH75" s="2">
        <f>(EW75)</f>
        <v>0</v>
      </c>
      <c r="AI75" s="2">
        <f>(EX75)</f>
        <v>0</v>
      </c>
      <c r="AJ75" s="2">
        <f t="shared" si="57"/>
        <v>0</v>
      </c>
      <c r="AK75" s="2">
        <v>4768.6099999999997</v>
      </c>
      <c r="AL75" s="2">
        <v>4768.6099999999997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117</v>
      </c>
      <c r="AU75" s="2">
        <v>74</v>
      </c>
      <c r="AV75" s="2">
        <v>1</v>
      </c>
      <c r="AW75" s="2">
        <v>1</v>
      </c>
      <c r="AX75" s="2"/>
      <c r="AY75" s="2"/>
      <c r="AZ75" s="2">
        <v>1</v>
      </c>
      <c r="BA75" s="2">
        <v>1</v>
      </c>
      <c r="BB75" s="2">
        <v>1</v>
      </c>
      <c r="BC75" s="2">
        <v>1.45</v>
      </c>
      <c r="BD75" s="2" t="s">
        <v>3</v>
      </c>
      <c r="BE75" s="2" t="s">
        <v>3</v>
      </c>
      <c r="BF75" s="2" t="s">
        <v>3</v>
      </c>
      <c r="BG75" s="2" t="s">
        <v>3</v>
      </c>
      <c r="BH75" s="2">
        <v>3</v>
      </c>
      <c r="BI75" s="2">
        <v>1</v>
      </c>
      <c r="BJ75" s="2" t="s">
        <v>147</v>
      </c>
      <c r="BK75" s="2"/>
      <c r="BL75" s="2"/>
      <c r="BM75" s="2">
        <v>24001</v>
      </c>
      <c r="BN75" s="2">
        <v>0</v>
      </c>
      <c r="BO75" s="2" t="s">
        <v>145</v>
      </c>
      <c r="BP75" s="2">
        <v>1</v>
      </c>
      <c r="BQ75" s="2">
        <v>2</v>
      </c>
      <c r="BR75" s="2">
        <v>0</v>
      </c>
      <c r="BS75" s="2">
        <v>1</v>
      </c>
      <c r="BT75" s="2">
        <v>1</v>
      </c>
      <c r="BU75" s="2">
        <v>1</v>
      </c>
      <c r="BV75" s="2">
        <v>1</v>
      </c>
      <c r="BW75" s="2">
        <v>1</v>
      </c>
      <c r="BX75" s="2">
        <v>1</v>
      </c>
      <c r="BY75" s="2" t="s">
        <v>3</v>
      </c>
      <c r="BZ75" s="2">
        <v>117</v>
      </c>
      <c r="CA75" s="2">
        <v>74</v>
      </c>
      <c r="CB75" s="2" t="s">
        <v>3</v>
      </c>
      <c r="CC75" s="2"/>
      <c r="CD75" s="2"/>
      <c r="CE75" s="2">
        <v>0</v>
      </c>
      <c r="CF75" s="2">
        <v>0</v>
      </c>
      <c r="CG75" s="2">
        <v>0</v>
      </c>
      <c r="CH75" s="2"/>
      <c r="CI75" s="2"/>
      <c r="CJ75" s="2"/>
      <c r="CK75" s="2"/>
      <c r="CL75" s="2"/>
      <c r="CM75" s="2">
        <v>0</v>
      </c>
      <c r="CN75" s="2" t="s">
        <v>3</v>
      </c>
      <c r="CO75" s="2">
        <v>0</v>
      </c>
      <c r="CP75" s="2">
        <f t="shared" si="58"/>
        <v>681.77</v>
      </c>
      <c r="CQ75" s="2">
        <f>ROUND(AL75*BC75,2)</f>
        <v>6914.48</v>
      </c>
      <c r="CR75" s="2">
        <f>ROUND(AM75*BB75,2)</f>
        <v>0</v>
      </c>
      <c r="CS75" s="2">
        <f>ROUND(AN75*BS75,2)</f>
        <v>0</v>
      </c>
      <c r="CT75" s="2">
        <f>ROUND(AO75*BA75,2)</f>
        <v>0</v>
      </c>
      <c r="CU75" s="2">
        <f t="shared" si="59"/>
        <v>0</v>
      </c>
      <c r="CV75" s="2">
        <f>AH75</f>
        <v>0</v>
      </c>
      <c r="CW75" s="2">
        <f>AI75</f>
        <v>0</v>
      </c>
      <c r="CX75" s="2">
        <f t="shared" si="60"/>
        <v>0</v>
      </c>
      <c r="CY75" s="2">
        <f t="shared" si="69"/>
        <v>0</v>
      </c>
      <c r="CZ75" s="2">
        <f t="shared" si="70"/>
        <v>0</v>
      </c>
      <c r="DA75" s="2"/>
      <c r="DB75" s="2"/>
      <c r="DC75" s="2" t="s">
        <v>3</v>
      </c>
      <c r="DD75" s="2" t="s">
        <v>3</v>
      </c>
      <c r="DE75" s="2" t="s">
        <v>3</v>
      </c>
      <c r="DF75" s="2" t="s">
        <v>3</v>
      </c>
      <c r="DG75" s="2" t="s">
        <v>3</v>
      </c>
      <c r="DH75" s="2" t="s">
        <v>3</v>
      </c>
      <c r="DI75" s="2" t="s">
        <v>3</v>
      </c>
      <c r="DJ75" s="2" t="s">
        <v>3</v>
      </c>
      <c r="DK75" s="2" t="s">
        <v>3</v>
      </c>
      <c r="DL75" s="2" t="s">
        <v>3</v>
      </c>
      <c r="DM75" s="2" t="s">
        <v>3</v>
      </c>
      <c r="DN75" s="2">
        <v>0</v>
      </c>
      <c r="DO75" s="2">
        <v>0</v>
      </c>
      <c r="DP75" s="2">
        <v>1</v>
      </c>
      <c r="DQ75" s="2">
        <v>1</v>
      </c>
      <c r="DR75" s="2"/>
      <c r="DS75" s="2"/>
      <c r="DT75" s="2"/>
      <c r="DU75" s="2">
        <v>1007</v>
      </c>
      <c r="DV75" s="2" t="s">
        <v>48</v>
      </c>
      <c r="DW75" s="2" t="s">
        <v>48</v>
      </c>
      <c r="DX75" s="2">
        <v>1</v>
      </c>
      <c r="DY75" s="2"/>
      <c r="DZ75" s="2" t="s">
        <v>3</v>
      </c>
      <c r="EA75" s="2" t="s">
        <v>3</v>
      </c>
      <c r="EB75" s="2" t="s">
        <v>3</v>
      </c>
      <c r="EC75" s="2" t="s">
        <v>3</v>
      </c>
      <c r="ED75" s="2"/>
      <c r="EE75" s="2">
        <v>72340632</v>
      </c>
      <c r="EF75" s="2">
        <v>2</v>
      </c>
      <c r="EG75" s="2" t="s">
        <v>23</v>
      </c>
      <c r="EH75" s="2">
        <v>18</v>
      </c>
      <c r="EI75" s="2" t="s">
        <v>41</v>
      </c>
      <c r="EJ75" s="2">
        <v>1</v>
      </c>
      <c r="EK75" s="2">
        <v>24001</v>
      </c>
      <c r="EL75" s="2" t="s">
        <v>41</v>
      </c>
      <c r="EM75" s="2" t="s">
        <v>118</v>
      </c>
      <c r="EN75" s="2"/>
      <c r="EO75" s="2" t="s">
        <v>3</v>
      </c>
      <c r="EP75" s="2"/>
      <c r="EQ75" s="2">
        <v>0</v>
      </c>
      <c r="ER75" s="2">
        <v>4768.6099999999997</v>
      </c>
      <c r="ES75" s="2">
        <v>4768.6099999999997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>
        <v>0</v>
      </c>
      <c r="FR75" s="2">
        <v>0</v>
      </c>
      <c r="FS75" s="2">
        <v>0</v>
      </c>
      <c r="FT75" s="2"/>
      <c r="FU75" s="2"/>
      <c r="FV75" s="2"/>
      <c r="FW75" s="2"/>
      <c r="FX75" s="2">
        <v>117</v>
      </c>
      <c r="FY75" s="2">
        <v>74</v>
      </c>
      <c r="FZ75" s="2"/>
      <c r="GA75" s="2" t="s">
        <v>3</v>
      </c>
      <c r="GB75" s="2"/>
      <c r="GC75" s="2"/>
      <c r="GD75" s="2">
        <v>1</v>
      </c>
      <c r="GE75" s="2"/>
      <c r="GF75" s="2">
        <v>1140672670</v>
      </c>
      <c r="GG75" s="2">
        <v>2</v>
      </c>
      <c r="GH75" s="2">
        <v>1</v>
      </c>
      <c r="GI75" s="2">
        <v>2</v>
      </c>
      <c r="GJ75" s="2">
        <v>0</v>
      </c>
      <c r="GK75" s="2">
        <v>0</v>
      </c>
      <c r="GL75" s="2">
        <f t="shared" si="61"/>
        <v>0</v>
      </c>
      <c r="GM75" s="2">
        <f t="shared" si="62"/>
        <v>681.77</v>
      </c>
      <c r="GN75" s="2">
        <f t="shared" si="63"/>
        <v>681.77</v>
      </c>
      <c r="GO75" s="2">
        <f t="shared" si="64"/>
        <v>0</v>
      </c>
      <c r="GP75" s="2">
        <f t="shared" si="65"/>
        <v>0</v>
      </c>
      <c r="GQ75" s="2"/>
      <c r="GR75" s="2">
        <v>0</v>
      </c>
      <c r="GS75" s="2">
        <v>3</v>
      </c>
      <c r="GT75" s="2">
        <v>0</v>
      </c>
      <c r="GU75" s="2" t="s">
        <v>3</v>
      </c>
      <c r="GV75" s="2">
        <f t="shared" si="66"/>
        <v>0</v>
      </c>
      <c r="GW75" s="2">
        <v>1</v>
      </c>
      <c r="GX75" s="2">
        <f t="shared" si="67"/>
        <v>0</v>
      </c>
      <c r="GY75" s="2"/>
      <c r="GZ75" s="2"/>
      <c r="HA75" s="2">
        <v>0</v>
      </c>
      <c r="HB75" s="2">
        <v>0</v>
      </c>
      <c r="HC75" s="2">
        <f t="shared" si="68"/>
        <v>0</v>
      </c>
      <c r="HD75" s="2"/>
      <c r="HE75" s="2" t="s">
        <v>3</v>
      </c>
      <c r="HF75" s="2" t="s">
        <v>3</v>
      </c>
      <c r="HG75" s="2"/>
      <c r="HH75" s="2"/>
      <c r="HI75" s="2"/>
      <c r="HJ75" s="2"/>
      <c r="HK75" s="2"/>
      <c r="HL75" s="2"/>
      <c r="HM75" s="2" t="s">
        <v>3</v>
      </c>
      <c r="HN75" s="2" t="s">
        <v>43</v>
      </c>
      <c r="HO75" s="2" t="s">
        <v>44</v>
      </c>
      <c r="HP75" s="2" t="s">
        <v>41</v>
      </c>
      <c r="HQ75" s="2" t="s">
        <v>41</v>
      </c>
      <c r="HR75" s="2"/>
      <c r="HS75" s="2">
        <v>0</v>
      </c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>
        <v>0</v>
      </c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 x14ac:dyDescent="0.2">
      <c r="A76" s="2">
        <v>18</v>
      </c>
      <c r="B76" s="2">
        <v>1</v>
      </c>
      <c r="C76" s="2">
        <v>47</v>
      </c>
      <c r="D76" s="2"/>
      <c r="E76" s="2" t="s">
        <v>148</v>
      </c>
      <c r="F76" s="2" t="s">
        <v>149</v>
      </c>
      <c r="G76" s="2" t="s">
        <v>150</v>
      </c>
      <c r="H76" s="2" t="s">
        <v>122</v>
      </c>
      <c r="I76" s="2">
        <f>I74*J76</f>
        <v>9</v>
      </c>
      <c r="J76" s="2">
        <v>52.941176470588232</v>
      </c>
      <c r="K76" s="2">
        <v>52.941176499999997</v>
      </c>
      <c r="L76" s="2"/>
      <c r="M76" s="2"/>
      <c r="N76" s="2"/>
      <c r="O76" s="2">
        <f t="shared" si="50"/>
        <v>1196.19</v>
      </c>
      <c r="P76" s="2">
        <f>ROUND(CQ76*I76,2)</f>
        <v>1196.19</v>
      </c>
      <c r="Q76" s="2">
        <f>ROUND(CR76*I76,2)</f>
        <v>0</v>
      </c>
      <c r="R76" s="2">
        <f>ROUND(CS76*I76,2)</f>
        <v>0</v>
      </c>
      <c r="S76" s="2">
        <f>ROUND(CT76*I76,2)</f>
        <v>0</v>
      </c>
      <c r="T76" s="2">
        <f t="shared" si="51"/>
        <v>0</v>
      </c>
      <c r="U76" s="2">
        <f>ROUND(CV76*I76,7)</f>
        <v>0</v>
      </c>
      <c r="V76" s="2">
        <f>ROUND(CW76*I76,7)</f>
        <v>0</v>
      </c>
      <c r="W76" s="2">
        <f t="shared" si="52"/>
        <v>0</v>
      </c>
      <c r="X76" s="2">
        <f t="shared" si="53"/>
        <v>0</v>
      </c>
      <c r="Y76" s="2">
        <f t="shared" si="54"/>
        <v>0</v>
      </c>
      <c r="Z76" s="2"/>
      <c r="AA76" s="2">
        <v>73953415</v>
      </c>
      <c r="AB76" s="2">
        <f t="shared" si="55"/>
        <v>151.03</v>
      </c>
      <c r="AC76" s="2">
        <f>ROUND((ES76),6)</f>
        <v>151.03</v>
      </c>
      <c r="AD76" s="2">
        <f>ROUND((((ET76)-(EU76))+AE76),6)</f>
        <v>0</v>
      </c>
      <c r="AE76" s="2">
        <f>ROUND((EU76),6)</f>
        <v>0</v>
      </c>
      <c r="AF76" s="2">
        <f>ROUND((EV76),6)</f>
        <v>0</v>
      </c>
      <c r="AG76" s="2">
        <f t="shared" si="56"/>
        <v>0</v>
      </c>
      <c r="AH76" s="2">
        <f>(EW76)</f>
        <v>0</v>
      </c>
      <c r="AI76" s="2">
        <f>(EX76)</f>
        <v>0</v>
      </c>
      <c r="AJ76" s="2">
        <f t="shared" si="57"/>
        <v>0</v>
      </c>
      <c r="AK76" s="2">
        <v>151.03</v>
      </c>
      <c r="AL76" s="2">
        <v>151.03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117</v>
      </c>
      <c r="AU76" s="2">
        <v>74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0.88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3</v>
      </c>
      <c r="BI76" s="2">
        <v>1</v>
      </c>
      <c r="BJ76" s="2" t="s">
        <v>151</v>
      </c>
      <c r="BK76" s="2"/>
      <c r="BL76" s="2"/>
      <c r="BM76" s="2">
        <v>24001</v>
      </c>
      <c r="BN76" s="2">
        <v>0</v>
      </c>
      <c r="BO76" s="2" t="s">
        <v>149</v>
      </c>
      <c r="BP76" s="2">
        <v>1</v>
      </c>
      <c r="BQ76" s="2">
        <v>2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117</v>
      </c>
      <c r="CA76" s="2">
        <v>74</v>
      </c>
      <c r="CB76" s="2" t="s">
        <v>3</v>
      </c>
      <c r="CC76" s="2"/>
      <c r="CD76" s="2"/>
      <c r="CE76" s="2">
        <v>0</v>
      </c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3</v>
      </c>
      <c r="CO76" s="2">
        <v>0</v>
      </c>
      <c r="CP76" s="2">
        <f t="shared" si="58"/>
        <v>1196.19</v>
      </c>
      <c r="CQ76" s="2">
        <f>ROUND(AL76*BC76,2)</f>
        <v>132.91</v>
      </c>
      <c r="CR76" s="2">
        <f>ROUND(AM76*BB76,2)</f>
        <v>0</v>
      </c>
      <c r="CS76" s="2">
        <f>ROUND(AN76*BS76,2)</f>
        <v>0</v>
      </c>
      <c r="CT76" s="2">
        <f>ROUND(AO76*BA76,2)</f>
        <v>0</v>
      </c>
      <c r="CU76" s="2">
        <f t="shared" si="59"/>
        <v>0</v>
      </c>
      <c r="CV76" s="2">
        <f>AH76</f>
        <v>0</v>
      </c>
      <c r="CW76" s="2">
        <f>AI76</f>
        <v>0</v>
      </c>
      <c r="CX76" s="2">
        <f t="shared" si="60"/>
        <v>0</v>
      </c>
      <c r="CY76" s="2">
        <f t="shared" si="69"/>
        <v>0</v>
      </c>
      <c r="CZ76" s="2">
        <f t="shared" si="70"/>
        <v>0</v>
      </c>
      <c r="DA76" s="2"/>
      <c r="DB76" s="2"/>
      <c r="DC76" s="2" t="s">
        <v>3</v>
      </c>
      <c r="DD76" s="2" t="s">
        <v>3</v>
      </c>
      <c r="DE76" s="2" t="s">
        <v>3</v>
      </c>
      <c r="DF76" s="2" t="s">
        <v>3</v>
      </c>
      <c r="DG76" s="2" t="s">
        <v>3</v>
      </c>
      <c r="DH76" s="2" t="s">
        <v>3</v>
      </c>
      <c r="DI76" s="2" t="s">
        <v>3</v>
      </c>
      <c r="DJ76" s="2" t="s">
        <v>3</v>
      </c>
      <c r="DK76" s="2" t="s">
        <v>3</v>
      </c>
      <c r="DL76" s="2" t="s">
        <v>3</v>
      </c>
      <c r="DM76" s="2" t="s">
        <v>3</v>
      </c>
      <c r="DN76" s="2">
        <v>0</v>
      </c>
      <c r="DO76" s="2">
        <v>0</v>
      </c>
      <c r="DP76" s="2">
        <v>1</v>
      </c>
      <c r="DQ76" s="2">
        <v>1</v>
      </c>
      <c r="DR76" s="2"/>
      <c r="DS76" s="2"/>
      <c r="DT76" s="2"/>
      <c r="DU76" s="2">
        <v>1003</v>
      </c>
      <c r="DV76" s="2" t="s">
        <v>122</v>
      </c>
      <c r="DW76" s="2" t="s">
        <v>122</v>
      </c>
      <c r="DX76" s="2">
        <v>1</v>
      </c>
      <c r="DY76" s="2"/>
      <c r="DZ76" s="2" t="s">
        <v>3</v>
      </c>
      <c r="EA76" s="2" t="s">
        <v>3</v>
      </c>
      <c r="EB76" s="2" t="s">
        <v>3</v>
      </c>
      <c r="EC76" s="2" t="s">
        <v>3</v>
      </c>
      <c r="ED76" s="2"/>
      <c r="EE76" s="2">
        <v>72340632</v>
      </c>
      <c r="EF76" s="2">
        <v>2</v>
      </c>
      <c r="EG76" s="2" t="s">
        <v>23</v>
      </c>
      <c r="EH76" s="2">
        <v>18</v>
      </c>
      <c r="EI76" s="2" t="s">
        <v>41</v>
      </c>
      <c r="EJ76" s="2">
        <v>1</v>
      </c>
      <c r="EK76" s="2">
        <v>24001</v>
      </c>
      <c r="EL76" s="2" t="s">
        <v>41</v>
      </c>
      <c r="EM76" s="2" t="s">
        <v>118</v>
      </c>
      <c r="EN76" s="2"/>
      <c r="EO76" s="2" t="s">
        <v>3</v>
      </c>
      <c r="EP76" s="2"/>
      <c r="EQ76" s="2">
        <v>0</v>
      </c>
      <c r="ER76" s="2">
        <v>151.03</v>
      </c>
      <c r="ES76" s="2">
        <v>151.03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v>0</v>
      </c>
      <c r="FS76" s="2">
        <v>0</v>
      </c>
      <c r="FT76" s="2"/>
      <c r="FU76" s="2"/>
      <c r="FV76" s="2"/>
      <c r="FW76" s="2"/>
      <c r="FX76" s="2">
        <v>117</v>
      </c>
      <c r="FY76" s="2">
        <v>74</v>
      </c>
      <c r="FZ76" s="2"/>
      <c r="GA76" s="2" t="s">
        <v>3</v>
      </c>
      <c r="GB76" s="2"/>
      <c r="GC76" s="2"/>
      <c r="GD76" s="2">
        <v>1</v>
      </c>
      <c r="GE76" s="2"/>
      <c r="GF76" s="2">
        <v>-2088083797</v>
      </c>
      <c r="GG76" s="2">
        <v>2</v>
      </c>
      <c r="GH76" s="2">
        <v>1</v>
      </c>
      <c r="GI76" s="2">
        <v>2</v>
      </c>
      <c r="GJ76" s="2">
        <v>0</v>
      </c>
      <c r="GK76" s="2">
        <v>0</v>
      </c>
      <c r="GL76" s="2">
        <f t="shared" si="61"/>
        <v>0</v>
      </c>
      <c r="GM76" s="2">
        <f t="shared" si="62"/>
        <v>1196.19</v>
      </c>
      <c r="GN76" s="2">
        <f t="shared" si="63"/>
        <v>1196.19</v>
      </c>
      <c r="GO76" s="2">
        <f t="shared" si="64"/>
        <v>0</v>
      </c>
      <c r="GP76" s="2">
        <f t="shared" si="65"/>
        <v>0</v>
      </c>
      <c r="GQ76" s="2"/>
      <c r="GR76" s="2">
        <v>0</v>
      </c>
      <c r="GS76" s="2">
        <v>3</v>
      </c>
      <c r="GT76" s="2">
        <v>0</v>
      </c>
      <c r="GU76" s="2" t="s">
        <v>3</v>
      </c>
      <c r="GV76" s="2">
        <f t="shared" si="66"/>
        <v>0</v>
      </c>
      <c r="GW76" s="2">
        <v>1</v>
      </c>
      <c r="GX76" s="2">
        <f t="shared" si="67"/>
        <v>0</v>
      </c>
      <c r="GY76" s="2"/>
      <c r="GZ76" s="2"/>
      <c r="HA76" s="2">
        <v>0</v>
      </c>
      <c r="HB76" s="2">
        <v>0</v>
      </c>
      <c r="HC76" s="2">
        <f t="shared" si="68"/>
        <v>0</v>
      </c>
      <c r="HD76" s="2"/>
      <c r="HE76" s="2" t="s">
        <v>3</v>
      </c>
      <c r="HF76" s="2" t="s">
        <v>3</v>
      </c>
      <c r="HG76" s="2"/>
      <c r="HH76" s="2"/>
      <c r="HI76" s="2"/>
      <c r="HJ76" s="2"/>
      <c r="HK76" s="2"/>
      <c r="HL76" s="2"/>
      <c r="HM76" s="2" t="s">
        <v>3</v>
      </c>
      <c r="HN76" s="2" t="s">
        <v>43</v>
      </c>
      <c r="HO76" s="2" t="s">
        <v>44</v>
      </c>
      <c r="HP76" s="2" t="s">
        <v>41</v>
      </c>
      <c r="HQ76" s="2" t="s">
        <v>41</v>
      </c>
      <c r="HR76" s="2"/>
      <c r="HS76" s="2">
        <v>0</v>
      </c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x14ac:dyDescent="0.2">
      <c r="A77" s="2">
        <v>17</v>
      </c>
      <c r="B77" s="2">
        <v>1</v>
      </c>
      <c r="C77" s="2">
        <f>ROW(SmtRes!A53)</f>
        <v>53</v>
      </c>
      <c r="D77" s="2">
        <f>ROW(EtalonRes!A54)</f>
        <v>54</v>
      </c>
      <c r="E77" s="2" t="s">
        <v>152</v>
      </c>
      <c r="F77" s="2" t="s">
        <v>153</v>
      </c>
      <c r="G77" s="2" t="s">
        <v>154</v>
      </c>
      <c r="H77" s="2" t="s">
        <v>155</v>
      </c>
      <c r="I77" s="2">
        <v>4</v>
      </c>
      <c r="J77" s="2">
        <v>0</v>
      </c>
      <c r="K77" s="2">
        <v>4</v>
      </c>
      <c r="L77" s="2"/>
      <c r="M77" s="2"/>
      <c r="N77" s="2"/>
      <c r="O77" s="2">
        <f t="shared" si="50"/>
        <v>592.27</v>
      </c>
      <c r="P77" s="2">
        <f>SUMIF(SmtRes!AQ48:'SmtRes'!AQ53,"=1",SmtRes!DF48:'SmtRes'!DF53)</f>
        <v>80.94</v>
      </c>
      <c r="Q77" s="2">
        <f>SUMIF(SmtRes!AQ48:'SmtRes'!AQ53,"=1",SmtRes!DG48:'SmtRes'!DG53)</f>
        <v>16.23</v>
      </c>
      <c r="R77" s="2">
        <f>SUMIF(SmtRes!AQ48:'SmtRes'!AQ53,"=1",SmtRes!DH48:'SmtRes'!DH53)</f>
        <v>0</v>
      </c>
      <c r="S77" s="2">
        <f>SUMIF(SmtRes!AQ48:'SmtRes'!AQ53,"=1",SmtRes!DI48:'SmtRes'!DI53)</f>
        <v>495.1</v>
      </c>
      <c r="T77" s="2">
        <f t="shared" si="51"/>
        <v>0</v>
      </c>
      <c r="U77" s="2">
        <f>SUMIF(SmtRes!AQ48:'SmtRes'!AQ53,"=1",SmtRes!CV48:'SmtRes'!CV53)</f>
        <v>1.28</v>
      </c>
      <c r="V77" s="2">
        <f>SUMIF(SmtRes!AQ48:'SmtRes'!AQ53,"=1",SmtRes!CW48:'SmtRes'!CW53)</f>
        <v>0</v>
      </c>
      <c r="W77" s="2">
        <f t="shared" si="52"/>
        <v>0</v>
      </c>
      <c r="X77" s="2">
        <f t="shared" si="53"/>
        <v>579.27</v>
      </c>
      <c r="Y77" s="2">
        <f t="shared" si="54"/>
        <v>366.37</v>
      </c>
      <c r="Z77" s="2"/>
      <c r="AA77" s="2">
        <v>73953415</v>
      </c>
      <c r="AB77" s="2">
        <f t="shared" si="55"/>
        <v>138.56631999999999</v>
      </c>
      <c r="AC77" s="2">
        <f>ROUND((SUM(SmtRes!BQ48:'SmtRes'!BQ53)),6)</f>
        <v>12.04842</v>
      </c>
      <c r="AD77" s="2">
        <f>ROUND((((SUM(SmtRes!BR48:'SmtRes'!BR53))-(0))+AE77),6)</f>
        <v>2.7418999999999998</v>
      </c>
      <c r="AE77" s="2">
        <f>ROUND((0),6)</f>
        <v>0</v>
      </c>
      <c r="AF77" s="2">
        <f>ROUND((SUM(SmtRes!BT48:'SmtRes'!BT53)),6)</f>
        <v>123.776</v>
      </c>
      <c r="AG77" s="2">
        <f t="shared" si="56"/>
        <v>0</v>
      </c>
      <c r="AH77" s="2">
        <f>(SUM(SmtRes!BU48:'SmtRes'!BU53))</f>
        <v>0.32</v>
      </c>
      <c r="AI77" s="2">
        <f>(0)</f>
        <v>0</v>
      </c>
      <c r="AJ77" s="2">
        <f t="shared" si="57"/>
        <v>0</v>
      </c>
      <c r="AK77" s="2">
        <v>138.56632000000002</v>
      </c>
      <c r="AL77" s="2">
        <v>12.04842</v>
      </c>
      <c r="AM77" s="2">
        <v>2.7419000000000002</v>
      </c>
      <c r="AN77" s="2">
        <v>0</v>
      </c>
      <c r="AO77" s="2">
        <v>123.77600000000001</v>
      </c>
      <c r="AP77" s="2">
        <v>0</v>
      </c>
      <c r="AQ77" s="2">
        <v>0.32</v>
      </c>
      <c r="AR77" s="2">
        <v>0</v>
      </c>
      <c r="AS77" s="2">
        <v>0</v>
      </c>
      <c r="AT77" s="2">
        <v>117</v>
      </c>
      <c r="AU77" s="2">
        <v>74</v>
      </c>
      <c r="AV77" s="2">
        <v>1</v>
      </c>
      <c r="AW77" s="2">
        <v>1</v>
      </c>
      <c r="AX77" s="2"/>
      <c r="AY77" s="2"/>
      <c r="AZ77" s="2">
        <v>1</v>
      </c>
      <c r="BA77" s="2">
        <v>1</v>
      </c>
      <c r="BB77" s="2">
        <v>1</v>
      </c>
      <c r="BC77" s="2">
        <v>1</v>
      </c>
      <c r="BD77" s="2" t="s">
        <v>3</v>
      </c>
      <c r="BE77" s="2" t="s">
        <v>3</v>
      </c>
      <c r="BF77" s="2" t="s">
        <v>3</v>
      </c>
      <c r="BG77" s="2" t="s">
        <v>3</v>
      </c>
      <c r="BH77" s="2">
        <v>0</v>
      </c>
      <c r="BI77" s="2">
        <v>1</v>
      </c>
      <c r="BJ77" s="2" t="s">
        <v>156</v>
      </c>
      <c r="BK77" s="2"/>
      <c r="BL77" s="2"/>
      <c r="BM77" s="2">
        <v>24001</v>
      </c>
      <c r="BN77" s="2">
        <v>0</v>
      </c>
      <c r="BO77" s="2" t="s">
        <v>3</v>
      </c>
      <c r="BP77" s="2">
        <v>0</v>
      </c>
      <c r="BQ77" s="2">
        <v>2</v>
      </c>
      <c r="BR77" s="2">
        <v>0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 t="s">
        <v>3</v>
      </c>
      <c r="BZ77" s="2">
        <v>117</v>
      </c>
      <c r="CA77" s="2">
        <v>74</v>
      </c>
      <c r="CB77" s="2" t="s">
        <v>3</v>
      </c>
      <c r="CC77" s="2"/>
      <c r="CD77" s="2"/>
      <c r="CE77" s="2">
        <v>0</v>
      </c>
      <c r="CF77" s="2">
        <v>0</v>
      </c>
      <c r="CG77" s="2">
        <v>0</v>
      </c>
      <c r="CH77" s="2"/>
      <c r="CI77" s="2"/>
      <c r="CJ77" s="2"/>
      <c r="CK77" s="2"/>
      <c r="CL77" s="2"/>
      <c r="CM77" s="2">
        <v>0</v>
      </c>
      <c r="CN77" s="2" t="s">
        <v>3</v>
      </c>
      <c r="CO77" s="2">
        <v>0</v>
      </c>
      <c r="CP77" s="2">
        <f t="shared" si="58"/>
        <v>592.27</v>
      </c>
      <c r="CQ77" s="2">
        <f>SUMIF(SmtRes!AQ48:'SmtRes'!AQ53,"=1",SmtRes!AA48:'SmtRes'!AA53)</f>
        <v>1094.0999999999999</v>
      </c>
      <c r="CR77" s="2">
        <f>SUMIF(SmtRes!AQ48:'SmtRes'!AQ53,"=1",SmtRes!AB48:'SmtRes'!AB53)</f>
        <v>18.149999999999999</v>
      </c>
      <c r="CS77" s="2">
        <f>SUMIF(SmtRes!AQ48:'SmtRes'!AQ53,"=1",SmtRes!AC48:'SmtRes'!AC53)</f>
        <v>0</v>
      </c>
      <c r="CT77" s="2">
        <f>SUMIF(SmtRes!AQ48:'SmtRes'!AQ53,"=1",SmtRes!AD48:'SmtRes'!AD53)</f>
        <v>386.8</v>
      </c>
      <c r="CU77" s="2">
        <f t="shared" si="59"/>
        <v>0</v>
      </c>
      <c r="CV77" s="2">
        <f>SUMIF(SmtRes!AQ48:'SmtRes'!AQ53,"=1",SmtRes!BU48:'SmtRes'!BU53)</f>
        <v>0.32</v>
      </c>
      <c r="CW77" s="2">
        <f>SUMIF(SmtRes!AQ48:'SmtRes'!AQ53,"=1",SmtRes!BV48:'SmtRes'!BV53)</f>
        <v>0</v>
      </c>
      <c r="CX77" s="2">
        <f t="shared" si="60"/>
        <v>0</v>
      </c>
      <c r="CY77" s="2">
        <f t="shared" si="69"/>
        <v>579.26700000000005</v>
      </c>
      <c r="CZ77" s="2">
        <f t="shared" si="70"/>
        <v>366.37400000000002</v>
      </c>
      <c r="DA77" s="2"/>
      <c r="DB77" s="2"/>
      <c r="DC77" s="2" t="s">
        <v>3</v>
      </c>
      <c r="DD77" s="2" t="s">
        <v>3</v>
      </c>
      <c r="DE77" s="2" t="s">
        <v>3</v>
      </c>
      <c r="DF77" s="2" t="s">
        <v>3</v>
      </c>
      <c r="DG77" s="2" t="s">
        <v>3</v>
      </c>
      <c r="DH77" s="2" t="s">
        <v>3</v>
      </c>
      <c r="DI77" s="2" t="s">
        <v>3</v>
      </c>
      <c r="DJ77" s="2" t="s">
        <v>3</v>
      </c>
      <c r="DK77" s="2" t="s">
        <v>3</v>
      </c>
      <c r="DL77" s="2" t="s">
        <v>3</v>
      </c>
      <c r="DM77" s="2" t="s">
        <v>3</v>
      </c>
      <c r="DN77" s="2">
        <v>0</v>
      </c>
      <c r="DO77" s="2">
        <v>0</v>
      </c>
      <c r="DP77" s="2">
        <v>1</v>
      </c>
      <c r="DQ77" s="2">
        <v>1</v>
      </c>
      <c r="DR77" s="2"/>
      <c r="DS77" s="2"/>
      <c r="DT77" s="2"/>
      <c r="DU77" s="2">
        <v>1013</v>
      </c>
      <c r="DV77" s="2" t="s">
        <v>155</v>
      </c>
      <c r="DW77" s="2" t="s">
        <v>155</v>
      </c>
      <c r="DX77" s="2">
        <v>1</v>
      </c>
      <c r="DY77" s="2"/>
      <c r="DZ77" s="2" t="s">
        <v>3</v>
      </c>
      <c r="EA77" s="2" t="s">
        <v>3</v>
      </c>
      <c r="EB77" s="2" t="s">
        <v>3</v>
      </c>
      <c r="EC77" s="2" t="s">
        <v>3</v>
      </c>
      <c r="ED77" s="2"/>
      <c r="EE77" s="2">
        <v>72340632</v>
      </c>
      <c r="EF77" s="2">
        <v>2</v>
      </c>
      <c r="EG77" s="2" t="s">
        <v>23</v>
      </c>
      <c r="EH77" s="2">
        <v>18</v>
      </c>
      <c r="EI77" s="2" t="s">
        <v>41</v>
      </c>
      <c r="EJ77" s="2">
        <v>1</v>
      </c>
      <c r="EK77" s="2">
        <v>24001</v>
      </c>
      <c r="EL77" s="2" t="s">
        <v>41</v>
      </c>
      <c r="EM77" s="2" t="s">
        <v>118</v>
      </c>
      <c r="EN77" s="2"/>
      <c r="EO77" s="2" t="s">
        <v>3</v>
      </c>
      <c r="EP77" s="2"/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0.32</v>
      </c>
      <c r="EX77" s="2">
        <v>0</v>
      </c>
      <c r="EY77" s="2">
        <v>0</v>
      </c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>
        <v>0</v>
      </c>
      <c r="FR77" s="2">
        <v>0</v>
      </c>
      <c r="FS77" s="2">
        <v>0</v>
      </c>
      <c r="FT77" s="2"/>
      <c r="FU77" s="2"/>
      <c r="FV77" s="2"/>
      <c r="FW77" s="2"/>
      <c r="FX77" s="2">
        <v>117</v>
      </c>
      <c r="FY77" s="2">
        <v>74</v>
      </c>
      <c r="FZ77" s="2"/>
      <c r="GA77" s="2" t="s">
        <v>3</v>
      </c>
      <c r="GB77" s="2"/>
      <c r="GC77" s="2"/>
      <c r="GD77" s="2">
        <v>1</v>
      </c>
      <c r="GE77" s="2"/>
      <c r="GF77" s="2">
        <v>-1363492276</v>
      </c>
      <c r="GG77" s="2">
        <v>2</v>
      </c>
      <c r="GH77" s="2">
        <v>1</v>
      </c>
      <c r="GI77" s="2">
        <v>-2</v>
      </c>
      <c r="GJ77" s="2">
        <v>0</v>
      </c>
      <c r="GK77" s="2">
        <v>0</v>
      </c>
      <c r="GL77" s="2">
        <f t="shared" si="61"/>
        <v>0</v>
      </c>
      <c r="GM77" s="2">
        <f t="shared" si="62"/>
        <v>1537.91</v>
      </c>
      <c r="GN77" s="2">
        <f t="shared" si="63"/>
        <v>1537.91</v>
      </c>
      <c r="GO77" s="2">
        <f t="shared" si="64"/>
        <v>0</v>
      </c>
      <c r="GP77" s="2">
        <f t="shared" si="65"/>
        <v>0</v>
      </c>
      <c r="GQ77" s="2"/>
      <c r="GR77" s="2">
        <v>0</v>
      </c>
      <c r="GS77" s="2">
        <v>3</v>
      </c>
      <c r="GT77" s="2">
        <v>0</v>
      </c>
      <c r="GU77" s="2" t="s">
        <v>3</v>
      </c>
      <c r="GV77" s="2">
        <f t="shared" si="66"/>
        <v>0</v>
      </c>
      <c r="GW77" s="2">
        <v>1</v>
      </c>
      <c r="GX77" s="2">
        <f t="shared" si="67"/>
        <v>0</v>
      </c>
      <c r="GY77" s="2"/>
      <c r="GZ77" s="2"/>
      <c r="HA77" s="2">
        <v>0</v>
      </c>
      <c r="HB77" s="2">
        <v>0</v>
      </c>
      <c r="HC77" s="2">
        <f t="shared" si="68"/>
        <v>0</v>
      </c>
      <c r="HD77" s="2"/>
      <c r="HE77" s="2" t="s">
        <v>3</v>
      </c>
      <c r="HF77" s="2" t="s">
        <v>3</v>
      </c>
      <c r="HG77" s="2"/>
      <c r="HH77" s="2"/>
      <c r="HI77" s="2"/>
      <c r="HJ77" s="2"/>
      <c r="HK77" s="2"/>
      <c r="HL77" s="2"/>
      <c r="HM77" s="2" t="s">
        <v>3</v>
      </c>
      <c r="HN77" s="2" t="s">
        <v>43</v>
      </c>
      <c r="HO77" s="2" t="s">
        <v>44</v>
      </c>
      <c r="HP77" s="2" t="s">
        <v>41</v>
      </c>
      <c r="HQ77" s="2" t="s">
        <v>41</v>
      </c>
      <c r="HR77" s="2"/>
      <c r="HS77" s="2">
        <v>0</v>
      </c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>
        <v>0</v>
      </c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 x14ac:dyDescent="0.2">
      <c r="A78" s="2">
        <v>18</v>
      </c>
      <c r="B78" s="2">
        <v>1</v>
      </c>
      <c r="C78" s="2">
        <v>53</v>
      </c>
      <c r="D78" s="2"/>
      <c r="E78" s="2" t="s">
        <v>157</v>
      </c>
      <c r="F78" s="2" t="s">
        <v>158</v>
      </c>
      <c r="G78" s="2" t="s">
        <v>159</v>
      </c>
      <c r="H78" s="2" t="s">
        <v>130</v>
      </c>
      <c r="I78" s="2">
        <f>I77*J78</f>
        <v>4</v>
      </c>
      <c r="J78" s="2">
        <v>1</v>
      </c>
      <c r="K78" s="2">
        <v>1</v>
      </c>
      <c r="L78" s="2"/>
      <c r="M78" s="2"/>
      <c r="N78" s="2"/>
      <c r="O78" s="2">
        <f t="shared" si="50"/>
        <v>1050.76</v>
      </c>
      <c r="P78" s="2">
        <f>ROUND(CQ78*I78,2)</f>
        <v>1050.76</v>
      </c>
      <c r="Q78" s="2">
        <f>ROUND(CR78*I78,2)</f>
        <v>0</v>
      </c>
      <c r="R78" s="2">
        <f>ROUND(CS78*I78,2)</f>
        <v>0</v>
      </c>
      <c r="S78" s="2">
        <f>ROUND(CT78*I78,2)</f>
        <v>0</v>
      </c>
      <c r="T78" s="2">
        <f t="shared" si="51"/>
        <v>0</v>
      </c>
      <c r="U78" s="2">
        <f>ROUND(CV78*I78,7)</f>
        <v>0</v>
      </c>
      <c r="V78" s="2">
        <f>ROUND(CW78*I78,7)</f>
        <v>0</v>
      </c>
      <c r="W78" s="2">
        <f t="shared" si="52"/>
        <v>0</v>
      </c>
      <c r="X78" s="2">
        <f t="shared" si="53"/>
        <v>0</v>
      </c>
      <c r="Y78" s="2">
        <f t="shared" si="54"/>
        <v>0</v>
      </c>
      <c r="Z78" s="2"/>
      <c r="AA78" s="2">
        <v>73953415</v>
      </c>
      <c r="AB78" s="2">
        <f t="shared" si="55"/>
        <v>206.84</v>
      </c>
      <c r="AC78" s="2">
        <f>ROUND((ES78),6)</f>
        <v>206.84</v>
      </c>
      <c r="AD78" s="2">
        <f>ROUND((((ET78)-(EU78))+AE78),6)</f>
        <v>0</v>
      </c>
      <c r="AE78" s="2">
        <f>ROUND((EU78),6)</f>
        <v>0</v>
      </c>
      <c r="AF78" s="2">
        <f>ROUND((EV78),6)</f>
        <v>0</v>
      </c>
      <c r="AG78" s="2">
        <f t="shared" si="56"/>
        <v>0</v>
      </c>
      <c r="AH78" s="2">
        <f>(EW78)</f>
        <v>0</v>
      </c>
      <c r="AI78" s="2">
        <f>(EX78)</f>
        <v>0</v>
      </c>
      <c r="AJ78" s="2">
        <f t="shared" si="57"/>
        <v>0</v>
      </c>
      <c r="AK78" s="2">
        <v>206.84</v>
      </c>
      <c r="AL78" s="2">
        <v>206.84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117</v>
      </c>
      <c r="AU78" s="2">
        <v>74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1.27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3</v>
      </c>
      <c r="BI78" s="2">
        <v>1</v>
      </c>
      <c r="BJ78" s="2" t="s">
        <v>160</v>
      </c>
      <c r="BK78" s="2"/>
      <c r="BL78" s="2"/>
      <c r="BM78" s="2">
        <v>24001</v>
      </c>
      <c r="BN78" s="2">
        <v>0</v>
      </c>
      <c r="BO78" s="2" t="s">
        <v>158</v>
      </c>
      <c r="BP78" s="2">
        <v>1</v>
      </c>
      <c r="BQ78" s="2">
        <v>2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117</v>
      </c>
      <c r="CA78" s="2">
        <v>74</v>
      </c>
      <c r="CB78" s="2" t="s">
        <v>3</v>
      </c>
      <c r="CC78" s="2"/>
      <c r="CD78" s="2"/>
      <c r="CE78" s="2">
        <v>0</v>
      </c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58"/>
        <v>1050.76</v>
      </c>
      <c r="CQ78" s="2">
        <f>ROUND(AL78*BC78,2)</f>
        <v>262.69</v>
      </c>
      <c r="CR78" s="2">
        <f>ROUND(AM78*BB78,2)</f>
        <v>0</v>
      </c>
      <c r="CS78" s="2">
        <f>ROUND(AN78*BS78,2)</f>
        <v>0</v>
      </c>
      <c r="CT78" s="2">
        <f>ROUND(AO78*BA78,2)</f>
        <v>0</v>
      </c>
      <c r="CU78" s="2">
        <f t="shared" si="59"/>
        <v>0</v>
      </c>
      <c r="CV78" s="2">
        <f>AH78</f>
        <v>0</v>
      </c>
      <c r="CW78" s="2">
        <f>AI78</f>
        <v>0</v>
      </c>
      <c r="CX78" s="2">
        <f t="shared" si="60"/>
        <v>0</v>
      </c>
      <c r="CY78" s="2">
        <f t="shared" si="69"/>
        <v>0</v>
      </c>
      <c r="CZ78" s="2">
        <f t="shared" si="70"/>
        <v>0</v>
      </c>
      <c r="DA78" s="2"/>
      <c r="DB78" s="2"/>
      <c r="DC78" s="2" t="s">
        <v>3</v>
      </c>
      <c r="DD78" s="2" t="s">
        <v>3</v>
      </c>
      <c r="DE78" s="2" t="s">
        <v>3</v>
      </c>
      <c r="DF78" s="2" t="s">
        <v>3</v>
      </c>
      <c r="DG78" s="2" t="s">
        <v>3</v>
      </c>
      <c r="DH78" s="2" t="s">
        <v>3</v>
      </c>
      <c r="DI78" s="2" t="s">
        <v>3</v>
      </c>
      <c r="DJ78" s="2" t="s">
        <v>3</v>
      </c>
      <c r="DK78" s="2" t="s">
        <v>3</v>
      </c>
      <c r="DL78" s="2" t="s">
        <v>3</v>
      </c>
      <c r="DM78" s="2" t="s">
        <v>3</v>
      </c>
      <c r="DN78" s="2">
        <v>0</v>
      </c>
      <c r="DO78" s="2">
        <v>0</v>
      </c>
      <c r="DP78" s="2">
        <v>1</v>
      </c>
      <c r="DQ78" s="2">
        <v>1</v>
      </c>
      <c r="DR78" s="2"/>
      <c r="DS78" s="2"/>
      <c r="DT78" s="2"/>
      <c r="DU78" s="2">
        <v>1013</v>
      </c>
      <c r="DV78" s="2" t="s">
        <v>130</v>
      </c>
      <c r="DW78" s="2" t="s">
        <v>130</v>
      </c>
      <c r="DX78" s="2">
        <v>1</v>
      </c>
      <c r="DY78" s="2"/>
      <c r="DZ78" s="2" t="s">
        <v>3</v>
      </c>
      <c r="EA78" s="2" t="s">
        <v>3</v>
      </c>
      <c r="EB78" s="2" t="s">
        <v>3</v>
      </c>
      <c r="EC78" s="2" t="s">
        <v>3</v>
      </c>
      <c r="ED78" s="2"/>
      <c r="EE78" s="2">
        <v>72340632</v>
      </c>
      <c r="EF78" s="2">
        <v>2</v>
      </c>
      <c r="EG78" s="2" t="s">
        <v>23</v>
      </c>
      <c r="EH78" s="2">
        <v>18</v>
      </c>
      <c r="EI78" s="2" t="s">
        <v>41</v>
      </c>
      <c r="EJ78" s="2">
        <v>1</v>
      </c>
      <c r="EK78" s="2">
        <v>24001</v>
      </c>
      <c r="EL78" s="2" t="s">
        <v>41</v>
      </c>
      <c r="EM78" s="2" t="s">
        <v>118</v>
      </c>
      <c r="EN78" s="2"/>
      <c r="EO78" s="2" t="s">
        <v>3</v>
      </c>
      <c r="EP78" s="2"/>
      <c r="EQ78" s="2">
        <v>0</v>
      </c>
      <c r="ER78" s="2">
        <v>206.84</v>
      </c>
      <c r="ES78" s="2">
        <v>206.84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v>0</v>
      </c>
      <c r="FS78" s="2">
        <v>0</v>
      </c>
      <c r="FT78" s="2"/>
      <c r="FU78" s="2"/>
      <c r="FV78" s="2"/>
      <c r="FW78" s="2"/>
      <c r="FX78" s="2">
        <v>117</v>
      </c>
      <c r="FY78" s="2">
        <v>74</v>
      </c>
      <c r="FZ78" s="2"/>
      <c r="GA78" s="2" t="s">
        <v>3</v>
      </c>
      <c r="GB78" s="2"/>
      <c r="GC78" s="2"/>
      <c r="GD78" s="2">
        <v>1</v>
      </c>
      <c r="GE78" s="2"/>
      <c r="GF78" s="2">
        <v>-669902663</v>
      </c>
      <c r="GG78" s="2">
        <v>2</v>
      </c>
      <c r="GH78" s="2">
        <v>1</v>
      </c>
      <c r="GI78" s="2">
        <v>2</v>
      </c>
      <c r="GJ78" s="2">
        <v>0</v>
      </c>
      <c r="GK78" s="2">
        <v>0</v>
      </c>
      <c r="GL78" s="2">
        <f t="shared" si="61"/>
        <v>0</v>
      </c>
      <c r="GM78" s="2">
        <f t="shared" si="62"/>
        <v>1050.76</v>
      </c>
      <c r="GN78" s="2">
        <f t="shared" si="63"/>
        <v>1050.76</v>
      </c>
      <c r="GO78" s="2">
        <f t="shared" si="64"/>
        <v>0</v>
      </c>
      <c r="GP78" s="2">
        <f t="shared" si="65"/>
        <v>0</v>
      </c>
      <c r="GQ78" s="2"/>
      <c r="GR78" s="2">
        <v>0</v>
      </c>
      <c r="GS78" s="2">
        <v>3</v>
      </c>
      <c r="GT78" s="2">
        <v>0</v>
      </c>
      <c r="GU78" s="2" t="s">
        <v>3</v>
      </c>
      <c r="GV78" s="2">
        <f t="shared" si="66"/>
        <v>0</v>
      </c>
      <c r="GW78" s="2">
        <v>1</v>
      </c>
      <c r="GX78" s="2">
        <f t="shared" si="67"/>
        <v>0</v>
      </c>
      <c r="GY78" s="2"/>
      <c r="GZ78" s="2"/>
      <c r="HA78" s="2">
        <v>0</v>
      </c>
      <c r="HB78" s="2">
        <v>0</v>
      </c>
      <c r="HC78" s="2">
        <f t="shared" si="68"/>
        <v>0</v>
      </c>
      <c r="HD78" s="2"/>
      <c r="HE78" s="2" t="s">
        <v>3</v>
      </c>
      <c r="HF78" s="2" t="s">
        <v>3</v>
      </c>
      <c r="HG78" s="2"/>
      <c r="HH78" s="2"/>
      <c r="HI78" s="2"/>
      <c r="HJ78" s="2"/>
      <c r="HK78" s="2"/>
      <c r="HL78" s="2"/>
      <c r="HM78" s="2" t="s">
        <v>3</v>
      </c>
      <c r="HN78" s="2" t="s">
        <v>43</v>
      </c>
      <c r="HO78" s="2" t="s">
        <v>44</v>
      </c>
      <c r="HP78" s="2" t="s">
        <v>41</v>
      </c>
      <c r="HQ78" s="2" t="s">
        <v>41</v>
      </c>
      <c r="HR78" s="2"/>
      <c r="HS78" s="2">
        <v>0</v>
      </c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x14ac:dyDescent="0.2">
      <c r="A79" s="2">
        <v>17</v>
      </c>
      <c r="B79" s="2">
        <v>1</v>
      </c>
      <c r="C79" s="2">
        <f>ROW(SmtRes!A63)</f>
        <v>63</v>
      </c>
      <c r="D79" s="2">
        <f>ROW(EtalonRes!A70)</f>
        <v>70</v>
      </c>
      <c r="E79" s="2" t="s">
        <v>161</v>
      </c>
      <c r="F79" s="2" t="s">
        <v>162</v>
      </c>
      <c r="G79" s="2" t="s">
        <v>163</v>
      </c>
      <c r="H79" s="2" t="s">
        <v>164</v>
      </c>
      <c r="I79" s="2">
        <f>ROUND(1/10,7)</f>
        <v>0.1</v>
      </c>
      <c r="J79" s="2">
        <v>0</v>
      </c>
      <c r="K79" s="2">
        <f>ROUND(1/10,7)</f>
        <v>0.1</v>
      </c>
      <c r="L79" s="2"/>
      <c r="M79" s="2"/>
      <c r="N79" s="2"/>
      <c r="O79" s="2">
        <f t="shared" si="50"/>
        <v>2837.94</v>
      </c>
      <c r="P79" s="2">
        <f>SUMIF(SmtRes!AQ54:'SmtRes'!AQ63,"=1",SmtRes!DF54:'SmtRes'!DF63)</f>
        <v>5.5499999999999989</v>
      </c>
      <c r="Q79" s="2">
        <f>SUMIF(SmtRes!AQ54:'SmtRes'!AQ63,"=1",SmtRes!DG54:'SmtRes'!DG63)</f>
        <v>30.650000000000002</v>
      </c>
      <c r="R79" s="2">
        <f>SUMIF(SmtRes!AQ54:'SmtRes'!AQ63,"=1",SmtRes!DH54:'SmtRes'!DH63)</f>
        <v>3.6</v>
      </c>
      <c r="S79" s="2">
        <f>SUMIF(SmtRes!AQ54:'SmtRes'!AQ63,"=1",SmtRes!DI54:'SmtRes'!DI63)</f>
        <v>2798.1400000000003</v>
      </c>
      <c r="T79" s="2">
        <f t="shared" si="51"/>
        <v>0</v>
      </c>
      <c r="U79" s="2">
        <f>SUMIF(SmtRes!AQ54:'SmtRes'!AQ63,"=1",SmtRes!CV54:'SmtRes'!CV63)</f>
        <v>6.9929999999999994</v>
      </c>
      <c r="V79" s="2">
        <f>SUMIF(SmtRes!AQ54:'SmtRes'!AQ63,"=1",SmtRes!CW54:'SmtRes'!CW63)</f>
        <v>8.9999999999999993E-3</v>
      </c>
      <c r="W79" s="2">
        <f t="shared" si="52"/>
        <v>0</v>
      </c>
      <c r="X79" s="2">
        <f t="shared" si="53"/>
        <v>3278.04</v>
      </c>
      <c r="Y79" s="2">
        <f t="shared" si="54"/>
        <v>2073.29</v>
      </c>
      <c r="Z79" s="2"/>
      <c r="AA79" s="2">
        <v>73953415</v>
      </c>
      <c r="AB79" s="2">
        <f t="shared" si="55"/>
        <v>28301.575400000002</v>
      </c>
      <c r="AC79" s="2">
        <f>ROUND((SUM(SmtRes!BQ54:'SmtRes'!BQ63)),6)</f>
        <v>50.692700000000002</v>
      </c>
      <c r="AD79" s="2">
        <f>ROUND((((SUM(SmtRes!BR54:'SmtRes'!BR63))-(SUM(SmtRes!BS54:'SmtRes'!BS63)))+AE79),6)</f>
        <v>269.56650000000002</v>
      </c>
      <c r="AE79" s="2">
        <f>ROUND((SUM(SmtRes!BS54:'SmtRes'!BS63)),6)</f>
        <v>36.021599999999999</v>
      </c>
      <c r="AF79" s="2">
        <f>ROUND((SUM(SmtRes!BT54:'SmtRes'!BT63)),6)</f>
        <v>27981.316200000001</v>
      </c>
      <c r="AG79" s="2">
        <f t="shared" si="56"/>
        <v>0</v>
      </c>
      <c r="AH79" s="2">
        <f>(SUM(SmtRes!BU54:'SmtRes'!BU63))</f>
        <v>69.929999999999993</v>
      </c>
      <c r="AI79" s="2">
        <f>(SUM(SmtRes!BV54:'SmtRes'!BV63))</f>
        <v>0.09</v>
      </c>
      <c r="AJ79" s="2">
        <f t="shared" si="57"/>
        <v>0</v>
      </c>
      <c r="AK79" s="2">
        <v>28337.597000000002</v>
      </c>
      <c r="AL79" s="2">
        <v>50.692700000000002</v>
      </c>
      <c r="AM79" s="2">
        <v>269.56649999999996</v>
      </c>
      <c r="AN79" s="2">
        <v>36.021599999999999</v>
      </c>
      <c r="AO79" s="2">
        <v>27981.316200000001</v>
      </c>
      <c r="AP79" s="2">
        <v>0</v>
      </c>
      <c r="AQ79" s="2">
        <v>69.929999999999993</v>
      </c>
      <c r="AR79" s="2">
        <v>0.09</v>
      </c>
      <c r="AS79" s="2">
        <v>0</v>
      </c>
      <c r="AT79" s="2">
        <v>117</v>
      </c>
      <c r="AU79" s="2">
        <v>74</v>
      </c>
      <c r="AV79" s="2">
        <v>1</v>
      </c>
      <c r="AW79" s="2">
        <v>1</v>
      </c>
      <c r="AX79" s="2"/>
      <c r="AY79" s="2"/>
      <c r="AZ79" s="2">
        <v>1</v>
      </c>
      <c r="BA79" s="2">
        <v>1</v>
      </c>
      <c r="BB79" s="2">
        <v>1</v>
      </c>
      <c r="BC79" s="2">
        <v>1</v>
      </c>
      <c r="BD79" s="2" t="s">
        <v>3</v>
      </c>
      <c r="BE79" s="2" t="s">
        <v>3</v>
      </c>
      <c r="BF79" s="2" t="s">
        <v>3</v>
      </c>
      <c r="BG79" s="2" t="s">
        <v>3</v>
      </c>
      <c r="BH79" s="2">
        <v>0</v>
      </c>
      <c r="BI79" s="2">
        <v>1</v>
      </c>
      <c r="BJ79" s="2" t="s">
        <v>165</v>
      </c>
      <c r="BK79" s="2"/>
      <c r="BL79" s="2"/>
      <c r="BM79" s="2">
        <v>24001</v>
      </c>
      <c r="BN79" s="2">
        <v>0</v>
      </c>
      <c r="BO79" s="2" t="s">
        <v>3</v>
      </c>
      <c r="BP79" s="2">
        <v>0</v>
      </c>
      <c r="BQ79" s="2">
        <v>2</v>
      </c>
      <c r="BR79" s="2">
        <v>0</v>
      </c>
      <c r="BS79" s="2">
        <v>1</v>
      </c>
      <c r="BT79" s="2">
        <v>1</v>
      </c>
      <c r="BU79" s="2">
        <v>1</v>
      </c>
      <c r="BV79" s="2">
        <v>1</v>
      </c>
      <c r="BW79" s="2">
        <v>1</v>
      </c>
      <c r="BX79" s="2">
        <v>1</v>
      </c>
      <c r="BY79" s="2" t="s">
        <v>3</v>
      </c>
      <c r="BZ79" s="2">
        <v>117</v>
      </c>
      <c r="CA79" s="2">
        <v>74</v>
      </c>
      <c r="CB79" s="2" t="s">
        <v>3</v>
      </c>
      <c r="CC79" s="2"/>
      <c r="CD79" s="2"/>
      <c r="CE79" s="2">
        <v>0</v>
      </c>
      <c r="CF79" s="2">
        <v>0</v>
      </c>
      <c r="CG79" s="2">
        <v>0</v>
      </c>
      <c r="CH79" s="2"/>
      <c r="CI79" s="2"/>
      <c r="CJ79" s="2"/>
      <c r="CK79" s="2"/>
      <c r="CL79" s="2"/>
      <c r="CM79" s="2">
        <v>0</v>
      </c>
      <c r="CN79" s="2" t="s">
        <v>3</v>
      </c>
      <c r="CO79" s="2">
        <v>0</v>
      </c>
      <c r="CP79" s="2">
        <f t="shared" si="58"/>
        <v>2837.94</v>
      </c>
      <c r="CQ79" s="2">
        <f>SUMIF(SmtRes!AQ54:'SmtRes'!AQ63,"=1",SmtRes!AA54:'SmtRes'!AA63)</f>
        <v>325.12</v>
      </c>
      <c r="CR79" s="2">
        <f>SUMIF(SmtRes!AQ54:'SmtRes'!AQ63,"=1",SmtRes!AB54:'SmtRes'!AB63)</f>
        <v>717.97</v>
      </c>
      <c r="CS79" s="2">
        <f>SUMIF(SmtRes!AQ54:'SmtRes'!AQ63,"=1",SmtRes!AC54:'SmtRes'!AC63)</f>
        <v>400.24</v>
      </c>
      <c r="CT79" s="2">
        <f>SUMIF(SmtRes!AQ54:'SmtRes'!AQ63,"=1",SmtRes!AD54:'SmtRes'!AD63)</f>
        <v>725.81</v>
      </c>
      <c r="CU79" s="2">
        <f t="shared" si="59"/>
        <v>0</v>
      </c>
      <c r="CV79" s="2">
        <f>SUMIF(SmtRes!AQ54:'SmtRes'!AQ63,"=1",SmtRes!BU54:'SmtRes'!BU63)</f>
        <v>69.929999999999993</v>
      </c>
      <c r="CW79" s="2">
        <f>SUMIF(SmtRes!AQ54:'SmtRes'!AQ63,"=1",SmtRes!BV54:'SmtRes'!BV63)</f>
        <v>0.09</v>
      </c>
      <c r="CX79" s="2">
        <f t="shared" si="60"/>
        <v>0</v>
      </c>
      <c r="CY79" s="2">
        <f t="shared" si="69"/>
        <v>3278.0358000000001</v>
      </c>
      <c r="CZ79" s="2">
        <f t="shared" si="70"/>
        <v>2073.2876000000001</v>
      </c>
      <c r="DA79" s="2"/>
      <c r="DB79" s="2"/>
      <c r="DC79" s="2" t="s">
        <v>3</v>
      </c>
      <c r="DD79" s="2" t="s">
        <v>3</v>
      </c>
      <c r="DE79" s="2" t="s">
        <v>3</v>
      </c>
      <c r="DF79" s="2" t="s">
        <v>3</v>
      </c>
      <c r="DG79" s="2" t="s">
        <v>3</v>
      </c>
      <c r="DH79" s="2" t="s">
        <v>3</v>
      </c>
      <c r="DI79" s="2" t="s">
        <v>3</v>
      </c>
      <c r="DJ79" s="2" t="s">
        <v>3</v>
      </c>
      <c r="DK79" s="2" t="s">
        <v>3</v>
      </c>
      <c r="DL79" s="2" t="s">
        <v>3</v>
      </c>
      <c r="DM79" s="2" t="s">
        <v>3</v>
      </c>
      <c r="DN79" s="2">
        <v>0</v>
      </c>
      <c r="DO79" s="2">
        <v>0</v>
      </c>
      <c r="DP79" s="2">
        <v>1</v>
      </c>
      <c r="DQ79" s="2">
        <v>1</v>
      </c>
      <c r="DR79" s="2"/>
      <c r="DS79" s="2"/>
      <c r="DT79" s="2"/>
      <c r="DU79" s="2">
        <v>1013</v>
      </c>
      <c r="DV79" s="2" t="s">
        <v>164</v>
      </c>
      <c r="DW79" s="2" t="s">
        <v>164</v>
      </c>
      <c r="DX79" s="2">
        <v>1</v>
      </c>
      <c r="DY79" s="2"/>
      <c r="DZ79" s="2" t="s">
        <v>3</v>
      </c>
      <c r="EA79" s="2" t="s">
        <v>3</v>
      </c>
      <c r="EB79" s="2" t="s">
        <v>3</v>
      </c>
      <c r="EC79" s="2" t="s">
        <v>3</v>
      </c>
      <c r="ED79" s="2"/>
      <c r="EE79" s="2">
        <v>72340632</v>
      </c>
      <c r="EF79" s="2">
        <v>2</v>
      </c>
      <c r="EG79" s="2" t="s">
        <v>23</v>
      </c>
      <c r="EH79" s="2">
        <v>18</v>
      </c>
      <c r="EI79" s="2" t="s">
        <v>41</v>
      </c>
      <c r="EJ79" s="2">
        <v>1</v>
      </c>
      <c r="EK79" s="2">
        <v>24001</v>
      </c>
      <c r="EL79" s="2" t="s">
        <v>41</v>
      </c>
      <c r="EM79" s="2" t="s">
        <v>118</v>
      </c>
      <c r="EN79" s="2"/>
      <c r="EO79" s="2" t="s">
        <v>3</v>
      </c>
      <c r="EP79" s="2"/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69.930000000000007</v>
      </c>
      <c r="EX79" s="2">
        <v>0.09</v>
      </c>
      <c r="EY79" s="2">
        <v>0</v>
      </c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>
        <v>0</v>
      </c>
      <c r="FR79" s="2">
        <v>0</v>
      </c>
      <c r="FS79" s="2">
        <v>0</v>
      </c>
      <c r="FT79" s="2"/>
      <c r="FU79" s="2"/>
      <c r="FV79" s="2"/>
      <c r="FW79" s="2"/>
      <c r="FX79" s="2">
        <v>117</v>
      </c>
      <c r="FY79" s="2">
        <v>74</v>
      </c>
      <c r="FZ79" s="2"/>
      <c r="GA79" s="2" t="s">
        <v>3</v>
      </c>
      <c r="GB79" s="2"/>
      <c r="GC79" s="2"/>
      <c r="GD79" s="2">
        <v>1</v>
      </c>
      <c r="GE79" s="2"/>
      <c r="GF79" s="2">
        <v>2103600629</v>
      </c>
      <c r="GG79" s="2">
        <v>2</v>
      </c>
      <c r="GH79" s="2">
        <v>1</v>
      </c>
      <c r="GI79" s="2">
        <v>-2</v>
      </c>
      <c r="GJ79" s="2">
        <v>0</v>
      </c>
      <c r="GK79" s="2">
        <v>0</v>
      </c>
      <c r="GL79" s="2">
        <f t="shared" si="61"/>
        <v>0</v>
      </c>
      <c r="GM79" s="2">
        <f t="shared" si="62"/>
        <v>8189.27</v>
      </c>
      <c r="GN79" s="2">
        <f t="shared" si="63"/>
        <v>8189.27</v>
      </c>
      <c r="GO79" s="2">
        <f t="shared" si="64"/>
        <v>0</v>
      </c>
      <c r="GP79" s="2">
        <f t="shared" si="65"/>
        <v>0</v>
      </c>
      <c r="GQ79" s="2"/>
      <c r="GR79" s="2">
        <v>0</v>
      </c>
      <c r="GS79" s="2">
        <v>3</v>
      </c>
      <c r="GT79" s="2">
        <v>0</v>
      </c>
      <c r="GU79" s="2" t="s">
        <v>3</v>
      </c>
      <c r="GV79" s="2">
        <f t="shared" si="66"/>
        <v>0</v>
      </c>
      <c r="GW79" s="2">
        <v>1</v>
      </c>
      <c r="GX79" s="2">
        <f t="shared" si="67"/>
        <v>0</v>
      </c>
      <c r="GY79" s="2"/>
      <c r="GZ79" s="2"/>
      <c r="HA79" s="2">
        <v>0</v>
      </c>
      <c r="HB79" s="2">
        <v>0</v>
      </c>
      <c r="HC79" s="2">
        <f t="shared" si="68"/>
        <v>0</v>
      </c>
      <c r="HD79" s="2"/>
      <c r="HE79" s="2" t="s">
        <v>3</v>
      </c>
      <c r="HF79" s="2" t="s">
        <v>3</v>
      </c>
      <c r="HG79" s="2"/>
      <c r="HH79" s="2"/>
      <c r="HI79" s="2"/>
      <c r="HJ79" s="2"/>
      <c r="HK79" s="2"/>
      <c r="HL79" s="2"/>
      <c r="HM79" s="2" t="s">
        <v>3</v>
      </c>
      <c r="HN79" s="2" t="s">
        <v>43</v>
      </c>
      <c r="HO79" s="2" t="s">
        <v>44</v>
      </c>
      <c r="HP79" s="2" t="s">
        <v>41</v>
      </c>
      <c r="HQ79" s="2" t="s">
        <v>41</v>
      </c>
      <c r="HR79" s="2"/>
      <c r="HS79" s="2">
        <v>0</v>
      </c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>
        <v>0</v>
      </c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 x14ac:dyDescent="0.2">
      <c r="A80" s="2">
        <v>17</v>
      </c>
      <c r="B80" s="2">
        <v>1</v>
      </c>
      <c r="C80" s="2"/>
      <c r="D80" s="2"/>
      <c r="E80" s="2" t="s">
        <v>166</v>
      </c>
      <c r="F80" s="2" t="s">
        <v>167</v>
      </c>
      <c r="G80" s="2" t="s">
        <v>590</v>
      </c>
      <c r="H80" s="2" t="s">
        <v>130</v>
      </c>
      <c r="I80" s="2">
        <v>1</v>
      </c>
      <c r="J80" s="2">
        <v>0</v>
      </c>
      <c r="K80" s="2">
        <v>1</v>
      </c>
      <c r="L80" s="2"/>
      <c r="M80" s="2"/>
      <c r="N80" s="2"/>
      <c r="O80" s="2">
        <f t="shared" si="50"/>
        <v>7636.51</v>
      </c>
      <c r="P80" s="2">
        <f>ROUND(CQ80*I80,2)</f>
        <v>7636.51</v>
      </c>
      <c r="Q80" s="2">
        <f>ROUND(CR80*I80,2)</f>
        <v>0</v>
      </c>
      <c r="R80" s="2">
        <f>ROUND(CS80*I80,2)</f>
        <v>0</v>
      </c>
      <c r="S80" s="2">
        <f>ROUND(CT80*I80,2)</f>
        <v>0</v>
      </c>
      <c r="T80" s="2">
        <f t="shared" si="51"/>
        <v>0</v>
      </c>
      <c r="U80" s="2">
        <f>ROUND(CV80*I80,7)</f>
        <v>0</v>
      </c>
      <c r="V80" s="2">
        <f>ROUND(CW80*I80,7)</f>
        <v>0</v>
      </c>
      <c r="W80" s="2">
        <f t="shared" si="52"/>
        <v>0</v>
      </c>
      <c r="X80" s="2">
        <f t="shared" si="53"/>
        <v>0</v>
      </c>
      <c r="Y80" s="2">
        <f t="shared" si="54"/>
        <v>0</v>
      </c>
      <c r="Z80" s="2"/>
      <c r="AA80" s="2">
        <v>73953415</v>
      </c>
      <c r="AB80" s="2">
        <f t="shared" si="55"/>
        <v>7414.09</v>
      </c>
      <c r="AC80" s="2">
        <f>ROUND((ES80),6)</f>
        <v>7414.09</v>
      </c>
      <c r="AD80" s="2">
        <f>ROUND((((ET80)-(EU80))+AE80),6)</f>
        <v>0</v>
      </c>
      <c r="AE80" s="2">
        <f>ROUND((EU80),6)</f>
        <v>0</v>
      </c>
      <c r="AF80" s="2">
        <f>ROUND((EV80),6)</f>
        <v>0</v>
      </c>
      <c r="AG80" s="2">
        <f t="shared" si="56"/>
        <v>0</v>
      </c>
      <c r="AH80" s="2">
        <f>(EW80)</f>
        <v>0</v>
      </c>
      <c r="AI80" s="2">
        <f>(EX80)</f>
        <v>0</v>
      </c>
      <c r="AJ80" s="2">
        <f t="shared" si="57"/>
        <v>0</v>
      </c>
      <c r="AK80" s="2">
        <v>7414.09</v>
      </c>
      <c r="AL80" s="2">
        <v>7414.09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1.03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3</v>
      </c>
      <c r="BI80" s="2">
        <v>1</v>
      </c>
      <c r="BJ80" s="2" t="s">
        <v>168</v>
      </c>
      <c r="BK80" s="2"/>
      <c r="BL80" s="2"/>
      <c r="BM80" s="2">
        <v>500001</v>
      </c>
      <c r="BN80" s="2">
        <v>0</v>
      </c>
      <c r="BO80" s="2" t="s">
        <v>167</v>
      </c>
      <c r="BP80" s="2">
        <v>1</v>
      </c>
      <c r="BQ80" s="2">
        <v>8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0</v>
      </c>
      <c r="CA80" s="2">
        <v>0</v>
      </c>
      <c r="CB80" s="2" t="s">
        <v>3</v>
      </c>
      <c r="CC80" s="2"/>
      <c r="CD80" s="2"/>
      <c r="CE80" s="2">
        <v>0</v>
      </c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3</v>
      </c>
      <c r="CO80" s="2">
        <v>0</v>
      </c>
      <c r="CP80" s="2">
        <f t="shared" si="58"/>
        <v>7636.51</v>
      </c>
      <c r="CQ80" s="2">
        <f>ROUND(AL80*BC80,2)</f>
        <v>7636.51</v>
      </c>
      <c r="CR80" s="2">
        <f>ROUND(AM80*BB80,2)</f>
        <v>0</v>
      </c>
      <c r="CS80" s="2">
        <f>ROUND(AN80*BS80,2)</f>
        <v>0</v>
      </c>
      <c r="CT80" s="2">
        <f>ROUND(AO80*BA80,2)</f>
        <v>0</v>
      </c>
      <c r="CU80" s="2">
        <f t="shared" si="59"/>
        <v>0</v>
      </c>
      <c r="CV80" s="2">
        <f>AH80</f>
        <v>0</v>
      </c>
      <c r="CW80" s="2">
        <f>AI80</f>
        <v>0</v>
      </c>
      <c r="CX80" s="2">
        <f t="shared" si="60"/>
        <v>0</v>
      </c>
      <c r="CY80" s="2">
        <f>0</f>
        <v>0</v>
      </c>
      <c r="CZ80" s="2">
        <f>0</f>
        <v>0</v>
      </c>
      <c r="DA80" s="2"/>
      <c r="DB80" s="2"/>
      <c r="DC80" s="2" t="s">
        <v>3</v>
      </c>
      <c r="DD80" s="2" t="s">
        <v>3</v>
      </c>
      <c r="DE80" s="2" t="s">
        <v>3</v>
      </c>
      <c r="DF80" s="2" t="s">
        <v>3</v>
      </c>
      <c r="DG80" s="2" t="s">
        <v>3</v>
      </c>
      <c r="DH80" s="2" t="s">
        <v>3</v>
      </c>
      <c r="DI80" s="2" t="s">
        <v>3</v>
      </c>
      <c r="DJ80" s="2" t="s">
        <v>3</v>
      </c>
      <c r="DK80" s="2" t="s">
        <v>3</v>
      </c>
      <c r="DL80" s="2" t="s">
        <v>3</v>
      </c>
      <c r="DM80" s="2" t="s">
        <v>3</v>
      </c>
      <c r="DN80" s="2">
        <v>0</v>
      </c>
      <c r="DO80" s="2">
        <v>0</v>
      </c>
      <c r="DP80" s="2">
        <v>1</v>
      </c>
      <c r="DQ80" s="2">
        <v>1</v>
      </c>
      <c r="DR80" s="2"/>
      <c r="DS80" s="2"/>
      <c r="DT80" s="2"/>
      <c r="DU80" s="2">
        <v>1013</v>
      </c>
      <c r="DV80" s="2" t="s">
        <v>130</v>
      </c>
      <c r="DW80" s="2" t="s">
        <v>130</v>
      </c>
      <c r="DX80" s="2">
        <v>1</v>
      </c>
      <c r="DY80" s="2"/>
      <c r="DZ80" s="2" t="s">
        <v>3</v>
      </c>
      <c r="EA80" s="2" t="s">
        <v>3</v>
      </c>
      <c r="EB80" s="2" t="s">
        <v>3</v>
      </c>
      <c r="EC80" s="2" t="s">
        <v>3</v>
      </c>
      <c r="ED80" s="2"/>
      <c r="EE80" s="2">
        <v>72340530</v>
      </c>
      <c r="EF80" s="2">
        <v>8</v>
      </c>
      <c r="EG80" s="2" t="s">
        <v>124</v>
      </c>
      <c r="EH80" s="2">
        <v>0</v>
      </c>
      <c r="EI80" s="2" t="s">
        <v>3</v>
      </c>
      <c r="EJ80" s="2">
        <v>1</v>
      </c>
      <c r="EK80" s="2">
        <v>500001</v>
      </c>
      <c r="EL80" s="2" t="s">
        <v>125</v>
      </c>
      <c r="EM80" s="2" t="s">
        <v>126</v>
      </c>
      <c r="EN80" s="2"/>
      <c r="EO80" s="2" t="s">
        <v>3</v>
      </c>
      <c r="EP80" s="2"/>
      <c r="EQ80" s="2">
        <v>0</v>
      </c>
      <c r="ER80" s="2">
        <v>7414.09</v>
      </c>
      <c r="ES80" s="2">
        <v>7414.09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v>0</v>
      </c>
      <c r="FS80" s="2">
        <v>0</v>
      </c>
      <c r="FT80" s="2"/>
      <c r="FU80" s="2"/>
      <c r="FV80" s="2"/>
      <c r="FW80" s="2"/>
      <c r="FX80" s="2">
        <v>0</v>
      </c>
      <c r="FY80" s="2">
        <v>0</v>
      </c>
      <c r="FZ80" s="2"/>
      <c r="GA80" s="2" t="s">
        <v>3</v>
      </c>
      <c r="GB80" s="2"/>
      <c r="GC80" s="2"/>
      <c r="GD80" s="2">
        <v>1</v>
      </c>
      <c r="GE80" s="2"/>
      <c r="GF80" s="2">
        <v>521127076</v>
      </c>
      <c r="GG80" s="2">
        <v>2</v>
      </c>
      <c r="GH80" s="2">
        <v>1</v>
      </c>
      <c r="GI80" s="2">
        <v>2</v>
      </c>
      <c r="GJ80" s="2">
        <v>0</v>
      </c>
      <c r="GK80" s="2">
        <v>0</v>
      </c>
      <c r="GL80" s="2">
        <f t="shared" si="61"/>
        <v>0</v>
      </c>
      <c r="GM80" s="2">
        <f t="shared" si="62"/>
        <v>7636.51</v>
      </c>
      <c r="GN80" s="2">
        <f t="shared" si="63"/>
        <v>7636.51</v>
      </c>
      <c r="GO80" s="2">
        <f t="shared" si="64"/>
        <v>0</v>
      </c>
      <c r="GP80" s="2">
        <f t="shared" si="65"/>
        <v>0</v>
      </c>
      <c r="GQ80" s="2"/>
      <c r="GR80" s="2">
        <v>0</v>
      </c>
      <c r="GS80" s="2">
        <v>3</v>
      </c>
      <c r="GT80" s="2">
        <v>0</v>
      </c>
      <c r="GU80" s="2" t="s">
        <v>3</v>
      </c>
      <c r="GV80" s="2">
        <f t="shared" si="66"/>
        <v>0</v>
      </c>
      <c r="GW80" s="2">
        <v>1</v>
      </c>
      <c r="GX80" s="2">
        <f t="shared" si="67"/>
        <v>0</v>
      </c>
      <c r="GY80" s="2"/>
      <c r="GZ80" s="2"/>
      <c r="HA80" s="2">
        <v>0</v>
      </c>
      <c r="HB80" s="2">
        <v>0</v>
      </c>
      <c r="HC80" s="2">
        <f t="shared" si="68"/>
        <v>0</v>
      </c>
      <c r="HD80" s="2"/>
      <c r="HE80" s="2" t="s">
        <v>3</v>
      </c>
      <c r="HF80" s="2" t="s">
        <v>3</v>
      </c>
      <c r="HG80" s="2"/>
      <c r="HH80" s="2"/>
      <c r="HI80" s="2"/>
      <c r="HJ80" s="2"/>
      <c r="HK80" s="2"/>
      <c r="HL80" s="2"/>
      <c r="HM80" s="2" t="s">
        <v>3</v>
      </c>
      <c r="HN80" s="2" t="s">
        <v>3</v>
      </c>
      <c r="HO80" s="2" t="s">
        <v>3</v>
      </c>
      <c r="HP80" s="2" t="s">
        <v>3</v>
      </c>
      <c r="HQ80" s="2" t="s">
        <v>3</v>
      </c>
      <c r="HR80" s="2"/>
      <c r="HS80" s="2">
        <v>0</v>
      </c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x14ac:dyDescent="0.2">
      <c r="A81" s="2">
        <v>17</v>
      </c>
      <c r="B81" s="2">
        <v>1</v>
      </c>
      <c r="C81" s="2">
        <f>ROW(SmtRes!A76)</f>
        <v>76</v>
      </c>
      <c r="D81" s="2">
        <f>ROW(EtalonRes!A85)</f>
        <v>85</v>
      </c>
      <c r="E81" s="2" t="s">
        <v>169</v>
      </c>
      <c r="F81" s="2" t="s">
        <v>170</v>
      </c>
      <c r="G81" s="2" t="s">
        <v>171</v>
      </c>
      <c r="H81" s="2" t="s">
        <v>172</v>
      </c>
      <c r="I81" s="2">
        <v>2</v>
      </c>
      <c r="J81" s="2">
        <v>0</v>
      </c>
      <c r="K81" s="2">
        <v>2</v>
      </c>
      <c r="L81" s="2"/>
      <c r="M81" s="2"/>
      <c r="N81" s="2"/>
      <c r="O81" s="2">
        <f t="shared" si="50"/>
        <v>3440.48</v>
      </c>
      <c r="P81" s="2">
        <f>SUMIF(SmtRes!AQ64:'SmtRes'!AQ76,"=1",SmtRes!DF64:'SmtRes'!DF76)</f>
        <v>526.51</v>
      </c>
      <c r="Q81" s="2">
        <f>SUMIF(SmtRes!AQ64:'SmtRes'!AQ76,"=1",SmtRes!DG64:'SmtRes'!DG76)</f>
        <v>1255.9000000000001</v>
      </c>
      <c r="R81" s="2">
        <f>SUMIF(SmtRes!AQ64:'SmtRes'!AQ76,"=1",SmtRes!DH64:'SmtRes'!DH76)</f>
        <v>452.93</v>
      </c>
      <c r="S81" s="2">
        <f>SUMIF(SmtRes!AQ64:'SmtRes'!AQ76,"=1",SmtRes!DI64:'SmtRes'!DI76)</f>
        <v>1205.1400000000001</v>
      </c>
      <c r="T81" s="2">
        <f t="shared" si="51"/>
        <v>0</v>
      </c>
      <c r="U81" s="2">
        <f>SUMIF(SmtRes!AQ64:'SmtRes'!AQ76,"=1",SmtRes!CV64:'SmtRes'!CV76)</f>
        <v>3.08</v>
      </c>
      <c r="V81" s="2">
        <f>SUMIF(SmtRes!AQ64:'SmtRes'!AQ76,"=1",SmtRes!CW64:'SmtRes'!CW76)</f>
        <v>0.96</v>
      </c>
      <c r="W81" s="2">
        <f t="shared" si="52"/>
        <v>0</v>
      </c>
      <c r="X81" s="2">
        <f t="shared" si="53"/>
        <v>1939.94</v>
      </c>
      <c r="Y81" s="2">
        <f t="shared" si="54"/>
        <v>1226.97</v>
      </c>
      <c r="Z81" s="2"/>
      <c r="AA81" s="2">
        <v>73953415</v>
      </c>
      <c r="AB81" s="2">
        <f t="shared" si="55"/>
        <v>1406.2312099999999</v>
      </c>
      <c r="AC81" s="2">
        <f>ROUND((SUM(SmtRes!BQ64:'SmtRes'!BQ76)),6)</f>
        <v>175.72130999999999</v>
      </c>
      <c r="AD81" s="2">
        <f>ROUND((((SUM(SmtRes!BR64:'SmtRes'!BR76))-(SUM(SmtRes!BS64:'SmtRes'!BS76)))+AE81),6)</f>
        <v>627.93870000000004</v>
      </c>
      <c r="AE81" s="2">
        <f>ROUND((SUM(SmtRes!BS64:'SmtRes'!BS76)),6)</f>
        <v>226.46520000000001</v>
      </c>
      <c r="AF81" s="2">
        <f>ROUND((SUM(SmtRes!BT64:'SmtRes'!BT76)),6)</f>
        <v>602.57119999999998</v>
      </c>
      <c r="AG81" s="2">
        <f t="shared" si="56"/>
        <v>0</v>
      </c>
      <c r="AH81" s="2">
        <f>(SUM(SmtRes!BU64:'SmtRes'!BU76))</f>
        <v>1.54</v>
      </c>
      <c r="AI81" s="2">
        <f>(SUM(SmtRes!BV64:'SmtRes'!BV76))</f>
        <v>0.48</v>
      </c>
      <c r="AJ81" s="2">
        <f t="shared" si="57"/>
        <v>0</v>
      </c>
      <c r="AK81" s="2">
        <v>1632.69641</v>
      </c>
      <c r="AL81" s="2">
        <v>175.72131000000002</v>
      </c>
      <c r="AM81" s="2">
        <v>627.93870000000004</v>
      </c>
      <c r="AN81" s="2">
        <v>226.46519999999998</v>
      </c>
      <c r="AO81" s="2">
        <v>602.57119999999998</v>
      </c>
      <c r="AP81" s="2">
        <v>0</v>
      </c>
      <c r="AQ81" s="2">
        <v>1.54</v>
      </c>
      <c r="AR81" s="2">
        <v>0.48</v>
      </c>
      <c r="AS81" s="2">
        <v>0</v>
      </c>
      <c r="AT81" s="2">
        <v>117</v>
      </c>
      <c r="AU81" s="2">
        <v>74</v>
      </c>
      <c r="AV81" s="2">
        <v>1</v>
      </c>
      <c r="AW81" s="2">
        <v>1</v>
      </c>
      <c r="AX81" s="2"/>
      <c r="AY81" s="2"/>
      <c r="AZ81" s="2">
        <v>1</v>
      </c>
      <c r="BA81" s="2">
        <v>1</v>
      </c>
      <c r="BB81" s="2">
        <v>1</v>
      </c>
      <c r="BC81" s="2">
        <v>1</v>
      </c>
      <c r="BD81" s="2" t="s">
        <v>3</v>
      </c>
      <c r="BE81" s="2" t="s">
        <v>3</v>
      </c>
      <c r="BF81" s="2" t="s">
        <v>3</v>
      </c>
      <c r="BG81" s="2" t="s">
        <v>3</v>
      </c>
      <c r="BH81" s="2">
        <v>0</v>
      </c>
      <c r="BI81" s="2">
        <v>1</v>
      </c>
      <c r="BJ81" s="2" t="s">
        <v>173</v>
      </c>
      <c r="BK81" s="2"/>
      <c r="BL81" s="2"/>
      <c r="BM81" s="2">
        <v>24001</v>
      </c>
      <c r="BN81" s="2">
        <v>0</v>
      </c>
      <c r="BO81" s="2" t="s">
        <v>3</v>
      </c>
      <c r="BP81" s="2">
        <v>0</v>
      </c>
      <c r="BQ81" s="2">
        <v>2</v>
      </c>
      <c r="BR81" s="2">
        <v>0</v>
      </c>
      <c r="BS81" s="2">
        <v>1</v>
      </c>
      <c r="BT81" s="2">
        <v>1</v>
      </c>
      <c r="BU81" s="2">
        <v>1</v>
      </c>
      <c r="BV81" s="2">
        <v>1</v>
      </c>
      <c r="BW81" s="2">
        <v>1</v>
      </c>
      <c r="BX81" s="2">
        <v>1</v>
      </c>
      <c r="BY81" s="2" t="s">
        <v>3</v>
      </c>
      <c r="BZ81" s="2">
        <v>117</v>
      </c>
      <c r="CA81" s="2">
        <v>74</v>
      </c>
      <c r="CB81" s="2" t="s">
        <v>3</v>
      </c>
      <c r="CC81" s="2"/>
      <c r="CD81" s="2"/>
      <c r="CE81" s="2">
        <v>0</v>
      </c>
      <c r="CF81" s="2">
        <v>0</v>
      </c>
      <c r="CG81" s="2">
        <v>0</v>
      </c>
      <c r="CH81" s="2"/>
      <c r="CI81" s="2"/>
      <c r="CJ81" s="2"/>
      <c r="CK81" s="2"/>
      <c r="CL81" s="2"/>
      <c r="CM81" s="2">
        <v>0</v>
      </c>
      <c r="CN81" s="2" t="s">
        <v>3</v>
      </c>
      <c r="CO81" s="2">
        <v>0</v>
      </c>
      <c r="CP81" s="2">
        <f t="shared" si="58"/>
        <v>3440.48</v>
      </c>
      <c r="CQ81" s="2">
        <f>SUMIF(SmtRes!AQ64:'SmtRes'!AQ76,"=1",SmtRes!AA64:'SmtRes'!AA76)</f>
        <v>8774.01</v>
      </c>
      <c r="CR81" s="2">
        <f>SUMIF(SmtRes!AQ64:'SmtRes'!AQ76,"=1",SmtRes!AB64:'SmtRes'!AB76)</f>
        <v>2541.64</v>
      </c>
      <c r="CS81" s="2">
        <f>SUMIF(SmtRes!AQ64:'SmtRes'!AQ76,"=1",SmtRes!AC64:'SmtRes'!AC76)</f>
        <v>937.88</v>
      </c>
      <c r="CT81" s="2">
        <f>SUMIF(SmtRes!AQ64:'SmtRes'!AQ76,"=1",SmtRes!AD64:'SmtRes'!AD76)</f>
        <v>391.28</v>
      </c>
      <c r="CU81" s="2">
        <f t="shared" si="59"/>
        <v>0</v>
      </c>
      <c r="CV81" s="2">
        <f>SUMIF(SmtRes!AQ64:'SmtRes'!AQ76,"=1",SmtRes!BU64:'SmtRes'!BU76)</f>
        <v>1.54</v>
      </c>
      <c r="CW81" s="2">
        <f>SUMIF(SmtRes!AQ64:'SmtRes'!AQ76,"=1",SmtRes!BV64:'SmtRes'!BV76)</f>
        <v>0.48</v>
      </c>
      <c r="CX81" s="2">
        <f t="shared" si="60"/>
        <v>0</v>
      </c>
      <c r="CY81" s="2">
        <f>(((S81+R81)*AT81)/100)</f>
        <v>1939.9419000000003</v>
      </c>
      <c r="CZ81" s="2">
        <f>(((S81+R81)*AU81)/100)</f>
        <v>1226.9718</v>
      </c>
      <c r="DA81" s="2"/>
      <c r="DB81" s="2"/>
      <c r="DC81" s="2" t="s">
        <v>3</v>
      </c>
      <c r="DD81" s="2" t="s">
        <v>3</v>
      </c>
      <c r="DE81" s="2" t="s">
        <v>3</v>
      </c>
      <c r="DF81" s="2" t="s">
        <v>3</v>
      </c>
      <c r="DG81" s="2" t="s">
        <v>3</v>
      </c>
      <c r="DH81" s="2" t="s">
        <v>3</v>
      </c>
      <c r="DI81" s="2" t="s">
        <v>3</v>
      </c>
      <c r="DJ81" s="2" t="s">
        <v>3</v>
      </c>
      <c r="DK81" s="2" t="s">
        <v>3</v>
      </c>
      <c r="DL81" s="2" t="s">
        <v>3</v>
      </c>
      <c r="DM81" s="2" t="s">
        <v>3</v>
      </c>
      <c r="DN81" s="2">
        <v>0</v>
      </c>
      <c r="DO81" s="2">
        <v>0</v>
      </c>
      <c r="DP81" s="2">
        <v>1</v>
      </c>
      <c r="DQ81" s="2">
        <v>1</v>
      </c>
      <c r="DR81" s="2"/>
      <c r="DS81" s="2"/>
      <c r="DT81" s="2"/>
      <c r="DU81" s="2">
        <v>1013</v>
      </c>
      <c r="DV81" s="2" t="s">
        <v>172</v>
      </c>
      <c r="DW81" s="2" t="s">
        <v>172</v>
      </c>
      <c r="DX81" s="2">
        <v>1</v>
      </c>
      <c r="DY81" s="2"/>
      <c r="DZ81" s="2" t="s">
        <v>3</v>
      </c>
      <c r="EA81" s="2" t="s">
        <v>3</v>
      </c>
      <c r="EB81" s="2" t="s">
        <v>3</v>
      </c>
      <c r="EC81" s="2" t="s">
        <v>3</v>
      </c>
      <c r="ED81" s="2"/>
      <c r="EE81" s="2">
        <v>72340632</v>
      </c>
      <c r="EF81" s="2">
        <v>2</v>
      </c>
      <c r="EG81" s="2" t="s">
        <v>23</v>
      </c>
      <c r="EH81" s="2">
        <v>18</v>
      </c>
      <c r="EI81" s="2" t="s">
        <v>41</v>
      </c>
      <c r="EJ81" s="2">
        <v>1</v>
      </c>
      <c r="EK81" s="2">
        <v>24001</v>
      </c>
      <c r="EL81" s="2" t="s">
        <v>41</v>
      </c>
      <c r="EM81" s="2" t="s">
        <v>118</v>
      </c>
      <c r="EN81" s="2"/>
      <c r="EO81" s="2" t="s">
        <v>3</v>
      </c>
      <c r="EP81" s="2"/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1.54</v>
      </c>
      <c r="EX81" s="2">
        <v>0.48</v>
      </c>
      <c r="EY81" s="2">
        <v>0</v>
      </c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>
        <v>0</v>
      </c>
      <c r="FR81" s="2">
        <v>0</v>
      </c>
      <c r="FS81" s="2">
        <v>0</v>
      </c>
      <c r="FT81" s="2"/>
      <c r="FU81" s="2"/>
      <c r="FV81" s="2"/>
      <c r="FW81" s="2"/>
      <c r="FX81" s="2">
        <v>117</v>
      </c>
      <c r="FY81" s="2">
        <v>74</v>
      </c>
      <c r="FZ81" s="2"/>
      <c r="GA81" s="2" t="s">
        <v>3</v>
      </c>
      <c r="GB81" s="2"/>
      <c r="GC81" s="2"/>
      <c r="GD81" s="2">
        <v>1</v>
      </c>
      <c r="GE81" s="2"/>
      <c r="GF81" s="2">
        <v>-1389248903</v>
      </c>
      <c r="GG81" s="2">
        <v>2</v>
      </c>
      <c r="GH81" s="2">
        <v>1</v>
      </c>
      <c r="GI81" s="2">
        <v>-2</v>
      </c>
      <c r="GJ81" s="2">
        <v>0</v>
      </c>
      <c r="GK81" s="2">
        <v>0</v>
      </c>
      <c r="GL81" s="2">
        <f t="shared" si="61"/>
        <v>0</v>
      </c>
      <c r="GM81" s="2">
        <f t="shared" si="62"/>
        <v>6607.39</v>
      </c>
      <c r="GN81" s="2">
        <f t="shared" si="63"/>
        <v>6607.39</v>
      </c>
      <c r="GO81" s="2">
        <f t="shared" si="64"/>
        <v>0</v>
      </c>
      <c r="GP81" s="2">
        <f t="shared" si="65"/>
        <v>0</v>
      </c>
      <c r="GQ81" s="2"/>
      <c r="GR81" s="2">
        <v>0</v>
      </c>
      <c r="GS81" s="2">
        <v>3</v>
      </c>
      <c r="GT81" s="2">
        <v>0</v>
      </c>
      <c r="GU81" s="2" t="s">
        <v>3</v>
      </c>
      <c r="GV81" s="2">
        <f t="shared" si="66"/>
        <v>0</v>
      </c>
      <c r="GW81" s="2">
        <v>1</v>
      </c>
      <c r="GX81" s="2">
        <f t="shared" si="67"/>
        <v>0</v>
      </c>
      <c r="GY81" s="2"/>
      <c r="GZ81" s="2"/>
      <c r="HA81" s="2">
        <v>0</v>
      </c>
      <c r="HB81" s="2">
        <v>0</v>
      </c>
      <c r="HC81" s="2">
        <f t="shared" si="68"/>
        <v>0</v>
      </c>
      <c r="HD81" s="2"/>
      <c r="HE81" s="2" t="s">
        <v>3</v>
      </c>
      <c r="HF81" s="2" t="s">
        <v>3</v>
      </c>
      <c r="HG81" s="2"/>
      <c r="HH81" s="2"/>
      <c r="HI81" s="2"/>
      <c r="HJ81" s="2"/>
      <c r="HK81" s="2"/>
      <c r="HL81" s="2"/>
      <c r="HM81" s="2" t="s">
        <v>3</v>
      </c>
      <c r="HN81" s="2" t="s">
        <v>43</v>
      </c>
      <c r="HO81" s="2" t="s">
        <v>44</v>
      </c>
      <c r="HP81" s="2" t="s">
        <v>41</v>
      </c>
      <c r="HQ81" s="2" t="s">
        <v>41</v>
      </c>
      <c r="HR81" s="2"/>
      <c r="HS81" s="2">
        <v>0</v>
      </c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>
        <v>0</v>
      </c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 x14ac:dyDescent="0.2">
      <c r="A82" s="2">
        <v>18</v>
      </c>
      <c r="B82" s="2">
        <v>1</v>
      </c>
      <c r="C82" s="2">
        <v>76</v>
      </c>
      <c r="D82" s="2"/>
      <c r="E82" s="2" t="s">
        <v>174</v>
      </c>
      <c r="F82" s="2" t="s">
        <v>175</v>
      </c>
      <c r="G82" s="2" t="s">
        <v>176</v>
      </c>
      <c r="H82" s="2" t="s">
        <v>130</v>
      </c>
      <c r="I82" s="2">
        <f>I81*J82</f>
        <v>2</v>
      </c>
      <c r="J82" s="2">
        <v>1</v>
      </c>
      <c r="K82" s="2">
        <v>1</v>
      </c>
      <c r="L82" s="2"/>
      <c r="M82" s="2"/>
      <c r="N82" s="2"/>
      <c r="O82" s="2">
        <f t="shared" si="50"/>
        <v>24444.46</v>
      </c>
      <c r="P82" s="2">
        <f>ROUND(CQ82*I82,2)</f>
        <v>24444.46</v>
      </c>
      <c r="Q82" s="2">
        <f>ROUND(CR82*I82,2)</f>
        <v>0</v>
      </c>
      <c r="R82" s="2">
        <f>ROUND(CS82*I82,2)</f>
        <v>0</v>
      </c>
      <c r="S82" s="2">
        <f>ROUND(CT82*I82,2)</f>
        <v>0</v>
      </c>
      <c r="T82" s="2">
        <f t="shared" si="51"/>
        <v>0</v>
      </c>
      <c r="U82" s="2">
        <f>ROUND(CV82*I82,7)</f>
        <v>0</v>
      </c>
      <c r="V82" s="2">
        <f>ROUND(CW82*I82,7)</f>
        <v>0</v>
      </c>
      <c r="W82" s="2">
        <f t="shared" si="52"/>
        <v>0</v>
      </c>
      <c r="X82" s="2">
        <f t="shared" si="53"/>
        <v>0</v>
      </c>
      <c r="Y82" s="2">
        <f t="shared" si="54"/>
        <v>0</v>
      </c>
      <c r="Z82" s="2"/>
      <c r="AA82" s="2">
        <v>73953415</v>
      </c>
      <c r="AB82" s="2">
        <f t="shared" si="55"/>
        <v>8792.9699999999993</v>
      </c>
      <c r="AC82" s="2">
        <f>ROUND((ES82),6)</f>
        <v>8792.9699999999993</v>
      </c>
      <c r="AD82" s="2">
        <f>ROUND((((ET82)-(EU82))+AE82),6)</f>
        <v>0</v>
      </c>
      <c r="AE82" s="2">
        <f>ROUND((EU82),6)</f>
        <v>0</v>
      </c>
      <c r="AF82" s="2">
        <f>ROUND((EV82),6)</f>
        <v>0</v>
      </c>
      <c r="AG82" s="2">
        <f t="shared" si="56"/>
        <v>0</v>
      </c>
      <c r="AH82" s="2">
        <f>(EW82)</f>
        <v>0</v>
      </c>
      <c r="AI82" s="2">
        <f>(EX82)</f>
        <v>0</v>
      </c>
      <c r="AJ82" s="2">
        <f t="shared" si="57"/>
        <v>0</v>
      </c>
      <c r="AK82" s="2">
        <v>8792.9699999999993</v>
      </c>
      <c r="AL82" s="2">
        <v>8792.9699999999993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117</v>
      </c>
      <c r="AU82" s="2">
        <v>74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1.39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3</v>
      </c>
      <c r="BI82" s="2">
        <v>1</v>
      </c>
      <c r="BJ82" s="2" t="s">
        <v>177</v>
      </c>
      <c r="BK82" s="2"/>
      <c r="BL82" s="2"/>
      <c r="BM82" s="2">
        <v>24001</v>
      </c>
      <c r="BN82" s="2">
        <v>0</v>
      </c>
      <c r="BO82" s="2" t="s">
        <v>175</v>
      </c>
      <c r="BP82" s="2">
        <v>1</v>
      </c>
      <c r="BQ82" s="2">
        <v>2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117</v>
      </c>
      <c r="CA82" s="2">
        <v>74</v>
      </c>
      <c r="CB82" s="2" t="s">
        <v>3</v>
      </c>
      <c r="CC82" s="2"/>
      <c r="CD82" s="2"/>
      <c r="CE82" s="2">
        <v>0</v>
      </c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58"/>
        <v>24444.46</v>
      </c>
      <c r="CQ82" s="2">
        <f>ROUND(AL82*BC82,2)</f>
        <v>12222.23</v>
      </c>
      <c r="CR82" s="2">
        <f>ROUND(AM82*BB82,2)</f>
        <v>0</v>
      </c>
      <c r="CS82" s="2">
        <f>ROUND(AN82*BS82,2)</f>
        <v>0</v>
      </c>
      <c r="CT82" s="2">
        <f>ROUND(AO82*BA82,2)</f>
        <v>0</v>
      </c>
      <c r="CU82" s="2">
        <f t="shared" si="59"/>
        <v>0</v>
      </c>
      <c r="CV82" s="2">
        <f>AH82</f>
        <v>0</v>
      </c>
      <c r="CW82" s="2">
        <f>AI82</f>
        <v>0</v>
      </c>
      <c r="CX82" s="2">
        <f t="shared" si="60"/>
        <v>0</v>
      </c>
      <c r="CY82" s="2">
        <f>(((S82+R82)*AT82)/100)</f>
        <v>0</v>
      </c>
      <c r="CZ82" s="2">
        <f>(((S82+R82)*AU82)/100)</f>
        <v>0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0</v>
      </c>
      <c r="DO82" s="2">
        <v>0</v>
      </c>
      <c r="DP82" s="2">
        <v>1</v>
      </c>
      <c r="DQ82" s="2">
        <v>1</v>
      </c>
      <c r="DR82" s="2"/>
      <c r="DS82" s="2"/>
      <c r="DT82" s="2"/>
      <c r="DU82" s="2">
        <v>1013</v>
      </c>
      <c r="DV82" s="2" t="s">
        <v>130</v>
      </c>
      <c r="DW82" s="2" t="s">
        <v>130</v>
      </c>
      <c r="DX82" s="2">
        <v>1</v>
      </c>
      <c r="DY82" s="2"/>
      <c r="DZ82" s="2" t="s">
        <v>3</v>
      </c>
      <c r="EA82" s="2" t="s">
        <v>3</v>
      </c>
      <c r="EB82" s="2" t="s">
        <v>3</v>
      </c>
      <c r="EC82" s="2" t="s">
        <v>3</v>
      </c>
      <c r="ED82" s="2"/>
      <c r="EE82" s="2">
        <v>72340632</v>
      </c>
      <c r="EF82" s="2">
        <v>2</v>
      </c>
      <c r="EG82" s="2" t="s">
        <v>23</v>
      </c>
      <c r="EH82" s="2">
        <v>18</v>
      </c>
      <c r="EI82" s="2" t="s">
        <v>41</v>
      </c>
      <c r="EJ82" s="2">
        <v>1</v>
      </c>
      <c r="EK82" s="2">
        <v>24001</v>
      </c>
      <c r="EL82" s="2" t="s">
        <v>41</v>
      </c>
      <c r="EM82" s="2" t="s">
        <v>118</v>
      </c>
      <c r="EN82" s="2"/>
      <c r="EO82" s="2" t="s">
        <v>3</v>
      </c>
      <c r="EP82" s="2"/>
      <c r="EQ82" s="2">
        <v>0</v>
      </c>
      <c r="ER82" s="2">
        <v>8792.9699999999993</v>
      </c>
      <c r="ES82" s="2">
        <v>8792.9699999999993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v>0</v>
      </c>
      <c r="FS82" s="2">
        <v>0</v>
      </c>
      <c r="FT82" s="2"/>
      <c r="FU82" s="2"/>
      <c r="FV82" s="2"/>
      <c r="FW82" s="2"/>
      <c r="FX82" s="2">
        <v>117</v>
      </c>
      <c r="FY82" s="2">
        <v>74</v>
      </c>
      <c r="FZ82" s="2"/>
      <c r="GA82" s="2" t="s">
        <v>3</v>
      </c>
      <c r="GB82" s="2"/>
      <c r="GC82" s="2"/>
      <c r="GD82" s="2">
        <v>1</v>
      </c>
      <c r="GE82" s="2"/>
      <c r="GF82" s="2">
        <v>-450449238</v>
      </c>
      <c r="GG82" s="2">
        <v>2</v>
      </c>
      <c r="GH82" s="2">
        <v>1</v>
      </c>
      <c r="GI82" s="2">
        <v>2</v>
      </c>
      <c r="GJ82" s="2">
        <v>0</v>
      </c>
      <c r="GK82" s="2">
        <v>0</v>
      </c>
      <c r="GL82" s="2">
        <f t="shared" si="61"/>
        <v>0</v>
      </c>
      <c r="GM82" s="2">
        <f t="shared" si="62"/>
        <v>24444.46</v>
      </c>
      <c r="GN82" s="2">
        <f t="shared" si="63"/>
        <v>24444.46</v>
      </c>
      <c r="GO82" s="2">
        <f t="shared" si="64"/>
        <v>0</v>
      </c>
      <c r="GP82" s="2">
        <f t="shared" si="65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66"/>
        <v>0</v>
      </c>
      <c r="GW82" s="2">
        <v>1</v>
      </c>
      <c r="GX82" s="2">
        <f t="shared" si="67"/>
        <v>0</v>
      </c>
      <c r="GY82" s="2"/>
      <c r="GZ82" s="2"/>
      <c r="HA82" s="2">
        <v>0</v>
      </c>
      <c r="HB82" s="2">
        <v>0</v>
      </c>
      <c r="HC82" s="2">
        <f t="shared" si="68"/>
        <v>0</v>
      </c>
      <c r="HD82" s="2"/>
      <c r="HE82" s="2" t="s">
        <v>3</v>
      </c>
      <c r="HF82" s="2" t="s">
        <v>3</v>
      </c>
      <c r="HG82" s="2"/>
      <c r="HH82" s="2"/>
      <c r="HI82" s="2"/>
      <c r="HJ82" s="2"/>
      <c r="HK82" s="2"/>
      <c r="HL82" s="2"/>
      <c r="HM82" s="2" t="s">
        <v>3</v>
      </c>
      <c r="HN82" s="2" t="s">
        <v>43</v>
      </c>
      <c r="HO82" s="2" t="s">
        <v>44</v>
      </c>
      <c r="HP82" s="2" t="s">
        <v>41</v>
      </c>
      <c r="HQ82" s="2" t="s">
        <v>41</v>
      </c>
      <c r="HR82" s="2"/>
      <c r="HS82" s="2">
        <v>0</v>
      </c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x14ac:dyDescent="0.2">
      <c r="A83" s="2">
        <v>17</v>
      </c>
      <c r="B83" s="2">
        <v>1</v>
      </c>
      <c r="C83" s="2">
        <f>ROW(SmtRes!A92)</f>
        <v>92</v>
      </c>
      <c r="D83" s="2">
        <f>ROW(EtalonRes!A102)</f>
        <v>102</v>
      </c>
      <c r="E83" s="2" t="s">
        <v>178</v>
      </c>
      <c r="F83" s="2" t="s">
        <v>179</v>
      </c>
      <c r="G83" s="2" t="s">
        <v>180</v>
      </c>
      <c r="H83" s="2" t="s">
        <v>130</v>
      </c>
      <c r="I83" s="2">
        <v>1</v>
      </c>
      <c r="J83" s="2">
        <v>0</v>
      </c>
      <c r="K83" s="2">
        <v>1</v>
      </c>
      <c r="L83" s="2"/>
      <c r="M83" s="2"/>
      <c r="N83" s="2"/>
      <c r="O83" s="2">
        <f t="shared" si="50"/>
        <v>4478.76</v>
      </c>
      <c r="P83" s="2">
        <f>SUMIF(SmtRes!AQ77:'SmtRes'!AQ92,"=1",SmtRes!DF77:'SmtRes'!DF92)</f>
        <v>1676.9399999999998</v>
      </c>
      <c r="Q83" s="2">
        <f>SUMIF(SmtRes!AQ77:'SmtRes'!AQ92,"=1",SmtRes!DG77:'SmtRes'!DG92)</f>
        <v>203.84</v>
      </c>
      <c r="R83" s="2">
        <f>SUMIF(SmtRes!AQ77:'SmtRes'!AQ92,"=1",SmtRes!DH77:'SmtRes'!DH92)</f>
        <v>56.03</v>
      </c>
      <c r="S83" s="2">
        <f>SUMIF(SmtRes!AQ77:'SmtRes'!AQ92,"=1",SmtRes!DI77:'SmtRes'!DI92)</f>
        <v>2541.9499999999998</v>
      </c>
      <c r="T83" s="2">
        <f t="shared" si="51"/>
        <v>0</v>
      </c>
      <c r="U83" s="2">
        <f>SUMIF(SmtRes!AQ77:'SmtRes'!AQ92,"=1",SmtRes!CV77:'SmtRes'!CV92)</f>
        <v>5.91</v>
      </c>
      <c r="V83" s="2">
        <f>SUMIF(SmtRes!AQ77:'SmtRes'!AQ92,"=1",SmtRes!CW77:'SmtRes'!CW92)</f>
        <v>0.14000000000000001</v>
      </c>
      <c r="W83" s="2">
        <f t="shared" si="52"/>
        <v>0</v>
      </c>
      <c r="X83" s="2">
        <f t="shared" si="53"/>
        <v>3039.64</v>
      </c>
      <c r="Y83" s="2">
        <f t="shared" si="54"/>
        <v>1922.51</v>
      </c>
      <c r="Z83" s="2"/>
      <c r="AA83" s="2">
        <v>73953415</v>
      </c>
      <c r="AB83" s="2">
        <f t="shared" si="55"/>
        <v>4370.5256390000004</v>
      </c>
      <c r="AC83" s="2">
        <f>ROUND((SUM(SmtRes!BQ77:'SmtRes'!BQ92)),6)</f>
        <v>1625.781039</v>
      </c>
      <c r="AD83" s="2">
        <f>ROUND((((SUM(SmtRes!BR77:'SmtRes'!BR92))-(SUM(SmtRes!BS77:'SmtRes'!BS92)))+AE83),6)</f>
        <v>202.7945</v>
      </c>
      <c r="AE83" s="2">
        <f>ROUND((SUM(SmtRes!BS77:'SmtRes'!BS92)),6)</f>
        <v>56.0336</v>
      </c>
      <c r="AF83" s="2">
        <f>ROUND((SUM(SmtRes!BT77:'SmtRes'!BT92)),6)</f>
        <v>2541.9501</v>
      </c>
      <c r="AG83" s="2">
        <f t="shared" si="56"/>
        <v>0</v>
      </c>
      <c r="AH83" s="2">
        <f>(SUM(SmtRes!BU77:'SmtRes'!BU92))</f>
        <v>5.91</v>
      </c>
      <c r="AI83" s="2">
        <f>(SUM(SmtRes!BV77:'SmtRes'!BV92))</f>
        <v>0.14000000000000001</v>
      </c>
      <c r="AJ83" s="2">
        <f t="shared" si="57"/>
        <v>0</v>
      </c>
      <c r="AK83" s="2">
        <v>4426.5592393999996</v>
      </c>
      <c r="AL83" s="2">
        <v>1625.7810393999998</v>
      </c>
      <c r="AM83" s="2">
        <v>202.79450000000003</v>
      </c>
      <c r="AN83" s="2">
        <v>56.033600000000007</v>
      </c>
      <c r="AO83" s="2">
        <v>2541.9501</v>
      </c>
      <c r="AP83" s="2">
        <v>0</v>
      </c>
      <c r="AQ83" s="2">
        <v>5.91</v>
      </c>
      <c r="AR83" s="2">
        <v>0.14000000000000001</v>
      </c>
      <c r="AS83" s="2">
        <v>0</v>
      </c>
      <c r="AT83" s="2">
        <v>117</v>
      </c>
      <c r="AU83" s="2">
        <v>74</v>
      </c>
      <c r="AV83" s="2">
        <v>1</v>
      </c>
      <c r="AW83" s="2">
        <v>1</v>
      </c>
      <c r="AX83" s="2"/>
      <c r="AY83" s="2"/>
      <c r="AZ83" s="2">
        <v>1</v>
      </c>
      <c r="BA83" s="2">
        <v>1</v>
      </c>
      <c r="BB83" s="2">
        <v>1</v>
      </c>
      <c r="BC83" s="2">
        <v>1</v>
      </c>
      <c r="BD83" s="2" t="s">
        <v>3</v>
      </c>
      <c r="BE83" s="2" t="s">
        <v>3</v>
      </c>
      <c r="BF83" s="2" t="s">
        <v>3</v>
      </c>
      <c r="BG83" s="2" t="s">
        <v>3</v>
      </c>
      <c r="BH83" s="2">
        <v>0</v>
      </c>
      <c r="BI83" s="2">
        <v>1</v>
      </c>
      <c r="BJ83" s="2" t="s">
        <v>181</v>
      </c>
      <c r="BK83" s="2"/>
      <c r="BL83" s="2"/>
      <c r="BM83" s="2">
        <v>24001</v>
      </c>
      <c r="BN83" s="2">
        <v>0</v>
      </c>
      <c r="BO83" s="2" t="s">
        <v>3</v>
      </c>
      <c r="BP83" s="2">
        <v>0</v>
      </c>
      <c r="BQ83" s="2">
        <v>2</v>
      </c>
      <c r="BR83" s="2">
        <v>0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 t="s">
        <v>3</v>
      </c>
      <c r="BZ83" s="2">
        <v>117</v>
      </c>
      <c r="CA83" s="2">
        <v>74</v>
      </c>
      <c r="CB83" s="2" t="s">
        <v>3</v>
      </c>
      <c r="CC83" s="2"/>
      <c r="CD83" s="2"/>
      <c r="CE83" s="2">
        <v>0</v>
      </c>
      <c r="CF83" s="2">
        <v>0</v>
      </c>
      <c r="CG83" s="2">
        <v>0</v>
      </c>
      <c r="CH83" s="2"/>
      <c r="CI83" s="2"/>
      <c r="CJ83" s="2"/>
      <c r="CK83" s="2"/>
      <c r="CL83" s="2"/>
      <c r="CM83" s="2">
        <v>0</v>
      </c>
      <c r="CN83" s="2" t="s">
        <v>3</v>
      </c>
      <c r="CO83" s="2">
        <v>0</v>
      </c>
      <c r="CP83" s="2">
        <f t="shared" si="58"/>
        <v>4478.7599999999993</v>
      </c>
      <c r="CQ83" s="2">
        <f>SUMIF(SmtRes!AQ77:'SmtRes'!AQ92,"=1",SmtRes!AA77:'SmtRes'!AA92)</f>
        <v>725440.17000000016</v>
      </c>
      <c r="CR83" s="2">
        <f>SUMIF(SmtRes!AQ77:'SmtRes'!AQ92,"=1",SmtRes!AB77:'SmtRes'!AB92)</f>
        <v>705.48</v>
      </c>
      <c r="CS83" s="2">
        <f>SUMIF(SmtRes!AQ77:'SmtRes'!AQ92,"=1",SmtRes!AC77:'SmtRes'!AC92)</f>
        <v>400.24</v>
      </c>
      <c r="CT83" s="2">
        <f>SUMIF(SmtRes!AQ77:'SmtRes'!AQ92,"=1",SmtRes!AD77:'SmtRes'!AD92)</f>
        <v>430.11</v>
      </c>
      <c r="CU83" s="2">
        <f t="shared" si="59"/>
        <v>0</v>
      </c>
      <c r="CV83" s="2">
        <f>SUMIF(SmtRes!AQ77:'SmtRes'!AQ92,"=1",SmtRes!BU77:'SmtRes'!BU92)</f>
        <v>5.91</v>
      </c>
      <c r="CW83" s="2">
        <f>SUMIF(SmtRes!AQ77:'SmtRes'!AQ92,"=1",SmtRes!BV77:'SmtRes'!BV92)</f>
        <v>0.14000000000000001</v>
      </c>
      <c r="CX83" s="2">
        <f t="shared" si="60"/>
        <v>0</v>
      </c>
      <c r="CY83" s="2">
        <f>(((S83+R83)*AT83)/100)</f>
        <v>3039.6365999999998</v>
      </c>
      <c r="CZ83" s="2">
        <f>(((S83+R83)*AU83)/100)</f>
        <v>1922.5051999999998</v>
      </c>
      <c r="DA83" s="2"/>
      <c r="DB83" s="2"/>
      <c r="DC83" s="2" t="s">
        <v>3</v>
      </c>
      <c r="DD83" s="2" t="s">
        <v>3</v>
      </c>
      <c r="DE83" s="2" t="s">
        <v>3</v>
      </c>
      <c r="DF83" s="2" t="s">
        <v>3</v>
      </c>
      <c r="DG83" s="2" t="s">
        <v>3</v>
      </c>
      <c r="DH83" s="2" t="s">
        <v>3</v>
      </c>
      <c r="DI83" s="2" t="s">
        <v>3</v>
      </c>
      <c r="DJ83" s="2" t="s">
        <v>3</v>
      </c>
      <c r="DK83" s="2" t="s">
        <v>3</v>
      </c>
      <c r="DL83" s="2" t="s">
        <v>3</v>
      </c>
      <c r="DM83" s="2" t="s">
        <v>3</v>
      </c>
      <c r="DN83" s="2">
        <v>0</v>
      </c>
      <c r="DO83" s="2">
        <v>0</v>
      </c>
      <c r="DP83" s="2">
        <v>1</v>
      </c>
      <c r="DQ83" s="2">
        <v>1</v>
      </c>
      <c r="DR83" s="2"/>
      <c r="DS83" s="2"/>
      <c r="DT83" s="2"/>
      <c r="DU83" s="2">
        <v>1013</v>
      </c>
      <c r="DV83" s="2" t="s">
        <v>130</v>
      </c>
      <c r="DW83" s="2" t="s">
        <v>130</v>
      </c>
      <c r="DX83" s="2">
        <v>1</v>
      </c>
      <c r="DY83" s="2"/>
      <c r="DZ83" s="2" t="s">
        <v>3</v>
      </c>
      <c r="EA83" s="2" t="s">
        <v>3</v>
      </c>
      <c r="EB83" s="2" t="s">
        <v>3</v>
      </c>
      <c r="EC83" s="2" t="s">
        <v>3</v>
      </c>
      <c r="ED83" s="2"/>
      <c r="EE83" s="2">
        <v>72340632</v>
      </c>
      <c r="EF83" s="2">
        <v>2</v>
      </c>
      <c r="EG83" s="2" t="s">
        <v>23</v>
      </c>
      <c r="EH83" s="2">
        <v>18</v>
      </c>
      <c r="EI83" s="2" t="s">
        <v>41</v>
      </c>
      <c r="EJ83" s="2">
        <v>1</v>
      </c>
      <c r="EK83" s="2">
        <v>24001</v>
      </c>
      <c r="EL83" s="2" t="s">
        <v>41</v>
      </c>
      <c r="EM83" s="2" t="s">
        <v>118</v>
      </c>
      <c r="EN83" s="2"/>
      <c r="EO83" s="2" t="s">
        <v>3</v>
      </c>
      <c r="EP83" s="2"/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5.91</v>
      </c>
      <c r="EX83" s="2">
        <v>0.14000000000000001</v>
      </c>
      <c r="EY83" s="2">
        <v>0</v>
      </c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>
        <v>0</v>
      </c>
      <c r="FR83" s="2">
        <v>0</v>
      </c>
      <c r="FS83" s="2">
        <v>0</v>
      </c>
      <c r="FT83" s="2"/>
      <c r="FU83" s="2"/>
      <c r="FV83" s="2"/>
      <c r="FW83" s="2"/>
      <c r="FX83" s="2">
        <v>117</v>
      </c>
      <c r="FY83" s="2">
        <v>74</v>
      </c>
      <c r="FZ83" s="2"/>
      <c r="GA83" s="2" t="s">
        <v>3</v>
      </c>
      <c r="GB83" s="2"/>
      <c r="GC83" s="2"/>
      <c r="GD83" s="2">
        <v>1</v>
      </c>
      <c r="GE83" s="2"/>
      <c r="GF83" s="2">
        <v>-256154684</v>
      </c>
      <c r="GG83" s="2">
        <v>2</v>
      </c>
      <c r="GH83" s="2">
        <v>1</v>
      </c>
      <c r="GI83" s="2">
        <v>-2</v>
      </c>
      <c r="GJ83" s="2">
        <v>0</v>
      </c>
      <c r="GK83" s="2">
        <v>0</v>
      </c>
      <c r="GL83" s="2">
        <f t="shared" si="61"/>
        <v>0</v>
      </c>
      <c r="GM83" s="2">
        <f t="shared" si="62"/>
        <v>9440.91</v>
      </c>
      <c r="GN83" s="2">
        <f t="shared" si="63"/>
        <v>9440.91</v>
      </c>
      <c r="GO83" s="2">
        <f t="shared" si="64"/>
        <v>0</v>
      </c>
      <c r="GP83" s="2">
        <f t="shared" si="65"/>
        <v>0</v>
      </c>
      <c r="GQ83" s="2"/>
      <c r="GR83" s="2">
        <v>0</v>
      </c>
      <c r="GS83" s="2">
        <v>3</v>
      </c>
      <c r="GT83" s="2">
        <v>0</v>
      </c>
      <c r="GU83" s="2" t="s">
        <v>3</v>
      </c>
      <c r="GV83" s="2">
        <f t="shared" si="66"/>
        <v>0</v>
      </c>
      <c r="GW83" s="2">
        <v>1</v>
      </c>
      <c r="GX83" s="2">
        <f t="shared" si="67"/>
        <v>0</v>
      </c>
      <c r="GY83" s="2"/>
      <c r="GZ83" s="2"/>
      <c r="HA83" s="2">
        <v>0</v>
      </c>
      <c r="HB83" s="2">
        <v>0</v>
      </c>
      <c r="HC83" s="2">
        <f t="shared" si="68"/>
        <v>0</v>
      </c>
      <c r="HD83" s="2"/>
      <c r="HE83" s="2" t="s">
        <v>3</v>
      </c>
      <c r="HF83" s="2" t="s">
        <v>3</v>
      </c>
      <c r="HG83" s="2"/>
      <c r="HH83" s="2"/>
      <c r="HI83" s="2"/>
      <c r="HJ83" s="2"/>
      <c r="HK83" s="2"/>
      <c r="HL83" s="2"/>
      <c r="HM83" s="2" t="s">
        <v>3</v>
      </c>
      <c r="HN83" s="2" t="s">
        <v>43</v>
      </c>
      <c r="HO83" s="2" t="s">
        <v>44</v>
      </c>
      <c r="HP83" s="2" t="s">
        <v>41</v>
      </c>
      <c r="HQ83" s="2" t="s">
        <v>41</v>
      </c>
      <c r="HR83" s="2"/>
      <c r="HS83" s="2">
        <v>0</v>
      </c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>
        <v>0</v>
      </c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 x14ac:dyDescent="0.2">
      <c r="A84" s="2">
        <v>17</v>
      </c>
      <c r="B84" s="2">
        <v>1</v>
      </c>
      <c r="C84" s="2"/>
      <c r="D84" s="2"/>
      <c r="E84" s="2" t="s">
        <v>182</v>
      </c>
      <c r="F84" s="2" t="s">
        <v>183</v>
      </c>
      <c r="G84" s="2" t="s">
        <v>184</v>
      </c>
      <c r="H84" s="2" t="s">
        <v>130</v>
      </c>
      <c r="I84" s="2">
        <v>1</v>
      </c>
      <c r="J84" s="2">
        <v>0</v>
      </c>
      <c r="K84" s="2">
        <v>1</v>
      </c>
      <c r="L84" s="2"/>
      <c r="M84" s="2"/>
      <c r="N84" s="2"/>
      <c r="O84" s="2">
        <f t="shared" si="50"/>
        <v>10322.4</v>
      </c>
      <c r="P84" s="2">
        <f>ROUND(CQ84*I84,2)</f>
        <v>10322.4</v>
      </c>
      <c r="Q84" s="2">
        <f>ROUND(CR84*I84,2)</f>
        <v>0</v>
      </c>
      <c r="R84" s="2">
        <f>ROUND(CS84*I84,2)</f>
        <v>0</v>
      </c>
      <c r="S84" s="2">
        <f>ROUND(CT84*I84,2)</f>
        <v>0</v>
      </c>
      <c r="T84" s="2">
        <f t="shared" si="51"/>
        <v>0</v>
      </c>
      <c r="U84" s="2">
        <f>ROUND(CV84*I84,7)</f>
        <v>0</v>
      </c>
      <c r="V84" s="2">
        <f>ROUND(CW84*I84,7)</f>
        <v>0</v>
      </c>
      <c r="W84" s="2">
        <f t="shared" si="52"/>
        <v>0</v>
      </c>
      <c r="X84" s="2">
        <f t="shared" si="53"/>
        <v>0</v>
      </c>
      <c r="Y84" s="2">
        <f t="shared" si="54"/>
        <v>0</v>
      </c>
      <c r="Z84" s="2"/>
      <c r="AA84" s="2">
        <v>73953415</v>
      </c>
      <c r="AB84" s="2">
        <f t="shared" si="55"/>
        <v>8460.98</v>
      </c>
      <c r="AC84" s="2">
        <f>ROUND((ES84),6)</f>
        <v>8460.98</v>
      </c>
      <c r="AD84" s="2">
        <f>ROUND((((ET84)-(EU84))+AE84),6)</f>
        <v>0</v>
      </c>
      <c r="AE84" s="2">
        <f>ROUND((EU84),6)</f>
        <v>0</v>
      </c>
      <c r="AF84" s="2">
        <f>ROUND((EV84),6)</f>
        <v>0</v>
      </c>
      <c r="AG84" s="2">
        <f t="shared" si="56"/>
        <v>0</v>
      </c>
      <c r="AH84" s="2">
        <f>(EW84)</f>
        <v>0</v>
      </c>
      <c r="AI84" s="2">
        <f>(EX84)</f>
        <v>0</v>
      </c>
      <c r="AJ84" s="2">
        <f t="shared" si="57"/>
        <v>0</v>
      </c>
      <c r="AK84" s="2">
        <v>8460.98</v>
      </c>
      <c r="AL84" s="2">
        <v>8460.98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1.22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3</v>
      </c>
      <c r="BI84" s="2">
        <v>1</v>
      </c>
      <c r="BJ84" s="2" t="s">
        <v>185</v>
      </c>
      <c r="BK84" s="2"/>
      <c r="BL84" s="2"/>
      <c r="BM84" s="2">
        <v>500001</v>
      </c>
      <c r="BN84" s="2">
        <v>0</v>
      </c>
      <c r="BO84" s="2" t="s">
        <v>183</v>
      </c>
      <c r="BP84" s="2">
        <v>1</v>
      </c>
      <c r="BQ84" s="2">
        <v>8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0</v>
      </c>
      <c r="CA84" s="2">
        <v>0</v>
      </c>
      <c r="CB84" s="2" t="s">
        <v>3</v>
      </c>
      <c r="CC84" s="2"/>
      <c r="CD84" s="2"/>
      <c r="CE84" s="2">
        <v>0</v>
      </c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58"/>
        <v>10322.4</v>
      </c>
      <c r="CQ84" s="2">
        <f>ROUND(AL84*BC84,2)</f>
        <v>10322.4</v>
      </c>
      <c r="CR84" s="2">
        <f>ROUND(AM84*BB84,2)</f>
        <v>0</v>
      </c>
      <c r="CS84" s="2">
        <f>ROUND(AN84*BS84,2)</f>
        <v>0</v>
      </c>
      <c r="CT84" s="2">
        <f>ROUND(AO84*BA84,2)</f>
        <v>0</v>
      </c>
      <c r="CU84" s="2">
        <f t="shared" si="59"/>
        <v>0</v>
      </c>
      <c r="CV84" s="2">
        <f>AH84</f>
        <v>0</v>
      </c>
      <c r="CW84" s="2">
        <f>AI84</f>
        <v>0</v>
      </c>
      <c r="CX84" s="2">
        <f t="shared" si="60"/>
        <v>0</v>
      </c>
      <c r="CY84" s="2">
        <f>0</f>
        <v>0</v>
      </c>
      <c r="CZ84" s="2">
        <f>0</f>
        <v>0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0</v>
      </c>
      <c r="DO84" s="2">
        <v>0</v>
      </c>
      <c r="DP84" s="2">
        <v>1</v>
      </c>
      <c r="DQ84" s="2">
        <v>1</v>
      </c>
      <c r="DR84" s="2"/>
      <c r="DS84" s="2"/>
      <c r="DT84" s="2"/>
      <c r="DU84" s="2">
        <v>1013</v>
      </c>
      <c r="DV84" s="2" t="s">
        <v>130</v>
      </c>
      <c r="DW84" s="2" t="s">
        <v>130</v>
      </c>
      <c r="DX84" s="2">
        <v>1</v>
      </c>
      <c r="DY84" s="2"/>
      <c r="DZ84" s="2" t="s">
        <v>3</v>
      </c>
      <c r="EA84" s="2" t="s">
        <v>3</v>
      </c>
      <c r="EB84" s="2" t="s">
        <v>3</v>
      </c>
      <c r="EC84" s="2" t="s">
        <v>3</v>
      </c>
      <c r="ED84" s="2"/>
      <c r="EE84" s="2">
        <v>72340530</v>
      </c>
      <c r="EF84" s="2">
        <v>8</v>
      </c>
      <c r="EG84" s="2" t="s">
        <v>124</v>
      </c>
      <c r="EH84" s="2">
        <v>0</v>
      </c>
      <c r="EI84" s="2" t="s">
        <v>3</v>
      </c>
      <c r="EJ84" s="2">
        <v>1</v>
      </c>
      <c r="EK84" s="2">
        <v>500001</v>
      </c>
      <c r="EL84" s="2" t="s">
        <v>125</v>
      </c>
      <c r="EM84" s="2" t="s">
        <v>126</v>
      </c>
      <c r="EN84" s="2"/>
      <c r="EO84" s="2" t="s">
        <v>3</v>
      </c>
      <c r="EP84" s="2"/>
      <c r="EQ84" s="2">
        <v>0</v>
      </c>
      <c r="ER84" s="2">
        <v>8460.98</v>
      </c>
      <c r="ES84" s="2">
        <v>8460.98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v>0</v>
      </c>
      <c r="FS84" s="2">
        <v>0</v>
      </c>
      <c r="FT84" s="2"/>
      <c r="FU84" s="2"/>
      <c r="FV84" s="2"/>
      <c r="FW84" s="2"/>
      <c r="FX84" s="2">
        <v>0</v>
      </c>
      <c r="FY84" s="2">
        <v>0</v>
      </c>
      <c r="FZ84" s="2"/>
      <c r="GA84" s="2" t="s">
        <v>3</v>
      </c>
      <c r="GB84" s="2"/>
      <c r="GC84" s="2"/>
      <c r="GD84" s="2">
        <v>1</v>
      </c>
      <c r="GE84" s="2"/>
      <c r="GF84" s="2">
        <v>-1359572944</v>
      </c>
      <c r="GG84" s="2">
        <v>2</v>
      </c>
      <c r="GH84" s="2">
        <v>1</v>
      </c>
      <c r="GI84" s="2">
        <v>2</v>
      </c>
      <c r="GJ84" s="2">
        <v>0</v>
      </c>
      <c r="GK84" s="2">
        <v>0</v>
      </c>
      <c r="GL84" s="2">
        <f t="shared" si="61"/>
        <v>0</v>
      </c>
      <c r="GM84" s="2">
        <f t="shared" si="62"/>
        <v>10322.4</v>
      </c>
      <c r="GN84" s="2">
        <f t="shared" si="63"/>
        <v>10322.4</v>
      </c>
      <c r="GO84" s="2">
        <f t="shared" si="64"/>
        <v>0</v>
      </c>
      <c r="GP84" s="2">
        <f t="shared" si="65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66"/>
        <v>0</v>
      </c>
      <c r="GW84" s="2">
        <v>1</v>
      </c>
      <c r="GX84" s="2">
        <f t="shared" si="67"/>
        <v>0</v>
      </c>
      <c r="GY84" s="2"/>
      <c r="GZ84" s="2"/>
      <c r="HA84" s="2">
        <v>0</v>
      </c>
      <c r="HB84" s="2">
        <v>0</v>
      </c>
      <c r="HC84" s="2">
        <f t="shared" si="68"/>
        <v>0</v>
      </c>
      <c r="HD84" s="2"/>
      <c r="HE84" s="2" t="s">
        <v>3</v>
      </c>
      <c r="HF84" s="2" t="s">
        <v>3</v>
      </c>
      <c r="HG84" s="2"/>
      <c r="HH84" s="2"/>
      <c r="HI84" s="2"/>
      <c r="HJ84" s="2"/>
      <c r="HK84" s="2"/>
      <c r="HL84" s="2"/>
      <c r="HM84" s="2" t="s">
        <v>3</v>
      </c>
      <c r="HN84" s="2" t="s">
        <v>3</v>
      </c>
      <c r="HO84" s="2" t="s">
        <v>3</v>
      </c>
      <c r="HP84" s="2" t="s">
        <v>3</v>
      </c>
      <c r="HQ84" s="2" t="s">
        <v>3</v>
      </c>
      <c r="HR84" s="2"/>
      <c r="HS84" s="2">
        <v>0</v>
      </c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x14ac:dyDescent="0.2">
      <c r="A85" s="2">
        <v>17</v>
      </c>
      <c r="B85" s="2">
        <v>1</v>
      </c>
      <c r="C85" s="2">
        <f>ROW(SmtRes!A97)</f>
        <v>97</v>
      </c>
      <c r="D85" s="2">
        <f>ROW(EtalonRes!A107)</f>
        <v>107</v>
      </c>
      <c r="E85" s="2" t="s">
        <v>186</v>
      </c>
      <c r="F85" s="2" t="s">
        <v>187</v>
      </c>
      <c r="G85" s="2" t="s">
        <v>188</v>
      </c>
      <c r="H85" s="2" t="s">
        <v>189</v>
      </c>
      <c r="I85" s="2">
        <v>0.223</v>
      </c>
      <c r="J85" s="2">
        <v>0</v>
      </c>
      <c r="K85" s="2">
        <v>0.223</v>
      </c>
      <c r="L85" s="2"/>
      <c r="M85" s="2"/>
      <c r="N85" s="2"/>
      <c r="O85" s="2">
        <f t="shared" si="50"/>
        <v>5360.63</v>
      </c>
      <c r="P85" s="2">
        <f>SUMIF(SmtRes!AQ93:'SmtRes'!AQ97,"=1",SmtRes!DF93:'SmtRes'!DF97)</f>
        <v>0</v>
      </c>
      <c r="Q85" s="2">
        <f>SUMIF(SmtRes!AQ93:'SmtRes'!AQ97,"=1",SmtRes!DG93:'SmtRes'!DG97)</f>
        <v>2324.5500000000002</v>
      </c>
      <c r="R85" s="2">
        <f>SUMIF(SmtRes!AQ93:'SmtRes'!AQ97,"=1",SmtRes!DH93:'SmtRes'!DH97)</f>
        <v>761.11</v>
      </c>
      <c r="S85" s="2">
        <f>SUMIF(SmtRes!AQ93:'SmtRes'!AQ97,"=1",SmtRes!DI93:'SmtRes'!DI97)</f>
        <v>2274.9699999999998</v>
      </c>
      <c r="T85" s="2">
        <f t="shared" si="51"/>
        <v>0</v>
      </c>
      <c r="U85" s="2">
        <f>SUMIF(SmtRes!AQ93:'SmtRes'!AQ97,"=1",SmtRes!CV93:'SmtRes'!CV97)</f>
        <v>6.0209999999999999</v>
      </c>
      <c r="V85" s="2">
        <f>SUMIF(SmtRes!AQ93:'SmtRes'!AQ97,"=1",SmtRes!CW93:'SmtRes'!CW97)</f>
        <v>1.65466</v>
      </c>
      <c r="W85" s="2">
        <f t="shared" si="52"/>
        <v>0</v>
      </c>
      <c r="X85" s="2">
        <f t="shared" si="53"/>
        <v>3370.05</v>
      </c>
      <c r="Y85" s="2">
        <f t="shared" si="54"/>
        <v>1578.76</v>
      </c>
      <c r="Z85" s="2"/>
      <c r="AA85" s="2">
        <v>73953415</v>
      </c>
      <c r="AB85" s="2">
        <f t="shared" si="55"/>
        <v>17843.686399999999</v>
      </c>
      <c r="AC85" s="2">
        <f>ROUND((0),6)</f>
        <v>0</v>
      </c>
      <c r="AD85" s="2">
        <f>ROUND((((SUM(SmtRes!BR93:'SmtRes'!BR97))-(SUM(SmtRes!BS93:'SmtRes'!BS97)))+AE85),6)</f>
        <v>7642.0064000000002</v>
      </c>
      <c r="AE85" s="2">
        <f>ROUND((SUM(SmtRes!BS93:'SmtRes'!BS97)),6)</f>
        <v>3413.0515999999998</v>
      </c>
      <c r="AF85" s="2">
        <f>ROUND((SUM(SmtRes!BT93:'SmtRes'!BT97)),6)</f>
        <v>10201.68</v>
      </c>
      <c r="AG85" s="2">
        <f t="shared" si="56"/>
        <v>0</v>
      </c>
      <c r="AH85" s="2">
        <f>(SUM(SmtRes!BU93:'SmtRes'!BU97))</f>
        <v>27</v>
      </c>
      <c r="AI85" s="2">
        <f>(SUM(SmtRes!BV93:'SmtRes'!BV97))</f>
        <v>7.42</v>
      </c>
      <c r="AJ85" s="2">
        <f t="shared" si="57"/>
        <v>0</v>
      </c>
      <c r="AK85" s="2">
        <v>21256.737999999998</v>
      </c>
      <c r="AL85" s="2">
        <v>0</v>
      </c>
      <c r="AM85" s="2">
        <v>7642.0063999999993</v>
      </c>
      <c r="AN85" s="2">
        <v>3413.0516000000002</v>
      </c>
      <c r="AO85" s="2">
        <v>10201.679999999998</v>
      </c>
      <c r="AP85" s="2">
        <v>0</v>
      </c>
      <c r="AQ85" s="2">
        <v>27</v>
      </c>
      <c r="AR85" s="2">
        <v>7.42</v>
      </c>
      <c r="AS85" s="2">
        <v>0</v>
      </c>
      <c r="AT85" s="2">
        <v>111</v>
      </c>
      <c r="AU85" s="2">
        <v>52</v>
      </c>
      <c r="AV85" s="2">
        <v>1</v>
      </c>
      <c r="AW85" s="2">
        <v>1</v>
      </c>
      <c r="AX85" s="2"/>
      <c r="AY85" s="2"/>
      <c r="AZ85" s="2">
        <v>1</v>
      </c>
      <c r="BA85" s="2">
        <v>1</v>
      </c>
      <c r="BB85" s="2">
        <v>1</v>
      </c>
      <c r="BC85" s="2">
        <v>1</v>
      </c>
      <c r="BD85" s="2" t="s">
        <v>3</v>
      </c>
      <c r="BE85" s="2" t="s">
        <v>3</v>
      </c>
      <c r="BF85" s="2" t="s">
        <v>3</v>
      </c>
      <c r="BG85" s="2" t="s">
        <v>3</v>
      </c>
      <c r="BH85" s="2">
        <v>0</v>
      </c>
      <c r="BI85" s="2">
        <v>2</v>
      </c>
      <c r="BJ85" s="2" t="s">
        <v>190</v>
      </c>
      <c r="BK85" s="2"/>
      <c r="BL85" s="2"/>
      <c r="BM85" s="2">
        <v>110005</v>
      </c>
      <c r="BN85" s="2">
        <v>0</v>
      </c>
      <c r="BO85" s="2" t="s">
        <v>3</v>
      </c>
      <c r="BP85" s="2">
        <v>0</v>
      </c>
      <c r="BQ85" s="2">
        <v>3</v>
      </c>
      <c r="BR85" s="2">
        <v>0</v>
      </c>
      <c r="BS85" s="2">
        <v>1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 t="s">
        <v>3</v>
      </c>
      <c r="BZ85" s="2">
        <v>111</v>
      </c>
      <c r="CA85" s="2">
        <v>52</v>
      </c>
      <c r="CB85" s="2" t="s">
        <v>3</v>
      </c>
      <c r="CC85" s="2"/>
      <c r="CD85" s="2"/>
      <c r="CE85" s="2">
        <v>0</v>
      </c>
      <c r="CF85" s="2">
        <v>0</v>
      </c>
      <c r="CG85" s="2">
        <v>0</v>
      </c>
      <c r="CH85" s="2"/>
      <c r="CI85" s="2"/>
      <c r="CJ85" s="2"/>
      <c r="CK85" s="2"/>
      <c r="CL85" s="2"/>
      <c r="CM85" s="2">
        <v>0</v>
      </c>
      <c r="CN85" s="2" t="s">
        <v>3</v>
      </c>
      <c r="CO85" s="2">
        <v>0</v>
      </c>
      <c r="CP85" s="2">
        <f t="shared" si="58"/>
        <v>5360.63</v>
      </c>
      <c r="CQ85" s="2">
        <f>SUMIF(SmtRes!AQ93:'SmtRes'!AQ97,"=1",SmtRes!AA93:'SmtRes'!AA97)</f>
        <v>0</v>
      </c>
      <c r="CR85" s="2">
        <f>SUMIF(SmtRes!AQ93:'SmtRes'!AQ97,"=1",SmtRes!AB93:'SmtRes'!AB97)</f>
        <v>1404.8500000000001</v>
      </c>
      <c r="CS85" s="2">
        <f>SUMIF(SmtRes!AQ93:'SmtRes'!AQ97,"=1",SmtRes!AC93:'SmtRes'!AC97)</f>
        <v>459.98</v>
      </c>
      <c r="CT85" s="2">
        <f>SUMIF(SmtRes!AQ93:'SmtRes'!AQ97,"=1",SmtRes!AD93:'SmtRes'!AD97)</f>
        <v>377.84</v>
      </c>
      <c r="CU85" s="2">
        <f t="shared" si="59"/>
        <v>0</v>
      </c>
      <c r="CV85" s="2">
        <f>SUMIF(SmtRes!AQ93:'SmtRes'!AQ97,"=1",SmtRes!BU93:'SmtRes'!BU97)</f>
        <v>27</v>
      </c>
      <c r="CW85" s="2">
        <f>SUMIF(SmtRes!AQ93:'SmtRes'!AQ97,"=1",SmtRes!BV93:'SmtRes'!BV97)</f>
        <v>7.42</v>
      </c>
      <c r="CX85" s="2">
        <f t="shared" si="60"/>
        <v>0</v>
      </c>
      <c r="CY85" s="2">
        <f>(((S85+R85)*AT85)/100)</f>
        <v>3370.0488</v>
      </c>
      <c r="CZ85" s="2">
        <f>(((S85+R85)*AU85)/100)</f>
        <v>1578.7616</v>
      </c>
      <c r="DA85" s="2"/>
      <c r="DB85" s="2"/>
      <c r="DC85" s="2" t="s">
        <v>3</v>
      </c>
      <c r="DD85" s="2" t="s">
        <v>3</v>
      </c>
      <c r="DE85" s="2" t="s">
        <v>3</v>
      </c>
      <c r="DF85" s="2" t="s">
        <v>3</v>
      </c>
      <c r="DG85" s="2" t="s">
        <v>3</v>
      </c>
      <c r="DH85" s="2" t="s">
        <v>3</v>
      </c>
      <c r="DI85" s="2" t="s">
        <v>3</v>
      </c>
      <c r="DJ85" s="2" t="s">
        <v>3</v>
      </c>
      <c r="DK85" s="2" t="s">
        <v>3</v>
      </c>
      <c r="DL85" s="2" t="s">
        <v>3</v>
      </c>
      <c r="DM85" s="2" t="s">
        <v>3</v>
      </c>
      <c r="DN85" s="2">
        <v>0</v>
      </c>
      <c r="DO85" s="2">
        <v>0</v>
      </c>
      <c r="DP85" s="2">
        <v>1</v>
      </c>
      <c r="DQ85" s="2">
        <v>1</v>
      </c>
      <c r="DR85" s="2"/>
      <c r="DS85" s="2"/>
      <c r="DT85" s="2"/>
      <c r="DU85" s="2">
        <v>30717392</v>
      </c>
      <c r="DV85" s="2" t="s">
        <v>189</v>
      </c>
      <c r="DW85" s="2" t="s">
        <v>189</v>
      </c>
      <c r="DX85" s="2">
        <v>1</v>
      </c>
      <c r="DY85" s="2"/>
      <c r="DZ85" s="2" t="s">
        <v>3</v>
      </c>
      <c r="EA85" s="2" t="s">
        <v>3</v>
      </c>
      <c r="EB85" s="2" t="s">
        <v>3</v>
      </c>
      <c r="EC85" s="2" t="s">
        <v>3</v>
      </c>
      <c r="ED85" s="2"/>
      <c r="EE85" s="2">
        <v>72340517</v>
      </c>
      <c r="EF85" s="2">
        <v>3</v>
      </c>
      <c r="EG85" s="2" t="s">
        <v>191</v>
      </c>
      <c r="EH85" s="2">
        <v>0</v>
      </c>
      <c r="EI85" s="2" t="s">
        <v>3</v>
      </c>
      <c r="EJ85" s="2">
        <v>2</v>
      </c>
      <c r="EK85" s="2">
        <v>110005</v>
      </c>
      <c r="EL85" s="2" t="s">
        <v>192</v>
      </c>
      <c r="EM85" s="2" t="s">
        <v>193</v>
      </c>
      <c r="EN85" s="2"/>
      <c r="EO85" s="2" t="s">
        <v>3</v>
      </c>
      <c r="EP85" s="2"/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27</v>
      </c>
      <c r="EX85" s="2">
        <v>7.42</v>
      </c>
      <c r="EY85" s="2">
        <v>0</v>
      </c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>
        <v>0</v>
      </c>
      <c r="FR85" s="2">
        <v>0</v>
      </c>
      <c r="FS85" s="2">
        <v>0</v>
      </c>
      <c r="FT85" s="2"/>
      <c r="FU85" s="2"/>
      <c r="FV85" s="2"/>
      <c r="FW85" s="2"/>
      <c r="FX85" s="2">
        <v>111</v>
      </c>
      <c r="FY85" s="2">
        <v>52</v>
      </c>
      <c r="FZ85" s="2"/>
      <c r="GA85" s="2" t="s">
        <v>3</v>
      </c>
      <c r="GB85" s="2"/>
      <c r="GC85" s="2"/>
      <c r="GD85" s="2">
        <v>1</v>
      </c>
      <c r="GE85" s="2"/>
      <c r="GF85" s="2">
        <v>-359692194</v>
      </c>
      <c r="GG85" s="2">
        <v>2</v>
      </c>
      <c r="GH85" s="2">
        <v>1</v>
      </c>
      <c r="GI85" s="2">
        <v>-2</v>
      </c>
      <c r="GJ85" s="2">
        <v>0</v>
      </c>
      <c r="GK85" s="2">
        <v>0</v>
      </c>
      <c r="GL85" s="2">
        <f t="shared" si="61"/>
        <v>0</v>
      </c>
      <c r="GM85" s="2">
        <f t="shared" si="62"/>
        <v>10309.44</v>
      </c>
      <c r="GN85" s="2">
        <f t="shared" si="63"/>
        <v>0</v>
      </c>
      <c r="GO85" s="2">
        <f t="shared" si="64"/>
        <v>10309.44</v>
      </c>
      <c r="GP85" s="2">
        <f t="shared" si="65"/>
        <v>0</v>
      </c>
      <c r="GQ85" s="2"/>
      <c r="GR85" s="2">
        <v>0</v>
      </c>
      <c r="GS85" s="2">
        <v>3</v>
      </c>
      <c r="GT85" s="2">
        <v>0</v>
      </c>
      <c r="GU85" s="2" t="s">
        <v>3</v>
      </c>
      <c r="GV85" s="2">
        <f t="shared" si="66"/>
        <v>0</v>
      </c>
      <c r="GW85" s="2">
        <v>1</v>
      </c>
      <c r="GX85" s="2">
        <f t="shared" si="67"/>
        <v>0</v>
      </c>
      <c r="GY85" s="2"/>
      <c r="GZ85" s="2"/>
      <c r="HA85" s="2">
        <v>0</v>
      </c>
      <c r="HB85" s="2">
        <v>0</v>
      </c>
      <c r="HC85" s="2">
        <f t="shared" si="68"/>
        <v>0</v>
      </c>
      <c r="HD85" s="2"/>
      <c r="HE85" s="2" t="s">
        <v>3</v>
      </c>
      <c r="HF85" s="2" t="s">
        <v>3</v>
      </c>
      <c r="HG85" s="2"/>
      <c r="HH85" s="2"/>
      <c r="HI85" s="2"/>
      <c r="HJ85" s="2"/>
      <c r="HK85" s="2"/>
      <c r="HL85" s="2"/>
      <c r="HM85" s="2" t="s">
        <v>3</v>
      </c>
      <c r="HN85" s="2" t="s">
        <v>194</v>
      </c>
      <c r="HO85" s="2" t="s">
        <v>195</v>
      </c>
      <c r="HP85" s="2" t="s">
        <v>192</v>
      </c>
      <c r="HQ85" s="2" t="s">
        <v>192</v>
      </c>
      <c r="HR85" s="2"/>
      <c r="HS85" s="2">
        <v>0</v>
      </c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>
        <v>0</v>
      </c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 x14ac:dyDescent="0.2">
      <c r="A86" s="2">
        <v>18</v>
      </c>
      <c r="B86" s="2">
        <v>1</v>
      </c>
      <c r="C86" s="2">
        <v>97</v>
      </c>
      <c r="D86" s="2"/>
      <c r="E86" s="2" t="s">
        <v>196</v>
      </c>
      <c r="F86" s="2" t="s">
        <v>197</v>
      </c>
      <c r="G86" s="2" t="s">
        <v>198</v>
      </c>
      <c r="H86" s="2" t="s">
        <v>199</v>
      </c>
      <c r="I86" s="2">
        <f>J86</f>
        <v>2</v>
      </c>
      <c r="J86" s="2">
        <v>2</v>
      </c>
      <c r="K86" s="2">
        <v>2</v>
      </c>
      <c r="L86" s="2"/>
      <c r="M86" s="2"/>
      <c r="N86" s="2"/>
      <c r="O86" s="2">
        <f>ROUND(P86,2)</f>
        <v>45.5</v>
      </c>
      <c r="P86" s="2">
        <f>ROUND(ROUND(ROUND(SUMIF(SmtRes!AQ93:'SmtRes'!AQ97,"=1",SmtRes!CU93:'SmtRes'!CU97),2),2)*I86/100,2)</f>
        <v>45.5</v>
      </c>
      <c r="Q86" s="2">
        <f>ROUND(CR86*I86,2)</f>
        <v>0</v>
      </c>
      <c r="R86" s="2">
        <f>ROUND(CS86*I86,2)</f>
        <v>0</v>
      </c>
      <c r="S86" s="2">
        <f>ROUND(CT86*I86,2)</f>
        <v>0</v>
      </c>
      <c r="T86" s="2">
        <f t="shared" si="51"/>
        <v>0</v>
      </c>
      <c r="U86" s="2">
        <f>ROUND(CV86*I86,7)</f>
        <v>0</v>
      </c>
      <c r="V86" s="2">
        <f>ROUND(CW86*I86,7)</f>
        <v>0</v>
      </c>
      <c r="W86" s="2">
        <f t="shared" si="52"/>
        <v>0</v>
      </c>
      <c r="X86" s="2">
        <f t="shared" si="53"/>
        <v>0</v>
      </c>
      <c r="Y86" s="2">
        <f t="shared" si="54"/>
        <v>0</v>
      </c>
      <c r="Z86" s="2"/>
      <c r="AA86" s="2">
        <v>73953415</v>
      </c>
      <c r="AB86" s="2">
        <f t="shared" si="55"/>
        <v>0</v>
      </c>
      <c r="AC86" s="2">
        <f>ROUND((ES86),6)</f>
        <v>0</v>
      </c>
      <c r="AD86" s="2">
        <f>ROUND((((ET86)-(EU86))+AE86),6)</f>
        <v>0</v>
      </c>
      <c r="AE86" s="2">
        <f>ROUND((EU86),6)</f>
        <v>0</v>
      </c>
      <c r="AF86" s="2">
        <f>ROUND((EV86),6)</f>
        <v>0</v>
      </c>
      <c r="AG86" s="2">
        <f t="shared" si="56"/>
        <v>0</v>
      </c>
      <c r="AH86" s="2">
        <f>(EW86)</f>
        <v>0</v>
      </c>
      <c r="AI86" s="2">
        <f>(EX86)</f>
        <v>0</v>
      </c>
      <c r="AJ86" s="2">
        <f t="shared" si="57"/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111</v>
      </c>
      <c r="AU86" s="2">
        <v>52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3</v>
      </c>
      <c r="BI86" s="2">
        <v>2</v>
      </c>
      <c r="BJ86" s="2" t="s">
        <v>3</v>
      </c>
      <c r="BK86" s="2"/>
      <c r="BL86" s="2"/>
      <c r="BM86" s="2">
        <v>110005</v>
      </c>
      <c r="BN86" s="2">
        <v>0</v>
      </c>
      <c r="BO86" s="2" t="s">
        <v>3</v>
      </c>
      <c r="BP86" s="2">
        <v>0</v>
      </c>
      <c r="BQ86" s="2">
        <v>3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111</v>
      </c>
      <c r="CA86" s="2">
        <v>52</v>
      </c>
      <c r="CB86" s="2" t="s">
        <v>3</v>
      </c>
      <c r="CC86" s="2"/>
      <c r="CD86" s="2"/>
      <c r="CE86" s="2">
        <v>0</v>
      </c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3</v>
      </c>
      <c r="CO86" s="2">
        <v>0</v>
      </c>
      <c r="CP86" s="2">
        <f>0</f>
        <v>0</v>
      </c>
      <c r="CQ86" s="2">
        <f>0</f>
        <v>0</v>
      </c>
      <c r="CR86" s="2">
        <f>0</f>
        <v>0</v>
      </c>
      <c r="CS86" s="2">
        <f>0</f>
        <v>0</v>
      </c>
      <c r="CT86" s="2">
        <f>0</f>
        <v>0</v>
      </c>
      <c r="CU86" s="2">
        <f>0</f>
        <v>0</v>
      </c>
      <c r="CV86" s="2">
        <f>0</f>
        <v>0</v>
      </c>
      <c r="CW86" s="2">
        <f>0</f>
        <v>0</v>
      </c>
      <c r="CX86" s="2">
        <f>0</f>
        <v>0</v>
      </c>
      <c r="CY86" s="2">
        <f>0</f>
        <v>0</v>
      </c>
      <c r="CZ86" s="2">
        <f>0</f>
        <v>0</v>
      </c>
      <c r="DA86" s="2"/>
      <c r="DB86" s="2"/>
      <c r="DC86" s="2" t="s">
        <v>3</v>
      </c>
      <c r="DD86" s="2" t="s">
        <v>3</v>
      </c>
      <c r="DE86" s="2" t="s">
        <v>3</v>
      </c>
      <c r="DF86" s="2" t="s">
        <v>3</v>
      </c>
      <c r="DG86" s="2" t="s">
        <v>3</v>
      </c>
      <c r="DH86" s="2" t="s">
        <v>3</v>
      </c>
      <c r="DI86" s="2" t="s">
        <v>3</v>
      </c>
      <c r="DJ86" s="2" t="s">
        <v>3</v>
      </c>
      <c r="DK86" s="2" t="s">
        <v>3</v>
      </c>
      <c r="DL86" s="2" t="s">
        <v>3</v>
      </c>
      <c r="DM86" s="2" t="s">
        <v>3</v>
      </c>
      <c r="DN86" s="2">
        <v>0</v>
      </c>
      <c r="DO86" s="2">
        <v>0</v>
      </c>
      <c r="DP86" s="2">
        <v>1</v>
      </c>
      <c r="DQ86" s="2">
        <v>1</v>
      </c>
      <c r="DR86" s="2"/>
      <c r="DS86" s="2"/>
      <c r="DT86" s="2"/>
      <c r="DU86" s="2">
        <v>1013</v>
      </c>
      <c r="DV86" s="2" t="s">
        <v>199</v>
      </c>
      <c r="DW86" s="2" t="s">
        <v>199</v>
      </c>
      <c r="DX86" s="2">
        <v>1</v>
      </c>
      <c r="DY86" s="2"/>
      <c r="DZ86" s="2" t="s">
        <v>3</v>
      </c>
      <c r="EA86" s="2" t="s">
        <v>3</v>
      </c>
      <c r="EB86" s="2" t="s">
        <v>3</v>
      </c>
      <c r="EC86" s="2" t="s">
        <v>3</v>
      </c>
      <c r="ED86" s="2"/>
      <c r="EE86" s="2">
        <v>72340517</v>
      </c>
      <c r="EF86" s="2">
        <v>3</v>
      </c>
      <c r="EG86" s="2" t="s">
        <v>191</v>
      </c>
      <c r="EH86" s="2">
        <v>0</v>
      </c>
      <c r="EI86" s="2" t="s">
        <v>3</v>
      </c>
      <c r="EJ86" s="2">
        <v>2</v>
      </c>
      <c r="EK86" s="2">
        <v>110005</v>
      </c>
      <c r="EL86" s="2" t="s">
        <v>192</v>
      </c>
      <c r="EM86" s="2" t="s">
        <v>193</v>
      </c>
      <c r="EN86" s="2"/>
      <c r="EO86" s="2" t="s">
        <v>3</v>
      </c>
      <c r="EP86" s="2"/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v>0</v>
      </c>
      <c r="FS86" s="2">
        <v>0</v>
      </c>
      <c r="FT86" s="2"/>
      <c r="FU86" s="2"/>
      <c r="FV86" s="2"/>
      <c r="FW86" s="2"/>
      <c r="FX86" s="2">
        <v>111</v>
      </c>
      <c r="FY86" s="2">
        <v>52</v>
      </c>
      <c r="FZ86" s="2"/>
      <c r="GA86" s="2" t="s">
        <v>3</v>
      </c>
      <c r="GB86" s="2"/>
      <c r="GC86" s="2"/>
      <c r="GD86" s="2">
        <v>1</v>
      </c>
      <c r="GE86" s="2"/>
      <c r="GF86" s="2">
        <v>274903907</v>
      </c>
      <c r="GG86" s="2">
        <v>2</v>
      </c>
      <c r="GH86" s="2">
        <v>1</v>
      </c>
      <c r="GI86" s="2">
        <v>-2</v>
      </c>
      <c r="GJ86" s="2">
        <v>0</v>
      </c>
      <c r="GK86" s="2">
        <v>0</v>
      </c>
      <c r="GL86" s="2">
        <f t="shared" si="61"/>
        <v>0</v>
      </c>
      <c r="GM86" s="2">
        <f t="shared" si="62"/>
        <v>45.5</v>
      </c>
      <c r="GN86" s="2">
        <f t="shared" si="63"/>
        <v>0</v>
      </c>
      <c r="GO86" s="2">
        <f t="shared" si="64"/>
        <v>45.5</v>
      </c>
      <c r="GP86" s="2">
        <f t="shared" si="65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66"/>
        <v>0</v>
      </c>
      <c r="GW86" s="2">
        <v>1</v>
      </c>
      <c r="GX86" s="2">
        <f t="shared" si="67"/>
        <v>0</v>
      </c>
      <c r="GY86" s="2"/>
      <c r="GZ86" s="2"/>
      <c r="HA86" s="2">
        <v>0</v>
      </c>
      <c r="HB86" s="2">
        <v>0</v>
      </c>
      <c r="HC86" s="2">
        <f>0</f>
        <v>0</v>
      </c>
      <c r="HD86" s="2"/>
      <c r="HE86" s="2" t="s">
        <v>3</v>
      </c>
      <c r="HF86" s="2" t="s">
        <v>3</v>
      </c>
      <c r="HG86" s="2"/>
      <c r="HH86" s="2"/>
      <c r="HI86" s="2"/>
      <c r="HJ86" s="2"/>
      <c r="HK86" s="2"/>
      <c r="HL86" s="2"/>
      <c r="HM86" s="2" t="s">
        <v>3</v>
      </c>
      <c r="HN86" s="2" t="s">
        <v>194</v>
      </c>
      <c r="HO86" s="2" t="s">
        <v>195</v>
      </c>
      <c r="HP86" s="2" t="s">
        <v>192</v>
      </c>
      <c r="HQ86" s="2" t="s">
        <v>192</v>
      </c>
      <c r="HR86" s="2"/>
      <c r="HS86" s="2">
        <v>0</v>
      </c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x14ac:dyDescent="0.2">
      <c r="A87" s="2">
        <v>17</v>
      </c>
      <c r="B87" s="2">
        <v>1</v>
      </c>
      <c r="C87" s="2"/>
      <c r="D87" s="2"/>
      <c r="E87" s="2" t="s">
        <v>200</v>
      </c>
      <c r="F87" s="2" t="s">
        <v>201</v>
      </c>
      <c r="G87" s="2" t="s">
        <v>202</v>
      </c>
      <c r="H87" s="2" t="s">
        <v>116</v>
      </c>
      <c r="I87" s="2">
        <f>ROUND(223/100,7)</f>
        <v>2.23</v>
      </c>
      <c r="J87" s="2">
        <v>0</v>
      </c>
      <c r="K87" s="2">
        <f>ROUND(223/100,7)</f>
        <v>2.23</v>
      </c>
      <c r="L87" s="2"/>
      <c r="M87" s="2"/>
      <c r="N87" s="2"/>
      <c r="O87" s="2">
        <f>ROUND(CP87,2)</f>
        <v>520.33000000000004</v>
      </c>
      <c r="P87" s="2">
        <f>ROUND(CQ87*I87,2)</f>
        <v>520.33000000000004</v>
      </c>
      <c r="Q87" s="2">
        <f>ROUND(CR87*I87,2)</f>
        <v>0</v>
      </c>
      <c r="R87" s="2">
        <f>ROUND(CS87*I87,2)</f>
        <v>0</v>
      </c>
      <c r="S87" s="2">
        <f>ROUND(CT87*I87,2)</f>
        <v>0</v>
      </c>
      <c r="T87" s="2">
        <f t="shared" si="51"/>
        <v>0</v>
      </c>
      <c r="U87" s="2">
        <f>ROUND(CV87*I87,7)</f>
        <v>0</v>
      </c>
      <c r="V87" s="2">
        <f>ROUND(CW87*I87,7)</f>
        <v>0</v>
      </c>
      <c r="W87" s="2">
        <f t="shared" si="52"/>
        <v>0</v>
      </c>
      <c r="X87" s="2">
        <f t="shared" si="53"/>
        <v>0</v>
      </c>
      <c r="Y87" s="2">
        <f t="shared" si="54"/>
        <v>0</v>
      </c>
      <c r="Z87" s="2"/>
      <c r="AA87" s="2">
        <v>73953415</v>
      </c>
      <c r="AB87" s="2">
        <f t="shared" si="55"/>
        <v>151.51</v>
      </c>
      <c r="AC87" s="2">
        <f>ROUND((ES87),6)</f>
        <v>151.51</v>
      </c>
      <c r="AD87" s="2">
        <f>ROUND((((ET87)-(EU87))+AE87),6)</f>
        <v>0</v>
      </c>
      <c r="AE87" s="2">
        <f>ROUND((EU87),6)</f>
        <v>0</v>
      </c>
      <c r="AF87" s="2">
        <f>ROUND((EV87),6)</f>
        <v>0</v>
      </c>
      <c r="AG87" s="2">
        <f t="shared" si="56"/>
        <v>0</v>
      </c>
      <c r="AH87" s="2">
        <f>(EW87)</f>
        <v>0</v>
      </c>
      <c r="AI87" s="2">
        <f>(EX87)</f>
        <v>0</v>
      </c>
      <c r="AJ87" s="2">
        <f t="shared" si="57"/>
        <v>0</v>
      </c>
      <c r="AK87" s="2">
        <v>151.51</v>
      </c>
      <c r="AL87" s="2">
        <v>151.51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1</v>
      </c>
      <c r="AW87" s="2">
        <v>1</v>
      </c>
      <c r="AX87" s="2"/>
      <c r="AY87" s="2"/>
      <c r="AZ87" s="2">
        <v>1</v>
      </c>
      <c r="BA87" s="2">
        <v>1</v>
      </c>
      <c r="BB87" s="2">
        <v>1</v>
      </c>
      <c r="BC87" s="2">
        <v>1.54</v>
      </c>
      <c r="BD87" s="2" t="s">
        <v>3</v>
      </c>
      <c r="BE87" s="2" t="s">
        <v>3</v>
      </c>
      <c r="BF87" s="2" t="s">
        <v>3</v>
      </c>
      <c r="BG87" s="2" t="s">
        <v>3</v>
      </c>
      <c r="BH87" s="2">
        <v>3</v>
      </c>
      <c r="BI87" s="2">
        <v>1</v>
      </c>
      <c r="BJ87" s="2" t="s">
        <v>203</v>
      </c>
      <c r="BK87" s="2"/>
      <c r="BL87" s="2"/>
      <c r="BM87" s="2">
        <v>500001</v>
      </c>
      <c r="BN87" s="2">
        <v>0</v>
      </c>
      <c r="BO87" s="2" t="s">
        <v>201</v>
      </c>
      <c r="BP87" s="2">
        <v>1</v>
      </c>
      <c r="BQ87" s="2">
        <v>8</v>
      </c>
      <c r="BR87" s="2">
        <v>0</v>
      </c>
      <c r="BS87" s="2">
        <v>1</v>
      </c>
      <c r="BT87" s="2">
        <v>1</v>
      </c>
      <c r="BU87" s="2">
        <v>1</v>
      </c>
      <c r="BV87" s="2">
        <v>1</v>
      </c>
      <c r="BW87" s="2">
        <v>1</v>
      </c>
      <c r="BX87" s="2">
        <v>1</v>
      </c>
      <c r="BY87" s="2" t="s">
        <v>3</v>
      </c>
      <c r="BZ87" s="2">
        <v>0</v>
      </c>
      <c r="CA87" s="2">
        <v>0</v>
      </c>
      <c r="CB87" s="2" t="s">
        <v>3</v>
      </c>
      <c r="CC87" s="2"/>
      <c r="CD87" s="2"/>
      <c r="CE87" s="2">
        <v>0</v>
      </c>
      <c r="CF87" s="2">
        <v>0</v>
      </c>
      <c r="CG87" s="2">
        <v>0</v>
      </c>
      <c r="CH87" s="2"/>
      <c r="CI87" s="2"/>
      <c r="CJ87" s="2"/>
      <c r="CK87" s="2"/>
      <c r="CL87" s="2"/>
      <c r="CM87" s="2">
        <v>0</v>
      </c>
      <c r="CN87" s="2" t="s">
        <v>3</v>
      </c>
      <c r="CO87" s="2">
        <v>0</v>
      </c>
      <c r="CP87" s="2">
        <f>(P87+Q87+S87+R87)</f>
        <v>520.33000000000004</v>
      </c>
      <c r="CQ87" s="2">
        <f>ROUND(AL87*BC87,2)</f>
        <v>233.33</v>
      </c>
      <c r="CR87" s="2">
        <f>ROUND(AM87*BB87,2)</f>
        <v>0</v>
      </c>
      <c r="CS87" s="2">
        <f>ROUND(AN87*BS87,2)</f>
        <v>0</v>
      </c>
      <c r="CT87" s="2">
        <f>ROUND(AO87*BA87,2)</f>
        <v>0</v>
      </c>
      <c r="CU87" s="2">
        <f>AG87</f>
        <v>0</v>
      </c>
      <c r="CV87" s="2">
        <f>AH87</f>
        <v>0</v>
      </c>
      <c r="CW87" s="2">
        <f>AI87</f>
        <v>0</v>
      </c>
      <c r="CX87" s="2">
        <f>AJ87</f>
        <v>0</v>
      </c>
      <c r="CY87" s="2">
        <f>0</f>
        <v>0</v>
      </c>
      <c r="CZ87" s="2">
        <f>0</f>
        <v>0</v>
      </c>
      <c r="DA87" s="2"/>
      <c r="DB87" s="2"/>
      <c r="DC87" s="2" t="s">
        <v>3</v>
      </c>
      <c r="DD87" s="2" t="s">
        <v>3</v>
      </c>
      <c r="DE87" s="2" t="s">
        <v>3</v>
      </c>
      <c r="DF87" s="2" t="s">
        <v>3</v>
      </c>
      <c r="DG87" s="2" t="s">
        <v>3</v>
      </c>
      <c r="DH87" s="2" t="s">
        <v>3</v>
      </c>
      <c r="DI87" s="2" t="s">
        <v>3</v>
      </c>
      <c r="DJ87" s="2" t="s">
        <v>3</v>
      </c>
      <c r="DK87" s="2" t="s">
        <v>3</v>
      </c>
      <c r="DL87" s="2" t="s">
        <v>3</v>
      </c>
      <c r="DM87" s="2" t="s">
        <v>3</v>
      </c>
      <c r="DN87" s="2">
        <v>0</v>
      </c>
      <c r="DO87" s="2">
        <v>0</v>
      </c>
      <c r="DP87" s="2">
        <v>1</v>
      </c>
      <c r="DQ87" s="2">
        <v>1</v>
      </c>
      <c r="DR87" s="2"/>
      <c r="DS87" s="2"/>
      <c r="DT87" s="2"/>
      <c r="DU87" s="2">
        <v>1003</v>
      </c>
      <c r="DV87" s="2" t="s">
        <v>116</v>
      </c>
      <c r="DW87" s="2" t="s">
        <v>116</v>
      </c>
      <c r="DX87" s="2">
        <v>100</v>
      </c>
      <c r="DY87" s="2"/>
      <c r="DZ87" s="2" t="s">
        <v>3</v>
      </c>
      <c r="EA87" s="2" t="s">
        <v>3</v>
      </c>
      <c r="EB87" s="2" t="s">
        <v>3</v>
      </c>
      <c r="EC87" s="2" t="s">
        <v>3</v>
      </c>
      <c r="ED87" s="2"/>
      <c r="EE87" s="2">
        <v>72340530</v>
      </c>
      <c r="EF87" s="2">
        <v>8</v>
      </c>
      <c r="EG87" s="2" t="s">
        <v>124</v>
      </c>
      <c r="EH87" s="2">
        <v>0</v>
      </c>
      <c r="EI87" s="2" t="s">
        <v>3</v>
      </c>
      <c r="EJ87" s="2">
        <v>1</v>
      </c>
      <c r="EK87" s="2">
        <v>500001</v>
      </c>
      <c r="EL87" s="2" t="s">
        <v>125</v>
      </c>
      <c r="EM87" s="2" t="s">
        <v>126</v>
      </c>
      <c r="EN87" s="2"/>
      <c r="EO87" s="2" t="s">
        <v>3</v>
      </c>
      <c r="EP87" s="2"/>
      <c r="EQ87" s="2">
        <v>0</v>
      </c>
      <c r="ER87" s="2">
        <v>151.51</v>
      </c>
      <c r="ES87" s="2">
        <v>151.51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>
        <v>0</v>
      </c>
      <c r="FR87" s="2">
        <v>0</v>
      </c>
      <c r="FS87" s="2">
        <v>0</v>
      </c>
      <c r="FT87" s="2"/>
      <c r="FU87" s="2"/>
      <c r="FV87" s="2"/>
      <c r="FW87" s="2"/>
      <c r="FX87" s="2">
        <v>0</v>
      </c>
      <c r="FY87" s="2">
        <v>0</v>
      </c>
      <c r="FZ87" s="2"/>
      <c r="GA87" s="2" t="s">
        <v>3</v>
      </c>
      <c r="GB87" s="2"/>
      <c r="GC87" s="2"/>
      <c r="GD87" s="2">
        <v>1</v>
      </c>
      <c r="GE87" s="2"/>
      <c r="GF87" s="2">
        <v>465333347</v>
      </c>
      <c r="GG87" s="2">
        <v>2</v>
      </c>
      <c r="GH87" s="2">
        <v>1</v>
      </c>
      <c r="GI87" s="2">
        <v>2</v>
      </c>
      <c r="GJ87" s="2">
        <v>0</v>
      </c>
      <c r="GK87" s="2">
        <v>0</v>
      </c>
      <c r="GL87" s="2">
        <f t="shared" si="61"/>
        <v>0</v>
      </c>
      <c r="GM87" s="2">
        <f t="shared" si="62"/>
        <v>520.33000000000004</v>
      </c>
      <c r="GN87" s="2">
        <f t="shared" si="63"/>
        <v>520.33000000000004</v>
      </c>
      <c r="GO87" s="2">
        <f t="shared" si="64"/>
        <v>0</v>
      </c>
      <c r="GP87" s="2">
        <f t="shared" si="65"/>
        <v>0</v>
      </c>
      <c r="GQ87" s="2"/>
      <c r="GR87" s="2">
        <v>0</v>
      </c>
      <c r="GS87" s="2">
        <v>3</v>
      </c>
      <c r="GT87" s="2">
        <v>0</v>
      </c>
      <c r="GU87" s="2" t="s">
        <v>3</v>
      </c>
      <c r="GV87" s="2">
        <f t="shared" si="66"/>
        <v>0</v>
      </c>
      <c r="GW87" s="2">
        <v>1</v>
      </c>
      <c r="GX87" s="2">
        <f t="shared" si="67"/>
        <v>0</v>
      </c>
      <c r="GY87" s="2"/>
      <c r="GZ87" s="2"/>
      <c r="HA87" s="2">
        <v>0</v>
      </c>
      <c r="HB87" s="2">
        <v>0</v>
      </c>
      <c r="HC87" s="2">
        <f>GV87*GW87</f>
        <v>0</v>
      </c>
      <c r="HD87" s="2"/>
      <c r="HE87" s="2" t="s">
        <v>3</v>
      </c>
      <c r="HF87" s="2" t="s">
        <v>3</v>
      </c>
      <c r="HG87" s="2"/>
      <c r="HH87" s="2"/>
      <c r="HI87" s="2"/>
      <c r="HJ87" s="2"/>
      <c r="HK87" s="2"/>
      <c r="HL87" s="2"/>
      <c r="HM87" s="2" t="s">
        <v>3</v>
      </c>
      <c r="HN87" s="2" t="s">
        <v>3</v>
      </c>
      <c r="HO87" s="2" t="s">
        <v>3</v>
      </c>
      <c r="HP87" s="2" t="s">
        <v>3</v>
      </c>
      <c r="HQ87" s="2" t="s">
        <v>3</v>
      </c>
      <c r="HR87" s="2"/>
      <c r="HS87" s="2">
        <v>0</v>
      </c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>
        <v>0</v>
      </c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 x14ac:dyDescent="0.2">
      <c r="A88" s="2">
        <v>17</v>
      </c>
      <c r="B88" s="2">
        <v>1</v>
      </c>
      <c r="C88" s="2">
        <f>ROW(SmtRes!A102)</f>
        <v>102</v>
      </c>
      <c r="D88" s="2">
        <f>ROW(EtalonRes!A112)</f>
        <v>112</v>
      </c>
      <c r="E88" s="2" t="s">
        <v>204</v>
      </c>
      <c r="F88" s="2" t="s">
        <v>187</v>
      </c>
      <c r="G88" s="2" t="s">
        <v>205</v>
      </c>
      <c r="H88" s="2" t="s">
        <v>189</v>
      </c>
      <c r="I88" s="2">
        <v>0.223</v>
      </c>
      <c r="J88" s="2">
        <v>0</v>
      </c>
      <c r="K88" s="2">
        <v>0.223</v>
      </c>
      <c r="L88" s="2"/>
      <c r="M88" s="2"/>
      <c r="N88" s="2"/>
      <c r="O88" s="2">
        <f>ROUND(CP88,2)</f>
        <v>5360.63</v>
      </c>
      <c r="P88" s="2">
        <f>SUMIF(SmtRes!AQ98:'SmtRes'!AQ102,"=1",SmtRes!DF98:'SmtRes'!DF102)</f>
        <v>0</v>
      </c>
      <c r="Q88" s="2">
        <f>SUMIF(SmtRes!AQ98:'SmtRes'!AQ102,"=1",SmtRes!DG98:'SmtRes'!DG102)</f>
        <v>2324.5500000000002</v>
      </c>
      <c r="R88" s="2">
        <f>SUMIF(SmtRes!AQ98:'SmtRes'!AQ102,"=1",SmtRes!DH98:'SmtRes'!DH102)</f>
        <v>761.11</v>
      </c>
      <c r="S88" s="2">
        <f>SUMIF(SmtRes!AQ98:'SmtRes'!AQ102,"=1",SmtRes!DI98:'SmtRes'!DI102)</f>
        <v>2274.9699999999998</v>
      </c>
      <c r="T88" s="2">
        <f t="shared" si="51"/>
        <v>0</v>
      </c>
      <c r="U88" s="2">
        <f>SUMIF(SmtRes!AQ98:'SmtRes'!AQ102,"=1",SmtRes!CV98:'SmtRes'!CV102)</f>
        <v>6.0209999999999999</v>
      </c>
      <c r="V88" s="2">
        <f>SUMIF(SmtRes!AQ98:'SmtRes'!AQ102,"=1",SmtRes!CW98:'SmtRes'!CW102)</f>
        <v>1.65466</v>
      </c>
      <c r="W88" s="2">
        <f t="shared" si="52"/>
        <v>0</v>
      </c>
      <c r="X88" s="2">
        <f t="shared" si="53"/>
        <v>3370.05</v>
      </c>
      <c r="Y88" s="2">
        <f t="shared" si="54"/>
        <v>1578.76</v>
      </c>
      <c r="Z88" s="2"/>
      <c r="AA88" s="2">
        <v>73953415</v>
      </c>
      <c r="AB88" s="2">
        <f t="shared" si="55"/>
        <v>17843.686399999999</v>
      </c>
      <c r="AC88" s="2">
        <f>ROUND((0),6)</f>
        <v>0</v>
      </c>
      <c r="AD88" s="2">
        <f>ROUND((((SUM(SmtRes!BR98:'SmtRes'!BR102))-(SUM(SmtRes!BS98:'SmtRes'!BS102)))+AE88),6)</f>
        <v>7642.0064000000002</v>
      </c>
      <c r="AE88" s="2">
        <f>ROUND((SUM(SmtRes!BS98:'SmtRes'!BS102)),6)</f>
        <v>3413.0515999999998</v>
      </c>
      <c r="AF88" s="2">
        <f>ROUND((SUM(SmtRes!BT98:'SmtRes'!BT102)),6)</f>
        <v>10201.68</v>
      </c>
      <c r="AG88" s="2">
        <f t="shared" si="56"/>
        <v>0</v>
      </c>
      <c r="AH88" s="2">
        <f>(SUM(SmtRes!BU98:'SmtRes'!BU102))</f>
        <v>27</v>
      </c>
      <c r="AI88" s="2">
        <f>(SUM(SmtRes!BV98:'SmtRes'!BV102))</f>
        <v>7.42</v>
      </c>
      <c r="AJ88" s="2">
        <f t="shared" si="57"/>
        <v>0</v>
      </c>
      <c r="AK88" s="2">
        <v>21256.737999999998</v>
      </c>
      <c r="AL88" s="2">
        <v>0</v>
      </c>
      <c r="AM88" s="2">
        <v>7642.0063999999993</v>
      </c>
      <c r="AN88" s="2">
        <v>3413.0516000000002</v>
      </c>
      <c r="AO88" s="2">
        <v>10201.679999999998</v>
      </c>
      <c r="AP88" s="2">
        <v>0</v>
      </c>
      <c r="AQ88" s="2">
        <v>27</v>
      </c>
      <c r="AR88" s="2">
        <v>7.42</v>
      </c>
      <c r="AS88" s="2">
        <v>0</v>
      </c>
      <c r="AT88" s="2">
        <v>111</v>
      </c>
      <c r="AU88" s="2">
        <v>52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0</v>
      </c>
      <c r="BI88" s="2">
        <v>2</v>
      </c>
      <c r="BJ88" s="2" t="s">
        <v>190</v>
      </c>
      <c r="BK88" s="2"/>
      <c r="BL88" s="2"/>
      <c r="BM88" s="2">
        <v>110005</v>
      </c>
      <c r="BN88" s="2">
        <v>0</v>
      </c>
      <c r="BO88" s="2" t="s">
        <v>3</v>
      </c>
      <c r="BP88" s="2">
        <v>0</v>
      </c>
      <c r="BQ88" s="2">
        <v>3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111</v>
      </c>
      <c r="CA88" s="2">
        <v>52</v>
      </c>
      <c r="CB88" s="2" t="s">
        <v>3</v>
      </c>
      <c r="CC88" s="2"/>
      <c r="CD88" s="2"/>
      <c r="CE88" s="2">
        <v>0</v>
      </c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>(P88+Q88+S88+R88)</f>
        <v>5360.63</v>
      </c>
      <c r="CQ88" s="2">
        <f>SUMIF(SmtRes!AQ98:'SmtRes'!AQ102,"=1",SmtRes!AA98:'SmtRes'!AA102)</f>
        <v>0</v>
      </c>
      <c r="CR88" s="2">
        <f>SUMIF(SmtRes!AQ98:'SmtRes'!AQ102,"=1",SmtRes!AB98:'SmtRes'!AB102)</f>
        <v>1404.8500000000001</v>
      </c>
      <c r="CS88" s="2">
        <f>SUMIF(SmtRes!AQ98:'SmtRes'!AQ102,"=1",SmtRes!AC98:'SmtRes'!AC102)</f>
        <v>459.98</v>
      </c>
      <c r="CT88" s="2">
        <f>SUMIF(SmtRes!AQ98:'SmtRes'!AQ102,"=1",SmtRes!AD98:'SmtRes'!AD102)</f>
        <v>377.84</v>
      </c>
      <c r="CU88" s="2">
        <f>AG88</f>
        <v>0</v>
      </c>
      <c r="CV88" s="2">
        <f>SUMIF(SmtRes!AQ98:'SmtRes'!AQ102,"=1",SmtRes!BU98:'SmtRes'!BU102)</f>
        <v>27</v>
      </c>
      <c r="CW88" s="2">
        <f>SUMIF(SmtRes!AQ98:'SmtRes'!AQ102,"=1",SmtRes!BV98:'SmtRes'!BV102)</f>
        <v>7.42</v>
      </c>
      <c r="CX88" s="2">
        <f>AJ88</f>
        <v>0</v>
      </c>
      <c r="CY88" s="2">
        <f>(((S88+R88)*AT88)/100)</f>
        <v>3370.0488</v>
      </c>
      <c r="CZ88" s="2">
        <f>(((S88+R88)*AU88)/100)</f>
        <v>1578.7616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0</v>
      </c>
      <c r="DO88" s="2">
        <v>0</v>
      </c>
      <c r="DP88" s="2">
        <v>1</v>
      </c>
      <c r="DQ88" s="2">
        <v>1</v>
      </c>
      <c r="DR88" s="2"/>
      <c r="DS88" s="2"/>
      <c r="DT88" s="2"/>
      <c r="DU88" s="2">
        <v>30717392</v>
      </c>
      <c r="DV88" s="2" t="s">
        <v>189</v>
      </c>
      <c r="DW88" s="2" t="s">
        <v>189</v>
      </c>
      <c r="DX88" s="2">
        <v>1</v>
      </c>
      <c r="DY88" s="2"/>
      <c r="DZ88" s="2" t="s">
        <v>3</v>
      </c>
      <c r="EA88" s="2" t="s">
        <v>3</v>
      </c>
      <c r="EB88" s="2" t="s">
        <v>3</v>
      </c>
      <c r="EC88" s="2" t="s">
        <v>3</v>
      </c>
      <c r="ED88" s="2"/>
      <c r="EE88" s="2">
        <v>72340517</v>
      </c>
      <c r="EF88" s="2">
        <v>3</v>
      </c>
      <c r="EG88" s="2" t="s">
        <v>191</v>
      </c>
      <c r="EH88" s="2">
        <v>0</v>
      </c>
      <c r="EI88" s="2" t="s">
        <v>3</v>
      </c>
      <c r="EJ88" s="2">
        <v>2</v>
      </c>
      <c r="EK88" s="2">
        <v>110005</v>
      </c>
      <c r="EL88" s="2" t="s">
        <v>192</v>
      </c>
      <c r="EM88" s="2" t="s">
        <v>193</v>
      </c>
      <c r="EN88" s="2"/>
      <c r="EO88" s="2" t="s">
        <v>3</v>
      </c>
      <c r="EP88" s="2"/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27</v>
      </c>
      <c r="EX88" s="2">
        <v>7.42</v>
      </c>
      <c r="EY88" s="2">
        <v>0</v>
      </c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v>0</v>
      </c>
      <c r="FS88" s="2">
        <v>0</v>
      </c>
      <c r="FT88" s="2"/>
      <c r="FU88" s="2"/>
      <c r="FV88" s="2"/>
      <c r="FW88" s="2"/>
      <c r="FX88" s="2">
        <v>111</v>
      </c>
      <c r="FY88" s="2">
        <v>52</v>
      </c>
      <c r="FZ88" s="2"/>
      <c r="GA88" s="2" t="s">
        <v>3</v>
      </c>
      <c r="GB88" s="2"/>
      <c r="GC88" s="2"/>
      <c r="GD88" s="2">
        <v>1</v>
      </c>
      <c r="GE88" s="2"/>
      <c r="GF88" s="2">
        <v>1356055473</v>
      </c>
      <c r="GG88" s="2">
        <v>2</v>
      </c>
      <c r="GH88" s="2">
        <v>1</v>
      </c>
      <c r="GI88" s="2">
        <v>-2</v>
      </c>
      <c r="GJ88" s="2">
        <v>0</v>
      </c>
      <c r="GK88" s="2">
        <v>0</v>
      </c>
      <c r="GL88" s="2">
        <f t="shared" si="61"/>
        <v>0</v>
      </c>
      <c r="GM88" s="2">
        <f t="shared" si="62"/>
        <v>10309.44</v>
      </c>
      <c r="GN88" s="2">
        <f t="shared" si="63"/>
        <v>0</v>
      </c>
      <c r="GO88" s="2">
        <f t="shared" si="64"/>
        <v>10309.44</v>
      </c>
      <c r="GP88" s="2">
        <f t="shared" si="65"/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si="66"/>
        <v>0</v>
      </c>
      <c r="GW88" s="2">
        <v>1</v>
      </c>
      <c r="GX88" s="2">
        <f t="shared" si="67"/>
        <v>0</v>
      </c>
      <c r="GY88" s="2"/>
      <c r="GZ88" s="2"/>
      <c r="HA88" s="2">
        <v>0</v>
      </c>
      <c r="HB88" s="2">
        <v>0</v>
      </c>
      <c r="HC88" s="2">
        <f>GV88*GW88</f>
        <v>0</v>
      </c>
      <c r="HD88" s="2"/>
      <c r="HE88" s="2" t="s">
        <v>3</v>
      </c>
      <c r="HF88" s="2" t="s">
        <v>3</v>
      </c>
      <c r="HG88" s="2"/>
      <c r="HH88" s="2"/>
      <c r="HI88" s="2"/>
      <c r="HJ88" s="2"/>
      <c r="HK88" s="2"/>
      <c r="HL88" s="2"/>
      <c r="HM88" s="2" t="s">
        <v>3</v>
      </c>
      <c r="HN88" s="2" t="s">
        <v>194</v>
      </c>
      <c r="HO88" s="2" t="s">
        <v>195</v>
      </c>
      <c r="HP88" s="2" t="s">
        <v>192</v>
      </c>
      <c r="HQ88" s="2" t="s">
        <v>192</v>
      </c>
      <c r="HR88" s="2"/>
      <c r="HS88" s="2">
        <v>0</v>
      </c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x14ac:dyDescent="0.2">
      <c r="A89" s="2">
        <v>18</v>
      </c>
      <c r="B89" s="2">
        <v>1</v>
      </c>
      <c r="C89" s="2">
        <v>102</v>
      </c>
      <c r="D89" s="2"/>
      <c r="E89" s="2" t="s">
        <v>206</v>
      </c>
      <c r="F89" s="2" t="s">
        <v>197</v>
      </c>
      <c r="G89" s="2" t="s">
        <v>198</v>
      </c>
      <c r="H89" s="2" t="s">
        <v>199</v>
      </c>
      <c r="I89" s="2">
        <f>J89</f>
        <v>2</v>
      </c>
      <c r="J89" s="2">
        <v>2</v>
      </c>
      <c r="K89" s="2">
        <v>2</v>
      </c>
      <c r="L89" s="2"/>
      <c r="M89" s="2"/>
      <c r="N89" s="2"/>
      <c r="O89" s="2">
        <f>ROUND(P89,2)</f>
        <v>45.5</v>
      </c>
      <c r="P89" s="2">
        <f>ROUND(ROUND(ROUND(SUMIF(SmtRes!AQ98:'SmtRes'!AQ102,"=1",SmtRes!CU98:'SmtRes'!CU102),2),2)*I89/100,2)</f>
        <v>45.5</v>
      </c>
      <c r="Q89" s="2">
        <f>ROUND(CR89*I89,2)</f>
        <v>0</v>
      </c>
      <c r="R89" s="2">
        <f>ROUND(CS89*I89,2)</f>
        <v>0</v>
      </c>
      <c r="S89" s="2">
        <f>ROUND(CT89*I89,2)</f>
        <v>0</v>
      </c>
      <c r="T89" s="2">
        <f t="shared" si="51"/>
        <v>0</v>
      </c>
      <c r="U89" s="2">
        <f>ROUND(CV89*I89,7)</f>
        <v>0</v>
      </c>
      <c r="V89" s="2">
        <f>ROUND(CW89*I89,7)</f>
        <v>0</v>
      </c>
      <c r="W89" s="2">
        <f t="shared" si="52"/>
        <v>0</v>
      </c>
      <c r="X89" s="2">
        <f t="shared" si="53"/>
        <v>0</v>
      </c>
      <c r="Y89" s="2">
        <f t="shared" si="54"/>
        <v>0</v>
      </c>
      <c r="Z89" s="2"/>
      <c r="AA89" s="2">
        <v>73953415</v>
      </c>
      <c r="AB89" s="2">
        <f t="shared" si="55"/>
        <v>0</v>
      </c>
      <c r="AC89" s="2">
        <f>ROUND((ES89),6)</f>
        <v>0</v>
      </c>
      <c r="AD89" s="2">
        <f>ROUND((((ET89)-(EU89))+AE89),6)</f>
        <v>0</v>
      </c>
      <c r="AE89" s="2">
        <f>ROUND((EU89),6)</f>
        <v>0</v>
      </c>
      <c r="AF89" s="2">
        <f>ROUND((EV89),6)</f>
        <v>0</v>
      </c>
      <c r="AG89" s="2">
        <f t="shared" si="56"/>
        <v>0</v>
      </c>
      <c r="AH89" s="2">
        <f>(EW89)</f>
        <v>0</v>
      </c>
      <c r="AI89" s="2">
        <f>(EX89)</f>
        <v>0</v>
      </c>
      <c r="AJ89" s="2">
        <f t="shared" si="57"/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111</v>
      </c>
      <c r="AU89" s="2">
        <v>52</v>
      </c>
      <c r="AV89" s="2">
        <v>1</v>
      </c>
      <c r="AW89" s="2">
        <v>1</v>
      </c>
      <c r="AX89" s="2"/>
      <c r="AY89" s="2"/>
      <c r="AZ89" s="2">
        <v>1</v>
      </c>
      <c r="BA89" s="2">
        <v>1</v>
      </c>
      <c r="BB89" s="2">
        <v>1</v>
      </c>
      <c r="BC89" s="2">
        <v>1</v>
      </c>
      <c r="BD89" s="2" t="s">
        <v>3</v>
      </c>
      <c r="BE89" s="2" t="s">
        <v>3</v>
      </c>
      <c r="BF89" s="2" t="s">
        <v>3</v>
      </c>
      <c r="BG89" s="2" t="s">
        <v>3</v>
      </c>
      <c r="BH89" s="2">
        <v>3</v>
      </c>
      <c r="BI89" s="2">
        <v>2</v>
      </c>
      <c r="BJ89" s="2" t="s">
        <v>3</v>
      </c>
      <c r="BK89" s="2"/>
      <c r="BL89" s="2"/>
      <c r="BM89" s="2">
        <v>110005</v>
      </c>
      <c r="BN89" s="2">
        <v>0</v>
      </c>
      <c r="BO89" s="2" t="s">
        <v>3</v>
      </c>
      <c r="BP89" s="2">
        <v>0</v>
      </c>
      <c r="BQ89" s="2">
        <v>3</v>
      </c>
      <c r="BR89" s="2">
        <v>0</v>
      </c>
      <c r="BS89" s="2">
        <v>1</v>
      </c>
      <c r="BT89" s="2">
        <v>1</v>
      </c>
      <c r="BU89" s="2">
        <v>1</v>
      </c>
      <c r="BV89" s="2">
        <v>1</v>
      </c>
      <c r="BW89" s="2">
        <v>1</v>
      </c>
      <c r="BX89" s="2">
        <v>1</v>
      </c>
      <c r="BY89" s="2" t="s">
        <v>3</v>
      </c>
      <c r="BZ89" s="2">
        <v>111</v>
      </c>
      <c r="CA89" s="2">
        <v>52</v>
      </c>
      <c r="CB89" s="2" t="s">
        <v>3</v>
      </c>
      <c r="CC89" s="2"/>
      <c r="CD89" s="2"/>
      <c r="CE89" s="2">
        <v>0</v>
      </c>
      <c r="CF89" s="2">
        <v>0</v>
      </c>
      <c r="CG89" s="2">
        <v>0</v>
      </c>
      <c r="CH89" s="2"/>
      <c r="CI89" s="2"/>
      <c r="CJ89" s="2"/>
      <c r="CK89" s="2"/>
      <c r="CL89" s="2"/>
      <c r="CM89" s="2">
        <v>0</v>
      </c>
      <c r="CN89" s="2" t="s">
        <v>3</v>
      </c>
      <c r="CO89" s="2">
        <v>0</v>
      </c>
      <c r="CP89" s="2">
        <f>0</f>
        <v>0</v>
      </c>
      <c r="CQ89" s="2">
        <f>0</f>
        <v>0</v>
      </c>
      <c r="CR89" s="2">
        <f>0</f>
        <v>0</v>
      </c>
      <c r="CS89" s="2">
        <f>0</f>
        <v>0</v>
      </c>
      <c r="CT89" s="2">
        <f>0</f>
        <v>0</v>
      </c>
      <c r="CU89" s="2">
        <f>0</f>
        <v>0</v>
      </c>
      <c r="CV89" s="2">
        <f>0</f>
        <v>0</v>
      </c>
      <c r="CW89" s="2">
        <f>0</f>
        <v>0</v>
      </c>
      <c r="CX89" s="2">
        <f>0</f>
        <v>0</v>
      </c>
      <c r="CY89" s="2">
        <f>0</f>
        <v>0</v>
      </c>
      <c r="CZ89" s="2">
        <f>0</f>
        <v>0</v>
      </c>
      <c r="DA89" s="2"/>
      <c r="DB89" s="2"/>
      <c r="DC89" s="2" t="s">
        <v>3</v>
      </c>
      <c r="DD89" s="2" t="s">
        <v>3</v>
      </c>
      <c r="DE89" s="2" t="s">
        <v>3</v>
      </c>
      <c r="DF89" s="2" t="s">
        <v>3</v>
      </c>
      <c r="DG89" s="2" t="s">
        <v>3</v>
      </c>
      <c r="DH89" s="2" t="s">
        <v>3</v>
      </c>
      <c r="DI89" s="2" t="s">
        <v>3</v>
      </c>
      <c r="DJ89" s="2" t="s">
        <v>3</v>
      </c>
      <c r="DK89" s="2" t="s">
        <v>3</v>
      </c>
      <c r="DL89" s="2" t="s">
        <v>3</v>
      </c>
      <c r="DM89" s="2" t="s">
        <v>3</v>
      </c>
      <c r="DN89" s="2">
        <v>0</v>
      </c>
      <c r="DO89" s="2">
        <v>0</v>
      </c>
      <c r="DP89" s="2">
        <v>1</v>
      </c>
      <c r="DQ89" s="2">
        <v>1</v>
      </c>
      <c r="DR89" s="2"/>
      <c r="DS89" s="2"/>
      <c r="DT89" s="2"/>
      <c r="DU89" s="2">
        <v>1013</v>
      </c>
      <c r="DV89" s="2" t="s">
        <v>199</v>
      </c>
      <c r="DW89" s="2" t="s">
        <v>199</v>
      </c>
      <c r="DX89" s="2">
        <v>1</v>
      </c>
      <c r="DY89" s="2"/>
      <c r="DZ89" s="2" t="s">
        <v>3</v>
      </c>
      <c r="EA89" s="2" t="s">
        <v>3</v>
      </c>
      <c r="EB89" s="2" t="s">
        <v>3</v>
      </c>
      <c r="EC89" s="2" t="s">
        <v>3</v>
      </c>
      <c r="ED89" s="2"/>
      <c r="EE89" s="2">
        <v>72340517</v>
      </c>
      <c r="EF89" s="2">
        <v>3</v>
      </c>
      <c r="EG89" s="2" t="s">
        <v>191</v>
      </c>
      <c r="EH89" s="2">
        <v>0</v>
      </c>
      <c r="EI89" s="2" t="s">
        <v>3</v>
      </c>
      <c r="EJ89" s="2">
        <v>2</v>
      </c>
      <c r="EK89" s="2">
        <v>110005</v>
      </c>
      <c r="EL89" s="2" t="s">
        <v>192</v>
      </c>
      <c r="EM89" s="2" t="s">
        <v>193</v>
      </c>
      <c r="EN89" s="2"/>
      <c r="EO89" s="2" t="s">
        <v>3</v>
      </c>
      <c r="EP89" s="2"/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>
        <v>0</v>
      </c>
      <c r="FR89" s="2">
        <v>0</v>
      </c>
      <c r="FS89" s="2">
        <v>0</v>
      </c>
      <c r="FT89" s="2"/>
      <c r="FU89" s="2"/>
      <c r="FV89" s="2"/>
      <c r="FW89" s="2"/>
      <c r="FX89" s="2">
        <v>111</v>
      </c>
      <c r="FY89" s="2">
        <v>52</v>
      </c>
      <c r="FZ89" s="2"/>
      <c r="GA89" s="2" t="s">
        <v>3</v>
      </c>
      <c r="GB89" s="2"/>
      <c r="GC89" s="2"/>
      <c r="GD89" s="2">
        <v>1</v>
      </c>
      <c r="GE89" s="2"/>
      <c r="GF89" s="2">
        <v>274903907</v>
      </c>
      <c r="GG89" s="2">
        <v>2</v>
      </c>
      <c r="GH89" s="2">
        <v>1</v>
      </c>
      <c r="GI89" s="2">
        <v>-2</v>
      </c>
      <c r="GJ89" s="2">
        <v>0</v>
      </c>
      <c r="GK89" s="2">
        <v>0</v>
      </c>
      <c r="GL89" s="2">
        <f t="shared" si="61"/>
        <v>0</v>
      </c>
      <c r="GM89" s="2">
        <f t="shared" si="62"/>
        <v>45.5</v>
      </c>
      <c r="GN89" s="2">
        <f t="shared" si="63"/>
        <v>0</v>
      </c>
      <c r="GO89" s="2">
        <f t="shared" si="64"/>
        <v>45.5</v>
      </c>
      <c r="GP89" s="2">
        <f t="shared" si="65"/>
        <v>0</v>
      </c>
      <c r="GQ89" s="2"/>
      <c r="GR89" s="2">
        <v>0</v>
      </c>
      <c r="GS89" s="2">
        <v>3</v>
      </c>
      <c r="GT89" s="2">
        <v>0</v>
      </c>
      <c r="GU89" s="2" t="s">
        <v>3</v>
      </c>
      <c r="GV89" s="2">
        <f t="shared" si="66"/>
        <v>0</v>
      </c>
      <c r="GW89" s="2">
        <v>1</v>
      </c>
      <c r="GX89" s="2">
        <f t="shared" si="67"/>
        <v>0</v>
      </c>
      <c r="GY89" s="2"/>
      <c r="GZ89" s="2"/>
      <c r="HA89" s="2">
        <v>0</v>
      </c>
      <c r="HB89" s="2">
        <v>0</v>
      </c>
      <c r="HC89" s="2">
        <f>0</f>
        <v>0</v>
      </c>
      <c r="HD89" s="2"/>
      <c r="HE89" s="2" t="s">
        <v>3</v>
      </c>
      <c r="HF89" s="2" t="s">
        <v>3</v>
      </c>
      <c r="HG89" s="2"/>
      <c r="HH89" s="2"/>
      <c r="HI89" s="2"/>
      <c r="HJ89" s="2"/>
      <c r="HK89" s="2"/>
      <c r="HL89" s="2"/>
      <c r="HM89" s="2" t="s">
        <v>3</v>
      </c>
      <c r="HN89" s="2" t="s">
        <v>194</v>
      </c>
      <c r="HO89" s="2" t="s">
        <v>195</v>
      </c>
      <c r="HP89" s="2" t="s">
        <v>192</v>
      </c>
      <c r="HQ89" s="2" t="s">
        <v>192</v>
      </c>
      <c r="HR89" s="2"/>
      <c r="HS89" s="2">
        <v>0</v>
      </c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>
        <v>0</v>
      </c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 x14ac:dyDescent="0.2">
      <c r="A90" s="2">
        <v>17</v>
      </c>
      <c r="B90" s="2">
        <v>1</v>
      </c>
      <c r="C90" s="2"/>
      <c r="D90" s="2"/>
      <c r="E90" s="2" t="s">
        <v>207</v>
      </c>
      <c r="F90" s="2" t="s">
        <v>208</v>
      </c>
      <c r="G90" s="2" t="s">
        <v>209</v>
      </c>
      <c r="H90" s="2" t="s">
        <v>210</v>
      </c>
      <c r="I90" s="2">
        <f>ROUND(223/1000,7)</f>
        <v>0.223</v>
      </c>
      <c r="J90" s="2">
        <v>0</v>
      </c>
      <c r="K90" s="2">
        <f>ROUND(223/1000,7)</f>
        <v>0.223</v>
      </c>
      <c r="L90" s="2"/>
      <c r="M90" s="2"/>
      <c r="N90" s="2"/>
      <c r="O90" s="2">
        <f t="shared" ref="O90:O100" si="71">ROUND(CP90,2)</f>
        <v>865.58</v>
      </c>
      <c r="P90" s="2">
        <f>ROUND(CQ90*I90,2)</f>
        <v>865.58</v>
      </c>
      <c r="Q90" s="2">
        <f>ROUND(CR90*I90,2)</f>
        <v>0</v>
      </c>
      <c r="R90" s="2">
        <f>ROUND(CS90*I90,2)</f>
        <v>0</v>
      </c>
      <c r="S90" s="2">
        <f>ROUND(CT90*I90,2)</f>
        <v>0</v>
      </c>
      <c r="T90" s="2">
        <f t="shared" si="51"/>
        <v>0</v>
      </c>
      <c r="U90" s="2">
        <f>ROUND(CV90*I90,7)</f>
        <v>0</v>
      </c>
      <c r="V90" s="2">
        <f>ROUND(CW90*I90,7)</f>
        <v>0</v>
      </c>
      <c r="W90" s="2">
        <f t="shared" si="52"/>
        <v>0</v>
      </c>
      <c r="X90" s="2">
        <f t="shared" si="53"/>
        <v>0</v>
      </c>
      <c r="Y90" s="2">
        <f t="shared" si="54"/>
        <v>0</v>
      </c>
      <c r="Z90" s="2"/>
      <c r="AA90" s="2">
        <v>73953415</v>
      </c>
      <c r="AB90" s="2">
        <f t="shared" si="55"/>
        <v>3080.58</v>
      </c>
      <c r="AC90" s="2">
        <f>ROUND((ES90),6)</f>
        <v>3080.58</v>
      </c>
      <c r="AD90" s="2">
        <f>ROUND((((ET90)-(EU90))+AE90),6)</f>
        <v>0</v>
      </c>
      <c r="AE90" s="2">
        <f>ROUND((EU90),6)</f>
        <v>0</v>
      </c>
      <c r="AF90" s="2">
        <f>ROUND((EV90),6)</f>
        <v>0</v>
      </c>
      <c r="AG90" s="2">
        <f t="shared" si="56"/>
        <v>0</v>
      </c>
      <c r="AH90" s="2">
        <f>(EW90)</f>
        <v>0</v>
      </c>
      <c r="AI90" s="2">
        <f>(EX90)</f>
        <v>0</v>
      </c>
      <c r="AJ90" s="2">
        <f t="shared" si="57"/>
        <v>0</v>
      </c>
      <c r="AK90" s="2">
        <v>3080.58</v>
      </c>
      <c r="AL90" s="2">
        <v>3080.58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1.26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3</v>
      </c>
      <c r="BI90" s="2">
        <v>2</v>
      </c>
      <c r="BJ90" s="2" t="s">
        <v>211</v>
      </c>
      <c r="BK90" s="2"/>
      <c r="BL90" s="2"/>
      <c r="BM90" s="2">
        <v>500002</v>
      </c>
      <c r="BN90" s="2">
        <v>0</v>
      </c>
      <c r="BO90" s="2" t="s">
        <v>208</v>
      </c>
      <c r="BP90" s="2">
        <v>1</v>
      </c>
      <c r="BQ90" s="2">
        <v>12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0</v>
      </c>
      <c r="CA90" s="2">
        <v>0</v>
      </c>
      <c r="CB90" s="2" t="s">
        <v>3</v>
      </c>
      <c r="CC90" s="2"/>
      <c r="CD90" s="2"/>
      <c r="CE90" s="2">
        <v>0</v>
      </c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3</v>
      </c>
      <c r="CO90" s="2">
        <v>0</v>
      </c>
      <c r="CP90" s="2">
        <f t="shared" ref="CP90:CP100" si="72">(P90+Q90+S90+R90)</f>
        <v>865.58</v>
      </c>
      <c r="CQ90" s="2">
        <f>ROUND(AL90*BC90,2)</f>
        <v>3881.53</v>
      </c>
      <c r="CR90" s="2">
        <f>ROUND(AM90*BB90,2)</f>
        <v>0</v>
      </c>
      <c r="CS90" s="2">
        <f>ROUND(AN90*BS90,2)</f>
        <v>0</v>
      </c>
      <c r="CT90" s="2">
        <f>ROUND(AO90*BA90,2)</f>
        <v>0</v>
      </c>
      <c r="CU90" s="2">
        <f>AG90</f>
        <v>0</v>
      </c>
      <c r="CV90" s="2">
        <f>AH90</f>
        <v>0</v>
      </c>
      <c r="CW90" s="2">
        <f>AI90</f>
        <v>0</v>
      </c>
      <c r="CX90" s="2">
        <f>AJ90</f>
        <v>0</v>
      </c>
      <c r="CY90" s="2">
        <f>0</f>
        <v>0</v>
      </c>
      <c r="CZ90" s="2">
        <f>0</f>
        <v>0</v>
      </c>
      <c r="DA90" s="2"/>
      <c r="DB90" s="2"/>
      <c r="DC90" s="2" t="s">
        <v>3</v>
      </c>
      <c r="DD90" s="2" t="s">
        <v>3</v>
      </c>
      <c r="DE90" s="2" t="s">
        <v>3</v>
      </c>
      <c r="DF90" s="2" t="s">
        <v>3</v>
      </c>
      <c r="DG90" s="2" t="s">
        <v>3</v>
      </c>
      <c r="DH90" s="2" t="s">
        <v>3</v>
      </c>
      <c r="DI90" s="2" t="s">
        <v>3</v>
      </c>
      <c r="DJ90" s="2" t="s">
        <v>3</v>
      </c>
      <c r="DK90" s="2" t="s">
        <v>3</v>
      </c>
      <c r="DL90" s="2" t="s">
        <v>3</v>
      </c>
      <c r="DM90" s="2" t="s">
        <v>3</v>
      </c>
      <c r="DN90" s="2">
        <v>0</v>
      </c>
      <c r="DO90" s="2">
        <v>0</v>
      </c>
      <c r="DP90" s="2">
        <v>1</v>
      </c>
      <c r="DQ90" s="2">
        <v>1</v>
      </c>
      <c r="DR90" s="2"/>
      <c r="DS90" s="2"/>
      <c r="DT90" s="2"/>
      <c r="DU90" s="2">
        <v>1013</v>
      </c>
      <c r="DV90" s="2" t="s">
        <v>210</v>
      </c>
      <c r="DW90" s="2" t="s">
        <v>212</v>
      </c>
      <c r="DX90" s="2">
        <v>1</v>
      </c>
      <c r="DY90" s="2"/>
      <c r="DZ90" s="2" t="s">
        <v>3</v>
      </c>
      <c r="EA90" s="2" t="s">
        <v>3</v>
      </c>
      <c r="EB90" s="2" t="s">
        <v>3</v>
      </c>
      <c r="EC90" s="2" t="s">
        <v>3</v>
      </c>
      <c r="ED90" s="2"/>
      <c r="EE90" s="2">
        <v>72340531</v>
      </c>
      <c r="EF90" s="2">
        <v>12</v>
      </c>
      <c r="EG90" s="2" t="s">
        <v>213</v>
      </c>
      <c r="EH90" s="2">
        <v>0</v>
      </c>
      <c r="EI90" s="2" t="s">
        <v>3</v>
      </c>
      <c r="EJ90" s="2">
        <v>2</v>
      </c>
      <c r="EK90" s="2">
        <v>500002</v>
      </c>
      <c r="EL90" s="2" t="s">
        <v>214</v>
      </c>
      <c r="EM90" s="2" t="s">
        <v>215</v>
      </c>
      <c r="EN90" s="2"/>
      <c r="EO90" s="2" t="s">
        <v>3</v>
      </c>
      <c r="EP90" s="2"/>
      <c r="EQ90" s="2">
        <v>0</v>
      </c>
      <c r="ER90" s="2">
        <v>3080.58</v>
      </c>
      <c r="ES90" s="2">
        <v>3080.58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v>0</v>
      </c>
      <c r="FS90" s="2">
        <v>0</v>
      </c>
      <c r="FT90" s="2"/>
      <c r="FU90" s="2"/>
      <c r="FV90" s="2"/>
      <c r="FW90" s="2"/>
      <c r="FX90" s="2">
        <v>0</v>
      </c>
      <c r="FY90" s="2">
        <v>0</v>
      </c>
      <c r="FZ90" s="2"/>
      <c r="GA90" s="2" t="s">
        <v>3</v>
      </c>
      <c r="GB90" s="2"/>
      <c r="GC90" s="2"/>
      <c r="GD90" s="2">
        <v>1</v>
      </c>
      <c r="GE90" s="2"/>
      <c r="GF90" s="2">
        <v>-1564319187</v>
      </c>
      <c r="GG90" s="2">
        <v>2</v>
      </c>
      <c r="GH90" s="2">
        <v>1</v>
      </c>
      <c r="GI90" s="2">
        <v>2</v>
      </c>
      <c r="GJ90" s="2">
        <v>0</v>
      </c>
      <c r="GK90" s="2">
        <v>0</v>
      </c>
      <c r="GL90" s="2">
        <f t="shared" si="61"/>
        <v>0</v>
      </c>
      <c r="GM90" s="2">
        <f t="shared" si="62"/>
        <v>865.58</v>
      </c>
      <c r="GN90" s="2">
        <f t="shared" si="63"/>
        <v>0</v>
      </c>
      <c r="GO90" s="2">
        <f t="shared" si="64"/>
        <v>865.58</v>
      </c>
      <c r="GP90" s="2">
        <f t="shared" si="65"/>
        <v>0</v>
      </c>
      <c r="GQ90" s="2"/>
      <c r="GR90" s="2">
        <v>0</v>
      </c>
      <c r="GS90" s="2">
        <v>3</v>
      </c>
      <c r="GT90" s="2">
        <v>0</v>
      </c>
      <c r="GU90" s="2" t="s">
        <v>3</v>
      </c>
      <c r="GV90" s="2">
        <f t="shared" si="66"/>
        <v>0</v>
      </c>
      <c r="GW90" s="2">
        <v>1</v>
      </c>
      <c r="GX90" s="2">
        <f t="shared" si="67"/>
        <v>0</v>
      </c>
      <c r="GY90" s="2"/>
      <c r="GZ90" s="2"/>
      <c r="HA90" s="2">
        <v>0</v>
      </c>
      <c r="HB90" s="2">
        <v>0</v>
      </c>
      <c r="HC90" s="2">
        <f t="shared" ref="HC90:HC100" si="73">GV90*GW90</f>
        <v>0</v>
      </c>
      <c r="HD90" s="2"/>
      <c r="HE90" s="2" t="s">
        <v>3</v>
      </c>
      <c r="HF90" s="2" t="s">
        <v>3</v>
      </c>
      <c r="HG90" s="2"/>
      <c r="HH90" s="2"/>
      <c r="HI90" s="2"/>
      <c r="HJ90" s="2"/>
      <c r="HK90" s="2"/>
      <c r="HL90" s="2"/>
      <c r="HM90" s="2" t="s">
        <v>3</v>
      </c>
      <c r="HN90" s="2" t="s">
        <v>3</v>
      </c>
      <c r="HO90" s="2" t="s">
        <v>3</v>
      </c>
      <c r="HP90" s="2" t="s">
        <v>3</v>
      </c>
      <c r="HQ90" s="2" t="s">
        <v>3</v>
      </c>
      <c r="HR90" s="2"/>
      <c r="HS90" s="2">
        <v>0</v>
      </c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x14ac:dyDescent="0.2">
      <c r="A91" s="2">
        <v>17</v>
      </c>
      <c r="B91" s="2">
        <v>1</v>
      </c>
      <c r="C91" s="2">
        <f>ROW(SmtRes!A106)</f>
        <v>106</v>
      </c>
      <c r="D91" s="2">
        <f>ROW(EtalonRes!A117)</f>
        <v>117</v>
      </c>
      <c r="E91" s="2" t="s">
        <v>216</v>
      </c>
      <c r="F91" s="2" t="s">
        <v>217</v>
      </c>
      <c r="G91" s="2" t="s">
        <v>218</v>
      </c>
      <c r="H91" s="2" t="s">
        <v>219</v>
      </c>
      <c r="I91" s="2">
        <f>ROUND(5/100,7)</f>
        <v>0.05</v>
      </c>
      <c r="J91" s="2">
        <v>0</v>
      </c>
      <c r="K91" s="2">
        <f>ROUND(5/100,7)</f>
        <v>0.05</v>
      </c>
      <c r="L91" s="2"/>
      <c r="M91" s="2"/>
      <c r="N91" s="2"/>
      <c r="O91" s="2">
        <f t="shared" si="71"/>
        <v>273.33</v>
      </c>
      <c r="P91" s="2">
        <f>SUMIF(SmtRes!AQ103:'SmtRes'!AQ106,"=1",SmtRes!DF103:'SmtRes'!DF106)</f>
        <v>0</v>
      </c>
      <c r="Q91" s="2">
        <f>SUMIF(SmtRes!AQ103:'SmtRes'!AQ106,"=1",SmtRes!DG103:'SmtRes'!DG106)</f>
        <v>62.98</v>
      </c>
      <c r="R91" s="2">
        <f>SUMIF(SmtRes!AQ103:'SmtRes'!AQ106,"=1",SmtRes!DH103:'SmtRes'!DH106)</f>
        <v>18.809999999999999</v>
      </c>
      <c r="S91" s="2">
        <f>SUMIF(SmtRes!AQ103:'SmtRes'!AQ106,"=1",SmtRes!DI103:'SmtRes'!DI106)</f>
        <v>191.54</v>
      </c>
      <c r="T91" s="2">
        <f t="shared" si="51"/>
        <v>0</v>
      </c>
      <c r="U91" s="2">
        <f>SUMIF(SmtRes!AQ103:'SmtRes'!AQ106,"=1",SmtRes!CV103:'SmtRes'!CV106)</f>
        <v>0.5675</v>
      </c>
      <c r="V91" s="2">
        <f>SUMIF(SmtRes!AQ103:'SmtRes'!AQ106,"=1",SmtRes!CW103:'SmtRes'!CW106)</f>
        <v>4.7E-2</v>
      </c>
      <c r="W91" s="2">
        <f t="shared" si="52"/>
        <v>0</v>
      </c>
      <c r="X91" s="2">
        <f t="shared" si="53"/>
        <v>309.20999999999998</v>
      </c>
      <c r="Y91" s="2">
        <f t="shared" si="54"/>
        <v>281.87</v>
      </c>
      <c r="Z91" s="2"/>
      <c r="AA91" s="2">
        <v>73953415</v>
      </c>
      <c r="AB91" s="2">
        <f t="shared" si="55"/>
        <v>4773.1531999999997</v>
      </c>
      <c r="AC91" s="2">
        <f>ROUND((0),6)</f>
        <v>0</v>
      </c>
      <c r="AD91" s="2">
        <f>ROUND((((SUM(SmtRes!BR103:'SmtRes'!BR106))-(SUM(SmtRes!BS103:'SmtRes'!BS106)))+AE91),6)</f>
        <v>942.30119999999999</v>
      </c>
      <c r="AE91" s="2">
        <f>ROUND((SUM(SmtRes!BS103:'SmtRes'!BS106)),6)</f>
        <v>376.22559999999999</v>
      </c>
      <c r="AF91" s="2">
        <f>ROUND((SUM(SmtRes!BT103:'SmtRes'!BT106)),6)</f>
        <v>3830.8519999999999</v>
      </c>
      <c r="AG91" s="2">
        <f t="shared" si="56"/>
        <v>0</v>
      </c>
      <c r="AH91" s="2">
        <f>(SUM(SmtRes!BU103:'SmtRes'!BU106))</f>
        <v>11.35</v>
      </c>
      <c r="AI91" s="2">
        <f>(SUM(SmtRes!BV103:'SmtRes'!BV106))</f>
        <v>0.94</v>
      </c>
      <c r="AJ91" s="2">
        <f t="shared" si="57"/>
        <v>0</v>
      </c>
      <c r="AK91" s="2">
        <v>5149.3787999999995</v>
      </c>
      <c r="AL91" s="2">
        <v>0</v>
      </c>
      <c r="AM91" s="2">
        <v>942.30119999999988</v>
      </c>
      <c r="AN91" s="2">
        <v>376.22559999999999</v>
      </c>
      <c r="AO91" s="2">
        <v>3830.8519999999999</v>
      </c>
      <c r="AP91" s="2">
        <v>0</v>
      </c>
      <c r="AQ91" s="2">
        <v>11.35</v>
      </c>
      <c r="AR91" s="2">
        <v>0.94</v>
      </c>
      <c r="AS91" s="2">
        <v>0</v>
      </c>
      <c r="AT91" s="2">
        <v>147</v>
      </c>
      <c r="AU91" s="2">
        <v>134</v>
      </c>
      <c r="AV91" s="2">
        <v>1</v>
      </c>
      <c r="AW91" s="2">
        <v>1</v>
      </c>
      <c r="AX91" s="2"/>
      <c r="AY91" s="2"/>
      <c r="AZ91" s="2">
        <v>1</v>
      </c>
      <c r="BA91" s="2">
        <v>1</v>
      </c>
      <c r="BB91" s="2">
        <v>1</v>
      </c>
      <c r="BC91" s="2">
        <v>1</v>
      </c>
      <c r="BD91" s="2" t="s">
        <v>3</v>
      </c>
      <c r="BE91" s="2" t="s">
        <v>3</v>
      </c>
      <c r="BF91" s="2" t="s">
        <v>3</v>
      </c>
      <c r="BG91" s="2" t="s">
        <v>3</v>
      </c>
      <c r="BH91" s="2">
        <v>0</v>
      </c>
      <c r="BI91" s="2">
        <v>1</v>
      </c>
      <c r="BJ91" s="2" t="s">
        <v>220</v>
      </c>
      <c r="BK91" s="2"/>
      <c r="BL91" s="2"/>
      <c r="BM91" s="2">
        <v>27001</v>
      </c>
      <c r="BN91" s="2">
        <v>0</v>
      </c>
      <c r="BO91" s="2" t="s">
        <v>3</v>
      </c>
      <c r="BP91" s="2">
        <v>0</v>
      </c>
      <c r="BQ91" s="2">
        <v>2</v>
      </c>
      <c r="BR91" s="2">
        <v>0</v>
      </c>
      <c r="BS91" s="2">
        <v>1</v>
      </c>
      <c r="BT91" s="2">
        <v>1</v>
      </c>
      <c r="BU91" s="2">
        <v>1</v>
      </c>
      <c r="BV91" s="2">
        <v>1</v>
      </c>
      <c r="BW91" s="2">
        <v>1</v>
      </c>
      <c r="BX91" s="2">
        <v>1</v>
      </c>
      <c r="BY91" s="2" t="s">
        <v>3</v>
      </c>
      <c r="BZ91" s="2">
        <v>147</v>
      </c>
      <c r="CA91" s="2">
        <v>134</v>
      </c>
      <c r="CB91" s="2" t="s">
        <v>3</v>
      </c>
      <c r="CC91" s="2"/>
      <c r="CD91" s="2"/>
      <c r="CE91" s="2">
        <v>0</v>
      </c>
      <c r="CF91" s="2">
        <v>0</v>
      </c>
      <c r="CG91" s="2">
        <v>0</v>
      </c>
      <c r="CH91" s="2"/>
      <c r="CI91" s="2"/>
      <c r="CJ91" s="2"/>
      <c r="CK91" s="2"/>
      <c r="CL91" s="2"/>
      <c r="CM91" s="2">
        <v>0</v>
      </c>
      <c r="CN91" s="2" t="s">
        <v>3</v>
      </c>
      <c r="CO91" s="2">
        <v>0</v>
      </c>
      <c r="CP91" s="2">
        <f t="shared" si="72"/>
        <v>273.33</v>
      </c>
      <c r="CQ91" s="2">
        <f>SUMIF(SmtRes!AQ103:'SmtRes'!AQ106,"=1",SmtRes!AA103:'SmtRes'!AA106)</f>
        <v>0</v>
      </c>
      <c r="CR91" s="2">
        <f>SUMIF(SmtRes!AQ103:'SmtRes'!AQ106,"=1",SmtRes!AB103:'SmtRes'!AB106)</f>
        <v>1233.3599999999999</v>
      </c>
      <c r="CS91" s="2">
        <f>SUMIF(SmtRes!AQ103:'SmtRes'!AQ106,"=1",SmtRes!AC103:'SmtRes'!AC106)</f>
        <v>400.24</v>
      </c>
      <c r="CT91" s="2">
        <f>SUMIF(SmtRes!AQ103:'SmtRes'!AQ106,"=1",SmtRes!AD103:'SmtRes'!AD106)</f>
        <v>337.52</v>
      </c>
      <c r="CU91" s="2">
        <f t="shared" ref="CU91:CU100" si="74">AG91</f>
        <v>0</v>
      </c>
      <c r="CV91" s="2">
        <f>SUMIF(SmtRes!AQ103:'SmtRes'!AQ106,"=1",SmtRes!BU103:'SmtRes'!BU106)</f>
        <v>11.35</v>
      </c>
      <c r="CW91" s="2">
        <f>SUMIF(SmtRes!AQ103:'SmtRes'!AQ106,"=1",SmtRes!BV103:'SmtRes'!BV106)</f>
        <v>0.94</v>
      </c>
      <c r="CX91" s="2">
        <f t="shared" ref="CX91:CX100" si="75">AJ91</f>
        <v>0</v>
      </c>
      <c r="CY91" s="2">
        <f>(((S91+R91)*AT91)/100)</f>
        <v>309.21449999999999</v>
      </c>
      <c r="CZ91" s="2">
        <f>(((S91+R91)*AU91)/100)</f>
        <v>281.86899999999997</v>
      </c>
      <c r="DA91" s="2"/>
      <c r="DB91" s="2"/>
      <c r="DC91" s="2" t="s">
        <v>3</v>
      </c>
      <c r="DD91" s="2" t="s">
        <v>3</v>
      </c>
      <c r="DE91" s="2" t="s">
        <v>3</v>
      </c>
      <c r="DF91" s="2" t="s">
        <v>3</v>
      </c>
      <c r="DG91" s="2" t="s">
        <v>3</v>
      </c>
      <c r="DH91" s="2" t="s">
        <v>3</v>
      </c>
      <c r="DI91" s="2" t="s">
        <v>3</v>
      </c>
      <c r="DJ91" s="2" t="s">
        <v>3</v>
      </c>
      <c r="DK91" s="2" t="s">
        <v>3</v>
      </c>
      <c r="DL91" s="2" t="s">
        <v>3</v>
      </c>
      <c r="DM91" s="2" t="s">
        <v>3</v>
      </c>
      <c r="DN91" s="2">
        <v>0</v>
      </c>
      <c r="DO91" s="2">
        <v>0</v>
      </c>
      <c r="DP91" s="2">
        <v>1</v>
      </c>
      <c r="DQ91" s="2">
        <v>1</v>
      </c>
      <c r="DR91" s="2"/>
      <c r="DS91" s="2"/>
      <c r="DT91" s="2"/>
      <c r="DU91" s="2">
        <v>1013</v>
      </c>
      <c r="DV91" s="2" t="s">
        <v>219</v>
      </c>
      <c r="DW91" s="2" t="s">
        <v>219</v>
      </c>
      <c r="DX91" s="2">
        <v>1</v>
      </c>
      <c r="DY91" s="2"/>
      <c r="DZ91" s="2" t="s">
        <v>3</v>
      </c>
      <c r="EA91" s="2" t="s">
        <v>3</v>
      </c>
      <c r="EB91" s="2" t="s">
        <v>3</v>
      </c>
      <c r="EC91" s="2" t="s">
        <v>3</v>
      </c>
      <c r="ED91" s="2"/>
      <c r="EE91" s="2">
        <v>72340638</v>
      </c>
      <c r="EF91" s="2">
        <v>2</v>
      </c>
      <c r="EG91" s="2" t="s">
        <v>23</v>
      </c>
      <c r="EH91" s="2">
        <v>21</v>
      </c>
      <c r="EI91" s="2" t="s">
        <v>221</v>
      </c>
      <c r="EJ91" s="2">
        <v>1</v>
      </c>
      <c r="EK91" s="2">
        <v>27001</v>
      </c>
      <c r="EL91" s="2" t="s">
        <v>221</v>
      </c>
      <c r="EM91" s="2" t="s">
        <v>222</v>
      </c>
      <c r="EN91" s="2"/>
      <c r="EO91" s="2" t="s">
        <v>3</v>
      </c>
      <c r="EP91" s="2"/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11.35</v>
      </c>
      <c r="EX91" s="2">
        <v>0.94</v>
      </c>
      <c r="EY91" s="2">
        <v>0</v>
      </c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>
        <v>0</v>
      </c>
      <c r="FR91" s="2">
        <v>0</v>
      </c>
      <c r="FS91" s="2">
        <v>0</v>
      </c>
      <c r="FT91" s="2"/>
      <c r="FU91" s="2"/>
      <c r="FV91" s="2"/>
      <c r="FW91" s="2"/>
      <c r="FX91" s="2">
        <v>147</v>
      </c>
      <c r="FY91" s="2">
        <v>134</v>
      </c>
      <c r="FZ91" s="2"/>
      <c r="GA91" s="2" t="s">
        <v>3</v>
      </c>
      <c r="GB91" s="2"/>
      <c r="GC91" s="2"/>
      <c r="GD91" s="2">
        <v>1</v>
      </c>
      <c r="GE91" s="2"/>
      <c r="GF91" s="2">
        <v>2100829410</v>
      </c>
      <c r="GG91" s="2">
        <v>2</v>
      </c>
      <c r="GH91" s="2">
        <v>1</v>
      </c>
      <c r="GI91" s="2">
        <v>-2</v>
      </c>
      <c r="GJ91" s="2">
        <v>0</v>
      </c>
      <c r="GK91" s="2">
        <v>0</v>
      </c>
      <c r="GL91" s="2">
        <f t="shared" si="61"/>
        <v>0</v>
      </c>
      <c r="GM91" s="2">
        <f t="shared" si="62"/>
        <v>864.41</v>
      </c>
      <c r="GN91" s="2">
        <f t="shared" si="63"/>
        <v>864.41</v>
      </c>
      <c r="GO91" s="2">
        <f t="shared" si="64"/>
        <v>0</v>
      </c>
      <c r="GP91" s="2">
        <f t="shared" si="65"/>
        <v>0</v>
      </c>
      <c r="GQ91" s="2"/>
      <c r="GR91" s="2">
        <v>0</v>
      </c>
      <c r="GS91" s="2">
        <v>3</v>
      </c>
      <c r="GT91" s="2">
        <v>0</v>
      </c>
      <c r="GU91" s="2" t="s">
        <v>3</v>
      </c>
      <c r="GV91" s="2">
        <f t="shared" si="66"/>
        <v>0</v>
      </c>
      <c r="GW91" s="2">
        <v>1</v>
      </c>
      <c r="GX91" s="2">
        <f t="shared" si="67"/>
        <v>0</v>
      </c>
      <c r="GY91" s="2"/>
      <c r="GZ91" s="2"/>
      <c r="HA91" s="2">
        <v>0</v>
      </c>
      <c r="HB91" s="2">
        <v>0</v>
      </c>
      <c r="HC91" s="2">
        <f t="shared" si="73"/>
        <v>0</v>
      </c>
      <c r="HD91" s="2"/>
      <c r="HE91" s="2" t="s">
        <v>3</v>
      </c>
      <c r="HF91" s="2" t="s">
        <v>3</v>
      </c>
      <c r="HG91" s="2"/>
      <c r="HH91" s="2"/>
      <c r="HI91" s="2"/>
      <c r="HJ91" s="2"/>
      <c r="HK91" s="2"/>
      <c r="HL91" s="2"/>
      <c r="HM91" s="2" t="s">
        <v>3</v>
      </c>
      <c r="HN91" s="2" t="s">
        <v>223</v>
      </c>
      <c r="HO91" s="2" t="s">
        <v>224</v>
      </c>
      <c r="HP91" s="2" t="s">
        <v>221</v>
      </c>
      <c r="HQ91" s="2" t="s">
        <v>221</v>
      </c>
      <c r="HR91" s="2"/>
      <c r="HS91" s="2">
        <v>0</v>
      </c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>
        <v>0</v>
      </c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 x14ac:dyDescent="0.2">
      <c r="A92" s="2">
        <v>17</v>
      </c>
      <c r="B92" s="2">
        <v>1</v>
      </c>
      <c r="C92" s="2"/>
      <c r="D92" s="2"/>
      <c r="E92" s="2" t="s">
        <v>225</v>
      </c>
      <c r="F92" s="2" t="s">
        <v>226</v>
      </c>
      <c r="G92" s="2" t="s">
        <v>227</v>
      </c>
      <c r="H92" s="2" t="s">
        <v>219</v>
      </c>
      <c r="I92" s="2">
        <f>ROUND(5/100,7)</f>
        <v>0.05</v>
      </c>
      <c r="J92" s="2">
        <v>0</v>
      </c>
      <c r="K92" s="2">
        <f>ROUND(5/100,7)</f>
        <v>0.05</v>
      </c>
      <c r="L92" s="2"/>
      <c r="M92" s="2"/>
      <c r="N92" s="2"/>
      <c r="O92" s="2">
        <f t="shared" si="71"/>
        <v>4811.17</v>
      </c>
      <c r="P92" s="2">
        <f>ROUND(CQ92*I92,2)</f>
        <v>4811.17</v>
      </c>
      <c r="Q92" s="2">
        <f>ROUND(CR92*I92,2)</f>
        <v>0</v>
      </c>
      <c r="R92" s="2">
        <f>ROUND(CS92*I92,2)</f>
        <v>0</v>
      </c>
      <c r="S92" s="2">
        <f>ROUND(CT92*I92,2)</f>
        <v>0</v>
      </c>
      <c r="T92" s="2">
        <f t="shared" si="51"/>
        <v>0</v>
      </c>
      <c r="U92" s="2">
        <f>ROUND(CV92*I92,7)</f>
        <v>0</v>
      </c>
      <c r="V92" s="2">
        <f>ROUND(CW92*I92,7)</f>
        <v>0</v>
      </c>
      <c r="W92" s="2">
        <f t="shared" si="52"/>
        <v>0</v>
      </c>
      <c r="X92" s="2">
        <f t="shared" si="53"/>
        <v>0</v>
      </c>
      <c r="Y92" s="2">
        <f t="shared" si="54"/>
        <v>0</v>
      </c>
      <c r="Z92" s="2"/>
      <c r="AA92" s="2">
        <v>73953415</v>
      </c>
      <c r="AB92" s="2">
        <f t="shared" si="55"/>
        <v>69225.399999999994</v>
      </c>
      <c r="AC92" s="2">
        <f>ROUND((ES92),6)</f>
        <v>69225.399999999994</v>
      </c>
      <c r="AD92" s="2">
        <f>ROUND((((ET92)-(EU92))+AE92),6)</f>
        <v>0</v>
      </c>
      <c r="AE92" s="2">
        <f>ROUND((EU92),6)</f>
        <v>0</v>
      </c>
      <c r="AF92" s="2">
        <f>ROUND((EV92),6)</f>
        <v>0</v>
      </c>
      <c r="AG92" s="2">
        <f t="shared" si="56"/>
        <v>0</v>
      </c>
      <c r="AH92" s="2">
        <f>(EW92)</f>
        <v>0</v>
      </c>
      <c r="AI92" s="2">
        <f>(EX92)</f>
        <v>0</v>
      </c>
      <c r="AJ92" s="2">
        <f t="shared" si="57"/>
        <v>0</v>
      </c>
      <c r="AK92" s="2">
        <v>69225.399999999994</v>
      </c>
      <c r="AL92" s="2">
        <v>69225.399999999994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1.39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3</v>
      </c>
      <c r="BI92" s="2">
        <v>2</v>
      </c>
      <c r="BJ92" s="2" t="s">
        <v>228</v>
      </c>
      <c r="BK92" s="2"/>
      <c r="BL92" s="2"/>
      <c r="BM92" s="2">
        <v>500002</v>
      </c>
      <c r="BN92" s="2">
        <v>0</v>
      </c>
      <c r="BO92" s="2" t="s">
        <v>226</v>
      </c>
      <c r="BP92" s="2">
        <v>1</v>
      </c>
      <c r="BQ92" s="2">
        <v>12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0</v>
      </c>
      <c r="CA92" s="2">
        <v>0</v>
      </c>
      <c r="CB92" s="2" t="s">
        <v>3</v>
      </c>
      <c r="CC92" s="2"/>
      <c r="CD92" s="2"/>
      <c r="CE92" s="2">
        <v>0</v>
      </c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3</v>
      </c>
      <c r="CO92" s="2">
        <v>0</v>
      </c>
      <c r="CP92" s="2">
        <f t="shared" si="72"/>
        <v>4811.17</v>
      </c>
      <c r="CQ92" s="2">
        <f>ROUND(AL92*BC92,2)</f>
        <v>96223.31</v>
      </c>
      <c r="CR92" s="2">
        <f>ROUND(AM92*BB92,2)</f>
        <v>0</v>
      </c>
      <c r="CS92" s="2">
        <f>ROUND(AN92*BS92,2)</f>
        <v>0</v>
      </c>
      <c r="CT92" s="2">
        <f>ROUND(AO92*BA92,2)</f>
        <v>0</v>
      </c>
      <c r="CU92" s="2">
        <f t="shared" si="74"/>
        <v>0</v>
      </c>
      <c r="CV92" s="2">
        <f>AH92</f>
        <v>0</v>
      </c>
      <c r="CW92" s="2">
        <f>AI92</f>
        <v>0</v>
      </c>
      <c r="CX92" s="2">
        <f t="shared" si="75"/>
        <v>0</v>
      </c>
      <c r="CY92" s="2">
        <f>0</f>
        <v>0</v>
      </c>
      <c r="CZ92" s="2">
        <f>0</f>
        <v>0</v>
      </c>
      <c r="DA92" s="2"/>
      <c r="DB92" s="2"/>
      <c r="DC92" s="2" t="s">
        <v>3</v>
      </c>
      <c r="DD92" s="2" t="s">
        <v>3</v>
      </c>
      <c r="DE92" s="2" t="s">
        <v>3</v>
      </c>
      <c r="DF92" s="2" t="s">
        <v>3</v>
      </c>
      <c r="DG92" s="2" t="s">
        <v>3</v>
      </c>
      <c r="DH92" s="2" t="s">
        <v>3</v>
      </c>
      <c r="DI92" s="2" t="s">
        <v>3</v>
      </c>
      <c r="DJ92" s="2" t="s">
        <v>3</v>
      </c>
      <c r="DK92" s="2" t="s">
        <v>3</v>
      </c>
      <c r="DL92" s="2" t="s">
        <v>3</v>
      </c>
      <c r="DM92" s="2" t="s">
        <v>3</v>
      </c>
      <c r="DN92" s="2">
        <v>0</v>
      </c>
      <c r="DO92" s="2">
        <v>0</v>
      </c>
      <c r="DP92" s="2">
        <v>1</v>
      </c>
      <c r="DQ92" s="2">
        <v>1</v>
      </c>
      <c r="DR92" s="2"/>
      <c r="DS92" s="2"/>
      <c r="DT92" s="2"/>
      <c r="DU92" s="2">
        <v>1013</v>
      </c>
      <c r="DV92" s="2" t="s">
        <v>219</v>
      </c>
      <c r="DW92" s="2" t="s">
        <v>219</v>
      </c>
      <c r="DX92" s="2">
        <v>1</v>
      </c>
      <c r="DY92" s="2"/>
      <c r="DZ92" s="2" t="s">
        <v>3</v>
      </c>
      <c r="EA92" s="2" t="s">
        <v>3</v>
      </c>
      <c r="EB92" s="2" t="s">
        <v>3</v>
      </c>
      <c r="EC92" s="2" t="s">
        <v>3</v>
      </c>
      <c r="ED92" s="2"/>
      <c r="EE92" s="2">
        <v>72340531</v>
      </c>
      <c r="EF92" s="2">
        <v>12</v>
      </c>
      <c r="EG92" s="2" t="s">
        <v>213</v>
      </c>
      <c r="EH92" s="2">
        <v>0</v>
      </c>
      <c r="EI92" s="2" t="s">
        <v>3</v>
      </c>
      <c r="EJ92" s="2">
        <v>2</v>
      </c>
      <c r="EK92" s="2">
        <v>500002</v>
      </c>
      <c r="EL92" s="2" t="s">
        <v>214</v>
      </c>
      <c r="EM92" s="2" t="s">
        <v>215</v>
      </c>
      <c r="EN92" s="2"/>
      <c r="EO92" s="2" t="s">
        <v>3</v>
      </c>
      <c r="EP92" s="2"/>
      <c r="EQ92" s="2">
        <v>0</v>
      </c>
      <c r="ER92" s="2">
        <v>69225.399999999994</v>
      </c>
      <c r="ES92" s="2">
        <v>69225.399999999994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v>0</v>
      </c>
      <c r="FS92" s="2">
        <v>0</v>
      </c>
      <c r="FT92" s="2"/>
      <c r="FU92" s="2"/>
      <c r="FV92" s="2"/>
      <c r="FW92" s="2"/>
      <c r="FX92" s="2">
        <v>0</v>
      </c>
      <c r="FY92" s="2">
        <v>0</v>
      </c>
      <c r="FZ92" s="2"/>
      <c r="GA92" s="2" t="s">
        <v>3</v>
      </c>
      <c r="GB92" s="2"/>
      <c r="GC92" s="2"/>
      <c r="GD92" s="2">
        <v>1</v>
      </c>
      <c r="GE92" s="2"/>
      <c r="GF92" s="2">
        <v>1134049418</v>
      </c>
      <c r="GG92" s="2">
        <v>2</v>
      </c>
      <c r="GH92" s="2">
        <v>1</v>
      </c>
      <c r="GI92" s="2">
        <v>2</v>
      </c>
      <c r="GJ92" s="2">
        <v>0</v>
      </c>
      <c r="GK92" s="2">
        <v>0</v>
      </c>
      <c r="GL92" s="2">
        <f t="shared" si="61"/>
        <v>0</v>
      </c>
      <c r="GM92" s="2">
        <f t="shared" si="62"/>
        <v>4811.17</v>
      </c>
      <c r="GN92" s="2">
        <f t="shared" si="63"/>
        <v>0</v>
      </c>
      <c r="GO92" s="2">
        <f t="shared" si="64"/>
        <v>4811.17</v>
      </c>
      <c r="GP92" s="2">
        <f t="shared" si="65"/>
        <v>0</v>
      </c>
      <c r="GQ92" s="2"/>
      <c r="GR92" s="2">
        <v>0</v>
      </c>
      <c r="GS92" s="2">
        <v>3</v>
      </c>
      <c r="GT92" s="2">
        <v>0</v>
      </c>
      <c r="GU92" s="2" t="s">
        <v>3</v>
      </c>
      <c r="GV92" s="2">
        <f t="shared" si="66"/>
        <v>0</v>
      </c>
      <c r="GW92" s="2">
        <v>1</v>
      </c>
      <c r="GX92" s="2">
        <f t="shared" si="67"/>
        <v>0</v>
      </c>
      <c r="GY92" s="2"/>
      <c r="GZ92" s="2"/>
      <c r="HA92" s="2">
        <v>0</v>
      </c>
      <c r="HB92" s="2">
        <v>0</v>
      </c>
      <c r="HC92" s="2">
        <f t="shared" si="73"/>
        <v>0</v>
      </c>
      <c r="HD92" s="2"/>
      <c r="HE92" s="2" t="s">
        <v>3</v>
      </c>
      <c r="HF92" s="2" t="s">
        <v>3</v>
      </c>
      <c r="HG92" s="2"/>
      <c r="HH92" s="2"/>
      <c r="HI92" s="2"/>
      <c r="HJ92" s="2"/>
      <c r="HK92" s="2"/>
      <c r="HL92" s="2"/>
      <c r="HM92" s="2" t="s">
        <v>3</v>
      </c>
      <c r="HN92" s="2" t="s">
        <v>3</v>
      </c>
      <c r="HO92" s="2" t="s">
        <v>3</v>
      </c>
      <c r="HP92" s="2" t="s">
        <v>3</v>
      </c>
      <c r="HQ92" s="2" t="s">
        <v>3</v>
      </c>
      <c r="HR92" s="2"/>
      <c r="HS92" s="2">
        <v>0</v>
      </c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x14ac:dyDescent="0.2">
      <c r="A93" s="2">
        <v>17</v>
      </c>
      <c r="B93" s="2">
        <v>1</v>
      </c>
      <c r="C93" s="2"/>
      <c r="D93" s="2"/>
      <c r="E93" s="2" t="s">
        <v>229</v>
      </c>
      <c r="F93" s="2" t="s">
        <v>230</v>
      </c>
      <c r="G93" s="2" t="s">
        <v>231</v>
      </c>
      <c r="H93" s="2" t="s">
        <v>130</v>
      </c>
      <c r="I93" s="2">
        <v>5</v>
      </c>
      <c r="J93" s="2">
        <v>0</v>
      </c>
      <c r="K93" s="2">
        <v>5</v>
      </c>
      <c r="L93" s="2"/>
      <c r="M93" s="2"/>
      <c r="N93" s="2"/>
      <c r="O93" s="2">
        <f t="shared" si="71"/>
        <v>4957.1000000000004</v>
      </c>
      <c r="P93" s="2">
        <f>ROUND(CQ93*I93,2)</f>
        <v>4957.1000000000004</v>
      </c>
      <c r="Q93" s="2">
        <f>ROUND(CR93*I93,2)</f>
        <v>0</v>
      </c>
      <c r="R93" s="2">
        <f>ROUND(CS93*I93,2)</f>
        <v>0</v>
      </c>
      <c r="S93" s="2">
        <f>ROUND(CT93*I93,2)</f>
        <v>0</v>
      </c>
      <c r="T93" s="2">
        <f t="shared" si="51"/>
        <v>0</v>
      </c>
      <c r="U93" s="2">
        <f>ROUND(CV93*I93,7)</f>
        <v>0</v>
      </c>
      <c r="V93" s="2">
        <f>ROUND(CW93*I93,7)</f>
        <v>0</v>
      </c>
      <c r="W93" s="2">
        <f t="shared" si="52"/>
        <v>0</v>
      </c>
      <c r="X93" s="2">
        <f t="shared" si="53"/>
        <v>0</v>
      </c>
      <c r="Y93" s="2">
        <f t="shared" si="54"/>
        <v>0</v>
      </c>
      <c r="Z93" s="2"/>
      <c r="AA93" s="2">
        <v>73953415</v>
      </c>
      <c r="AB93" s="2">
        <f t="shared" si="55"/>
        <v>713.25</v>
      </c>
      <c r="AC93" s="2">
        <f>ROUND((ES93),6)</f>
        <v>713.25</v>
      </c>
      <c r="AD93" s="2">
        <f>ROUND((((ET93)-(EU93))+AE93),6)</f>
        <v>0</v>
      </c>
      <c r="AE93" s="2">
        <f>ROUND((EU93),6)</f>
        <v>0</v>
      </c>
      <c r="AF93" s="2">
        <f>ROUND((EV93),6)</f>
        <v>0</v>
      </c>
      <c r="AG93" s="2">
        <f t="shared" si="56"/>
        <v>0</v>
      </c>
      <c r="AH93" s="2">
        <f>(EW93)</f>
        <v>0</v>
      </c>
      <c r="AI93" s="2">
        <f>(EX93)</f>
        <v>0</v>
      </c>
      <c r="AJ93" s="2">
        <f t="shared" si="57"/>
        <v>0</v>
      </c>
      <c r="AK93" s="2">
        <v>713.25</v>
      </c>
      <c r="AL93" s="2">
        <v>713.25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1</v>
      </c>
      <c r="AW93" s="2">
        <v>1</v>
      </c>
      <c r="AX93" s="2"/>
      <c r="AY93" s="2"/>
      <c r="AZ93" s="2">
        <v>1</v>
      </c>
      <c r="BA93" s="2">
        <v>1</v>
      </c>
      <c r="BB93" s="2">
        <v>1</v>
      </c>
      <c r="BC93" s="2">
        <v>1.39</v>
      </c>
      <c r="BD93" s="2" t="s">
        <v>3</v>
      </c>
      <c r="BE93" s="2" t="s">
        <v>3</v>
      </c>
      <c r="BF93" s="2" t="s">
        <v>3</v>
      </c>
      <c r="BG93" s="2" t="s">
        <v>3</v>
      </c>
      <c r="BH93" s="2">
        <v>3</v>
      </c>
      <c r="BI93" s="2">
        <v>2</v>
      </c>
      <c r="BJ93" s="2" t="s">
        <v>232</v>
      </c>
      <c r="BK93" s="2"/>
      <c r="BL93" s="2"/>
      <c r="BM93" s="2">
        <v>500002</v>
      </c>
      <c r="BN93" s="2">
        <v>0</v>
      </c>
      <c r="BO93" s="2" t="s">
        <v>230</v>
      </c>
      <c r="BP93" s="2">
        <v>1</v>
      </c>
      <c r="BQ93" s="2">
        <v>12</v>
      </c>
      <c r="BR93" s="2">
        <v>0</v>
      </c>
      <c r="BS93" s="2">
        <v>1</v>
      </c>
      <c r="BT93" s="2">
        <v>1</v>
      </c>
      <c r="BU93" s="2">
        <v>1</v>
      </c>
      <c r="BV93" s="2">
        <v>1</v>
      </c>
      <c r="BW93" s="2">
        <v>1</v>
      </c>
      <c r="BX93" s="2">
        <v>1</v>
      </c>
      <c r="BY93" s="2" t="s">
        <v>3</v>
      </c>
      <c r="BZ93" s="2">
        <v>0</v>
      </c>
      <c r="CA93" s="2">
        <v>0</v>
      </c>
      <c r="CB93" s="2" t="s">
        <v>3</v>
      </c>
      <c r="CC93" s="2"/>
      <c r="CD93" s="2"/>
      <c r="CE93" s="2">
        <v>0</v>
      </c>
      <c r="CF93" s="2">
        <v>0</v>
      </c>
      <c r="CG93" s="2">
        <v>0</v>
      </c>
      <c r="CH93" s="2"/>
      <c r="CI93" s="2"/>
      <c r="CJ93" s="2"/>
      <c r="CK93" s="2"/>
      <c r="CL93" s="2"/>
      <c r="CM93" s="2">
        <v>0</v>
      </c>
      <c r="CN93" s="2" t="s">
        <v>3</v>
      </c>
      <c r="CO93" s="2">
        <v>0</v>
      </c>
      <c r="CP93" s="2">
        <f t="shared" si="72"/>
        <v>4957.1000000000004</v>
      </c>
      <c r="CQ93" s="2">
        <f>ROUND(AL93*BC93,2)</f>
        <v>991.42</v>
      </c>
      <c r="CR93" s="2">
        <f>ROUND(AM93*BB93,2)</f>
        <v>0</v>
      </c>
      <c r="CS93" s="2">
        <f>ROUND(AN93*BS93,2)</f>
        <v>0</v>
      </c>
      <c r="CT93" s="2">
        <f>ROUND(AO93*BA93,2)</f>
        <v>0</v>
      </c>
      <c r="CU93" s="2">
        <f t="shared" si="74"/>
        <v>0</v>
      </c>
      <c r="CV93" s="2">
        <f>AH93</f>
        <v>0</v>
      </c>
      <c r="CW93" s="2">
        <f>AI93</f>
        <v>0</v>
      </c>
      <c r="CX93" s="2">
        <f t="shared" si="75"/>
        <v>0</v>
      </c>
      <c r="CY93" s="2">
        <f>0</f>
        <v>0</v>
      </c>
      <c r="CZ93" s="2">
        <f>0</f>
        <v>0</v>
      </c>
      <c r="DA93" s="2"/>
      <c r="DB93" s="2"/>
      <c r="DC93" s="2" t="s">
        <v>3</v>
      </c>
      <c r="DD93" s="2" t="s">
        <v>3</v>
      </c>
      <c r="DE93" s="2" t="s">
        <v>3</v>
      </c>
      <c r="DF93" s="2" t="s">
        <v>3</v>
      </c>
      <c r="DG93" s="2" t="s">
        <v>3</v>
      </c>
      <c r="DH93" s="2" t="s">
        <v>3</v>
      </c>
      <c r="DI93" s="2" t="s">
        <v>3</v>
      </c>
      <c r="DJ93" s="2" t="s">
        <v>3</v>
      </c>
      <c r="DK93" s="2" t="s">
        <v>3</v>
      </c>
      <c r="DL93" s="2" t="s">
        <v>3</v>
      </c>
      <c r="DM93" s="2" t="s">
        <v>3</v>
      </c>
      <c r="DN93" s="2">
        <v>0</v>
      </c>
      <c r="DO93" s="2">
        <v>0</v>
      </c>
      <c r="DP93" s="2">
        <v>1</v>
      </c>
      <c r="DQ93" s="2">
        <v>1</v>
      </c>
      <c r="DR93" s="2"/>
      <c r="DS93" s="2"/>
      <c r="DT93" s="2"/>
      <c r="DU93" s="2">
        <v>1013</v>
      </c>
      <c r="DV93" s="2" t="s">
        <v>130</v>
      </c>
      <c r="DW93" s="2" t="s">
        <v>130</v>
      </c>
      <c r="DX93" s="2">
        <v>1</v>
      </c>
      <c r="DY93" s="2"/>
      <c r="DZ93" s="2" t="s">
        <v>3</v>
      </c>
      <c r="EA93" s="2" t="s">
        <v>3</v>
      </c>
      <c r="EB93" s="2" t="s">
        <v>3</v>
      </c>
      <c r="EC93" s="2" t="s">
        <v>3</v>
      </c>
      <c r="ED93" s="2"/>
      <c r="EE93" s="2">
        <v>72340531</v>
      </c>
      <c r="EF93" s="2">
        <v>12</v>
      </c>
      <c r="EG93" s="2" t="s">
        <v>213</v>
      </c>
      <c r="EH93" s="2">
        <v>0</v>
      </c>
      <c r="EI93" s="2" t="s">
        <v>3</v>
      </c>
      <c r="EJ93" s="2">
        <v>2</v>
      </c>
      <c r="EK93" s="2">
        <v>500002</v>
      </c>
      <c r="EL93" s="2" t="s">
        <v>214</v>
      </c>
      <c r="EM93" s="2" t="s">
        <v>215</v>
      </c>
      <c r="EN93" s="2"/>
      <c r="EO93" s="2" t="s">
        <v>3</v>
      </c>
      <c r="EP93" s="2"/>
      <c r="EQ93" s="2">
        <v>0</v>
      </c>
      <c r="ER93" s="2">
        <v>713.25</v>
      </c>
      <c r="ES93" s="2">
        <v>713.25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>
        <v>0</v>
      </c>
      <c r="FR93" s="2">
        <v>0</v>
      </c>
      <c r="FS93" s="2">
        <v>0</v>
      </c>
      <c r="FT93" s="2"/>
      <c r="FU93" s="2"/>
      <c r="FV93" s="2"/>
      <c r="FW93" s="2"/>
      <c r="FX93" s="2">
        <v>0</v>
      </c>
      <c r="FY93" s="2">
        <v>0</v>
      </c>
      <c r="FZ93" s="2"/>
      <c r="GA93" s="2" t="s">
        <v>3</v>
      </c>
      <c r="GB93" s="2"/>
      <c r="GC93" s="2"/>
      <c r="GD93" s="2">
        <v>1</v>
      </c>
      <c r="GE93" s="2"/>
      <c r="GF93" s="2">
        <v>-10111022</v>
      </c>
      <c r="GG93" s="2">
        <v>2</v>
      </c>
      <c r="GH93" s="2">
        <v>1</v>
      </c>
      <c r="GI93" s="2">
        <v>2</v>
      </c>
      <c r="GJ93" s="2">
        <v>0</v>
      </c>
      <c r="GK93" s="2">
        <v>0</v>
      </c>
      <c r="GL93" s="2">
        <f t="shared" si="61"/>
        <v>0</v>
      </c>
      <c r="GM93" s="2">
        <f t="shared" si="62"/>
        <v>4957.1000000000004</v>
      </c>
      <c r="GN93" s="2">
        <f t="shared" si="63"/>
        <v>0</v>
      </c>
      <c r="GO93" s="2">
        <f t="shared" si="64"/>
        <v>4957.1000000000004</v>
      </c>
      <c r="GP93" s="2">
        <f t="shared" si="65"/>
        <v>0</v>
      </c>
      <c r="GQ93" s="2"/>
      <c r="GR93" s="2">
        <v>0</v>
      </c>
      <c r="GS93" s="2">
        <v>3</v>
      </c>
      <c r="GT93" s="2">
        <v>0</v>
      </c>
      <c r="GU93" s="2" t="s">
        <v>3</v>
      </c>
      <c r="GV93" s="2">
        <f t="shared" si="66"/>
        <v>0</v>
      </c>
      <c r="GW93" s="2">
        <v>1</v>
      </c>
      <c r="GX93" s="2">
        <f t="shared" si="67"/>
        <v>0</v>
      </c>
      <c r="GY93" s="2"/>
      <c r="GZ93" s="2"/>
      <c r="HA93" s="2">
        <v>0</v>
      </c>
      <c r="HB93" s="2">
        <v>0</v>
      </c>
      <c r="HC93" s="2">
        <f t="shared" si="73"/>
        <v>0</v>
      </c>
      <c r="HD93" s="2"/>
      <c r="HE93" s="2" t="s">
        <v>3</v>
      </c>
      <c r="HF93" s="2" t="s">
        <v>3</v>
      </c>
      <c r="HG93" s="2"/>
      <c r="HH93" s="2"/>
      <c r="HI93" s="2"/>
      <c r="HJ93" s="2"/>
      <c r="HK93" s="2"/>
      <c r="HL93" s="2"/>
      <c r="HM93" s="2" t="s">
        <v>3</v>
      </c>
      <c r="HN93" s="2" t="s">
        <v>3</v>
      </c>
      <c r="HO93" s="2" t="s">
        <v>3</v>
      </c>
      <c r="HP93" s="2" t="s">
        <v>3</v>
      </c>
      <c r="HQ93" s="2" t="s">
        <v>3</v>
      </c>
      <c r="HR93" s="2"/>
      <c r="HS93" s="2">
        <v>0</v>
      </c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>
        <v>0</v>
      </c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 x14ac:dyDescent="0.2">
      <c r="A94" s="2">
        <v>17</v>
      </c>
      <c r="B94" s="2">
        <v>1</v>
      </c>
      <c r="C94" s="2">
        <f>ROW(SmtRes!A114)</f>
        <v>114</v>
      </c>
      <c r="D94" s="2">
        <f>ROW(EtalonRes!A125)</f>
        <v>125</v>
      </c>
      <c r="E94" s="2" t="s">
        <v>233</v>
      </c>
      <c r="F94" s="2" t="s">
        <v>234</v>
      </c>
      <c r="G94" s="2" t="s">
        <v>235</v>
      </c>
      <c r="H94" s="2" t="s">
        <v>31</v>
      </c>
      <c r="I94" s="2">
        <f>ROUND(0.052/100,7)</f>
        <v>5.1999999999999995E-4</v>
      </c>
      <c r="J94" s="2">
        <v>0</v>
      </c>
      <c r="K94" s="2">
        <f>ROUND(0.052/100,7)</f>
        <v>5.1999999999999995E-4</v>
      </c>
      <c r="L94" s="2"/>
      <c r="M94" s="2"/>
      <c r="N94" s="2"/>
      <c r="O94" s="2">
        <f t="shared" si="71"/>
        <v>39.17</v>
      </c>
      <c r="P94" s="2">
        <f>SUMIF(SmtRes!AQ107:'SmtRes'!AQ114,"=1",SmtRes!DF107:'SmtRes'!DF114)</f>
        <v>1.85</v>
      </c>
      <c r="Q94" s="2">
        <f>SUMIF(SmtRes!AQ107:'SmtRes'!AQ114,"=1",SmtRes!DG107:'SmtRes'!DG114)</f>
        <v>9.41</v>
      </c>
      <c r="R94" s="2">
        <f>SUMIF(SmtRes!AQ107:'SmtRes'!AQ114,"=1",SmtRes!DH107:'SmtRes'!DH114)</f>
        <v>5.05</v>
      </c>
      <c r="S94" s="2">
        <f>SUMIF(SmtRes!AQ107:'SmtRes'!AQ114,"=1",SmtRes!DI107:'SmtRes'!DI114)</f>
        <v>22.86</v>
      </c>
      <c r="T94" s="2">
        <f t="shared" si="51"/>
        <v>0</v>
      </c>
      <c r="U94" s="2">
        <f>SUMIF(SmtRes!AQ107:'SmtRes'!AQ114,"=1",SmtRes!CV107:'SmtRes'!CV114)</f>
        <v>7.0199999999999999E-2</v>
      </c>
      <c r="V94" s="2">
        <f>SUMIF(SmtRes!AQ107:'SmtRes'!AQ114,"=1",SmtRes!CW107:'SmtRes'!CW114)</f>
        <v>9.4224000000000009E-3</v>
      </c>
      <c r="W94" s="2">
        <f t="shared" si="52"/>
        <v>0</v>
      </c>
      <c r="X94" s="2">
        <f t="shared" si="53"/>
        <v>28.47</v>
      </c>
      <c r="Y94" s="2">
        <f t="shared" si="54"/>
        <v>16.190000000000001</v>
      </c>
      <c r="Z94" s="2"/>
      <c r="AA94" s="2">
        <v>73953415</v>
      </c>
      <c r="AB94" s="2">
        <f t="shared" si="55"/>
        <v>58558.458700000003</v>
      </c>
      <c r="AC94" s="2">
        <f>ROUND((SUM(SmtRes!BQ107:'SmtRes'!BQ114)),6)</f>
        <v>3269.9924999999998</v>
      </c>
      <c r="AD94" s="2">
        <f>ROUND((((SUM(SmtRes!BR107:'SmtRes'!BR114))-(SUM(SmtRes!BS107:'SmtRes'!BS114)))+AE94),6)</f>
        <v>11336.5162</v>
      </c>
      <c r="AE94" s="2">
        <f>ROUND((SUM(SmtRes!BS107:'SmtRes'!BS114)),6)</f>
        <v>9725.5488000000005</v>
      </c>
      <c r="AF94" s="2">
        <f>ROUND((SUM(SmtRes!BT107:'SmtRes'!BT114)),6)</f>
        <v>43951.95</v>
      </c>
      <c r="AG94" s="2">
        <f t="shared" si="56"/>
        <v>0</v>
      </c>
      <c r="AH94" s="2">
        <f>(SUM(SmtRes!BU107:'SmtRes'!BU114))</f>
        <v>135</v>
      </c>
      <c r="AI94" s="2">
        <f>(SUM(SmtRes!BV107:'SmtRes'!BV114))</f>
        <v>18.12</v>
      </c>
      <c r="AJ94" s="2">
        <f t="shared" si="57"/>
        <v>0</v>
      </c>
      <c r="AK94" s="2">
        <v>68284.007499999992</v>
      </c>
      <c r="AL94" s="2">
        <v>3269.9924999999998</v>
      </c>
      <c r="AM94" s="2">
        <v>11336.5162</v>
      </c>
      <c r="AN94" s="2">
        <v>9725.5488000000005</v>
      </c>
      <c r="AO94" s="2">
        <v>43951.95</v>
      </c>
      <c r="AP94" s="2">
        <v>0</v>
      </c>
      <c r="AQ94" s="2">
        <v>135</v>
      </c>
      <c r="AR94" s="2">
        <v>18.12</v>
      </c>
      <c r="AS94" s="2">
        <v>0</v>
      </c>
      <c r="AT94" s="2">
        <v>102</v>
      </c>
      <c r="AU94" s="2">
        <v>58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0</v>
      </c>
      <c r="BI94" s="2">
        <v>1</v>
      </c>
      <c r="BJ94" s="2" t="s">
        <v>236</v>
      </c>
      <c r="BK94" s="2"/>
      <c r="BL94" s="2"/>
      <c r="BM94" s="2">
        <v>6001</v>
      </c>
      <c r="BN94" s="2">
        <v>0</v>
      </c>
      <c r="BO94" s="2" t="s">
        <v>3</v>
      </c>
      <c r="BP94" s="2">
        <v>0</v>
      </c>
      <c r="BQ94" s="2">
        <v>2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102</v>
      </c>
      <c r="CA94" s="2">
        <v>58</v>
      </c>
      <c r="CB94" s="2" t="s">
        <v>3</v>
      </c>
      <c r="CC94" s="2"/>
      <c r="CD94" s="2"/>
      <c r="CE94" s="2">
        <v>0</v>
      </c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3</v>
      </c>
      <c r="CO94" s="2">
        <v>0</v>
      </c>
      <c r="CP94" s="2">
        <f t="shared" si="72"/>
        <v>39.169999999999995</v>
      </c>
      <c r="CQ94" s="2">
        <f>SUMIF(SmtRes!AQ107:'SmtRes'!AQ114,"=1",SmtRes!AA107:'SmtRes'!AA114)</f>
        <v>45.400000000000006</v>
      </c>
      <c r="CR94" s="2">
        <f>SUMIF(SmtRes!AQ107:'SmtRes'!AQ114,"=1",SmtRes!AB107:'SmtRes'!AB114)</f>
        <v>1668.45</v>
      </c>
      <c r="CS94" s="2">
        <f>SUMIF(SmtRes!AQ107:'SmtRes'!AQ114,"=1",SmtRes!AC107:'SmtRes'!AC114)</f>
        <v>937.88</v>
      </c>
      <c r="CT94" s="2">
        <f>SUMIF(SmtRes!AQ107:'SmtRes'!AQ114,"=1",SmtRes!AD107:'SmtRes'!AD114)</f>
        <v>325.57</v>
      </c>
      <c r="CU94" s="2">
        <f t="shared" si="74"/>
        <v>0</v>
      </c>
      <c r="CV94" s="2">
        <f>SUMIF(SmtRes!AQ107:'SmtRes'!AQ114,"=1",SmtRes!BU107:'SmtRes'!BU114)</f>
        <v>135</v>
      </c>
      <c r="CW94" s="2">
        <f>SUMIF(SmtRes!AQ107:'SmtRes'!AQ114,"=1",SmtRes!BV107:'SmtRes'!BV114)</f>
        <v>18.12</v>
      </c>
      <c r="CX94" s="2">
        <f t="shared" si="75"/>
        <v>0</v>
      </c>
      <c r="CY94" s="2">
        <f t="shared" ref="CY94:CY100" si="76">(((S94+R94)*AT94)/100)</f>
        <v>28.468200000000003</v>
      </c>
      <c r="CZ94" s="2">
        <f t="shared" ref="CZ94:CZ100" si="77">(((S94+R94)*AU94)/100)</f>
        <v>16.187799999999999</v>
      </c>
      <c r="DA94" s="2"/>
      <c r="DB94" s="2"/>
      <c r="DC94" s="2" t="s">
        <v>3</v>
      </c>
      <c r="DD94" s="2" t="s">
        <v>3</v>
      </c>
      <c r="DE94" s="2" t="s">
        <v>3</v>
      </c>
      <c r="DF94" s="2" t="s">
        <v>3</v>
      </c>
      <c r="DG94" s="2" t="s">
        <v>3</v>
      </c>
      <c r="DH94" s="2" t="s">
        <v>3</v>
      </c>
      <c r="DI94" s="2" t="s">
        <v>3</v>
      </c>
      <c r="DJ94" s="2" t="s">
        <v>3</v>
      </c>
      <c r="DK94" s="2" t="s">
        <v>3</v>
      </c>
      <c r="DL94" s="2" t="s">
        <v>3</v>
      </c>
      <c r="DM94" s="2" t="s">
        <v>3</v>
      </c>
      <c r="DN94" s="2">
        <v>0</v>
      </c>
      <c r="DO94" s="2">
        <v>0</v>
      </c>
      <c r="DP94" s="2">
        <v>1</v>
      </c>
      <c r="DQ94" s="2">
        <v>1</v>
      </c>
      <c r="DR94" s="2"/>
      <c r="DS94" s="2"/>
      <c r="DT94" s="2"/>
      <c r="DU94" s="2">
        <v>1007</v>
      </c>
      <c r="DV94" s="2" t="s">
        <v>31</v>
      </c>
      <c r="DW94" s="2" t="s">
        <v>31</v>
      </c>
      <c r="DX94" s="2">
        <v>100</v>
      </c>
      <c r="DY94" s="2"/>
      <c r="DZ94" s="2" t="s">
        <v>3</v>
      </c>
      <c r="EA94" s="2" t="s">
        <v>3</v>
      </c>
      <c r="EB94" s="2" t="s">
        <v>3</v>
      </c>
      <c r="EC94" s="2" t="s">
        <v>3</v>
      </c>
      <c r="ED94" s="2"/>
      <c r="EE94" s="2">
        <v>72340584</v>
      </c>
      <c r="EF94" s="2">
        <v>2</v>
      </c>
      <c r="EG94" s="2" t="s">
        <v>23</v>
      </c>
      <c r="EH94" s="2">
        <v>6</v>
      </c>
      <c r="EI94" s="2" t="s">
        <v>237</v>
      </c>
      <c r="EJ94" s="2">
        <v>1</v>
      </c>
      <c r="EK94" s="2">
        <v>6001</v>
      </c>
      <c r="EL94" s="2" t="s">
        <v>237</v>
      </c>
      <c r="EM94" s="2" t="s">
        <v>238</v>
      </c>
      <c r="EN94" s="2"/>
      <c r="EO94" s="2" t="s">
        <v>3</v>
      </c>
      <c r="EP94" s="2"/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135</v>
      </c>
      <c r="EX94" s="2">
        <v>18.12</v>
      </c>
      <c r="EY94" s="2">
        <v>0</v>
      </c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v>0</v>
      </c>
      <c r="FS94" s="2">
        <v>0</v>
      </c>
      <c r="FT94" s="2"/>
      <c r="FU94" s="2"/>
      <c r="FV94" s="2"/>
      <c r="FW94" s="2"/>
      <c r="FX94" s="2">
        <v>102</v>
      </c>
      <c r="FY94" s="2">
        <v>58</v>
      </c>
      <c r="FZ94" s="2"/>
      <c r="GA94" s="2" t="s">
        <v>3</v>
      </c>
      <c r="GB94" s="2"/>
      <c r="GC94" s="2"/>
      <c r="GD94" s="2">
        <v>1</v>
      </c>
      <c r="GE94" s="2"/>
      <c r="GF94" s="2">
        <v>-1561135117</v>
      </c>
      <c r="GG94" s="2">
        <v>2</v>
      </c>
      <c r="GH94" s="2">
        <v>1</v>
      </c>
      <c r="GI94" s="2">
        <v>-2</v>
      </c>
      <c r="GJ94" s="2">
        <v>0</v>
      </c>
      <c r="GK94" s="2">
        <v>0</v>
      </c>
      <c r="GL94" s="2">
        <f t="shared" si="61"/>
        <v>0</v>
      </c>
      <c r="GM94" s="2">
        <f t="shared" si="62"/>
        <v>83.83</v>
      </c>
      <c r="GN94" s="2">
        <f t="shared" si="63"/>
        <v>83.83</v>
      </c>
      <c r="GO94" s="2">
        <f t="shared" si="64"/>
        <v>0</v>
      </c>
      <c r="GP94" s="2">
        <f t="shared" si="65"/>
        <v>0</v>
      </c>
      <c r="GQ94" s="2"/>
      <c r="GR94" s="2">
        <v>0</v>
      </c>
      <c r="GS94" s="2">
        <v>3</v>
      </c>
      <c r="GT94" s="2">
        <v>0</v>
      </c>
      <c r="GU94" s="2" t="s">
        <v>3</v>
      </c>
      <c r="GV94" s="2">
        <f t="shared" si="66"/>
        <v>0</v>
      </c>
      <c r="GW94" s="2">
        <v>1</v>
      </c>
      <c r="GX94" s="2">
        <f t="shared" si="67"/>
        <v>0</v>
      </c>
      <c r="GY94" s="2"/>
      <c r="GZ94" s="2"/>
      <c r="HA94" s="2">
        <v>0</v>
      </c>
      <c r="HB94" s="2">
        <v>0</v>
      </c>
      <c r="HC94" s="2">
        <f t="shared" si="73"/>
        <v>0</v>
      </c>
      <c r="HD94" s="2"/>
      <c r="HE94" s="2" t="s">
        <v>3</v>
      </c>
      <c r="HF94" s="2" t="s">
        <v>3</v>
      </c>
      <c r="HG94" s="2"/>
      <c r="HH94" s="2"/>
      <c r="HI94" s="2"/>
      <c r="HJ94" s="2"/>
      <c r="HK94" s="2"/>
      <c r="HL94" s="2"/>
      <c r="HM94" s="2" t="s">
        <v>3</v>
      </c>
      <c r="HN94" s="2" t="s">
        <v>239</v>
      </c>
      <c r="HO94" s="2" t="s">
        <v>240</v>
      </c>
      <c r="HP94" s="2" t="s">
        <v>237</v>
      </c>
      <c r="HQ94" s="2" t="s">
        <v>237</v>
      </c>
      <c r="HR94" s="2"/>
      <c r="HS94" s="2">
        <v>0</v>
      </c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x14ac:dyDescent="0.2">
      <c r="A95" s="2">
        <v>18</v>
      </c>
      <c r="B95" s="2">
        <v>1</v>
      </c>
      <c r="C95" s="2">
        <v>114</v>
      </c>
      <c r="D95" s="2"/>
      <c r="E95" s="2" t="s">
        <v>241</v>
      </c>
      <c r="F95" s="2" t="s">
        <v>242</v>
      </c>
      <c r="G95" s="2" t="s">
        <v>243</v>
      </c>
      <c r="H95" s="2" t="s">
        <v>48</v>
      </c>
      <c r="I95" s="2">
        <f>I94*J95</f>
        <v>5.3039999999999997E-2</v>
      </c>
      <c r="J95" s="2">
        <v>102</v>
      </c>
      <c r="K95" s="2">
        <v>102</v>
      </c>
      <c r="L95" s="2"/>
      <c r="M95" s="2"/>
      <c r="N95" s="2"/>
      <c r="O95" s="2">
        <f t="shared" si="71"/>
        <v>311.06</v>
      </c>
      <c r="P95" s="2">
        <f>ROUND(CQ95*I95,2)</f>
        <v>311.06</v>
      </c>
      <c r="Q95" s="2">
        <f>ROUND(CR95*I95,2)</f>
        <v>0</v>
      </c>
      <c r="R95" s="2">
        <f>ROUND(CS95*I95,2)</f>
        <v>0</v>
      </c>
      <c r="S95" s="2">
        <f>ROUND(CT95*I95,2)</f>
        <v>0</v>
      </c>
      <c r="T95" s="2">
        <f t="shared" si="51"/>
        <v>0</v>
      </c>
      <c r="U95" s="2">
        <f>ROUND(CV95*I95,7)</f>
        <v>0</v>
      </c>
      <c r="V95" s="2">
        <f>ROUND(CW95*I95,7)</f>
        <v>0</v>
      </c>
      <c r="W95" s="2">
        <f t="shared" si="52"/>
        <v>0</v>
      </c>
      <c r="X95" s="2">
        <f t="shared" si="53"/>
        <v>0</v>
      </c>
      <c r="Y95" s="2">
        <f t="shared" si="54"/>
        <v>0</v>
      </c>
      <c r="Z95" s="2"/>
      <c r="AA95" s="2">
        <v>73953415</v>
      </c>
      <c r="AB95" s="2">
        <f t="shared" si="55"/>
        <v>4044.61</v>
      </c>
      <c r="AC95" s="2">
        <f>ROUND((ES95),6)</f>
        <v>4044.61</v>
      </c>
      <c r="AD95" s="2">
        <f>ROUND((((ET95)-(EU95))+AE95),6)</f>
        <v>0</v>
      </c>
      <c r="AE95" s="2">
        <f>ROUND((EU95),6)</f>
        <v>0</v>
      </c>
      <c r="AF95" s="2">
        <f>ROUND((EV95),6)</f>
        <v>0</v>
      </c>
      <c r="AG95" s="2">
        <f t="shared" si="56"/>
        <v>0</v>
      </c>
      <c r="AH95" s="2">
        <f>(EW95)</f>
        <v>0</v>
      </c>
      <c r="AI95" s="2">
        <f>(EX95)</f>
        <v>0</v>
      </c>
      <c r="AJ95" s="2">
        <f t="shared" si="57"/>
        <v>0</v>
      </c>
      <c r="AK95" s="2">
        <v>4044.61</v>
      </c>
      <c r="AL95" s="2">
        <v>4044.61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102</v>
      </c>
      <c r="AU95" s="2">
        <v>58</v>
      </c>
      <c r="AV95" s="2">
        <v>1</v>
      </c>
      <c r="AW95" s="2">
        <v>1</v>
      </c>
      <c r="AX95" s="2"/>
      <c r="AY95" s="2"/>
      <c r="AZ95" s="2">
        <v>1</v>
      </c>
      <c r="BA95" s="2">
        <v>1</v>
      </c>
      <c r="BB95" s="2">
        <v>1</v>
      </c>
      <c r="BC95" s="2">
        <v>1.45</v>
      </c>
      <c r="BD95" s="2" t="s">
        <v>3</v>
      </c>
      <c r="BE95" s="2" t="s">
        <v>3</v>
      </c>
      <c r="BF95" s="2" t="s">
        <v>3</v>
      </c>
      <c r="BG95" s="2" t="s">
        <v>3</v>
      </c>
      <c r="BH95" s="2">
        <v>3</v>
      </c>
      <c r="BI95" s="2">
        <v>1</v>
      </c>
      <c r="BJ95" s="2" t="s">
        <v>244</v>
      </c>
      <c r="BK95" s="2"/>
      <c r="BL95" s="2"/>
      <c r="BM95" s="2">
        <v>6001</v>
      </c>
      <c r="BN95" s="2">
        <v>0</v>
      </c>
      <c r="BO95" s="2" t="s">
        <v>242</v>
      </c>
      <c r="BP95" s="2">
        <v>1</v>
      </c>
      <c r="BQ95" s="2">
        <v>2</v>
      </c>
      <c r="BR95" s="2">
        <v>0</v>
      </c>
      <c r="BS95" s="2">
        <v>1</v>
      </c>
      <c r="BT95" s="2">
        <v>1</v>
      </c>
      <c r="BU95" s="2">
        <v>1</v>
      </c>
      <c r="BV95" s="2">
        <v>1</v>
      </c>
      <c r="BW95" s="2">
        <v>1</v>
      </c>
      <c r="BX95" s="2">
        <v>1</v>
      </c>
      <c r="BY95" s="2" t="s">
        <v>3</v>
      </c>
      <c r="BZ95" s="2">
        <v>102</v>
      </c>
      <c r="CA95" s="2">
        <v>58</v>
      </c>
      <c r="CB95" s="2" t="s">
        <v>3</v>
      </c>
      <c r="CC95" s="2"/>
      <c r="CD95" s="2"/>
      <c r="CE95" s="2">
        <v>0</v>
      </c>
      <c r="CF95" s="2">
        <v>0</v>
      </c>
      <c r="CG95" s="2">
        <v>0</v>
      </c>
      <c r="CH95" s="2"/>
      <c r="CI95" s="2"/>
      <c r="CJ95" s="2"/>
      <c r="CK95" s="2"/>
      <c r="CL95" s="2"/>
      <c r="CM95" s="2">
        <v>0</v>
      </c>
      <c r="CN95" s="2" t="s">
        <v>3</v>
      </c>
      <c r="CO95" s="2">
        <v>0</v>
      </c>
      <c r="CP95" s="2">
        <f t="shared" si="72"/>
        <v>311.06</v>
      </c>
      <c r="CQ95" s="2">
        <f>ROUND(AL95*BC95,2)</f>
        <v>5864.68</v>
      </c>
      <c r="CR95" s="2">
        <f>ROUND(AM95*BB95,2)</f>
        <v>0</v>
      </c>
      <c r="CS95" s="2">
        <f>ROUND(AN95*BS95,2)</f>
        <v>0</v>
      </c>
      <c r="CT95" s="2">
        <f>ROUND(AO95*BA95,2)</f>
        <v>0</v>
      </c>
      <c r="CU95" s="2">
        <f t="shared" si="74"/>
        <v>0</v>
      </c>
      <c r="CV95" s="2">
        <f>AH95</f>
        <v>0</v>
      </c>
      <c r="CW95" s="2">
        <f>AI95</f>
        <v>0</v>
      </c>
      <c r="CX95" s="2">
        <f t="shared" si="75"/>
        <v>0</v>
      </c>
      <c r="CY95" s="2">
        <f t="shared" si="76"/>
        <v>0</v>
      </c>
      <c r="CZ95" s="2">
        <f t="shared" si="77"/>
        <v>0</v>
      </c>
      <c r="DA95" s="2"/>
      <c r="DB95" s="2"/>
      <c r="DC95" s="2" t="s">
        <v>3</v>
      </c>
      <c r="DD95" s="2" t="s">
        <v>3</v>
      </c>
      <c r="DE95" s="2" t="s">
        <v>3</v>
      </c>
      <c r="DF95" s="2" t="s">
        <v>3</v>
      </c>
      <c r="DG95" s="2" t="s">
        <v>3</v>
      </c>
      <c r="DH95" s="2" t="s">
        <v>3</v>
      </c>
      <c r="DI95" s="2" t="s">
        <v>3</v>
      </c>
      <c r="DJ95" s="2" t="s">
        <v>3</v>
      </c>
      <c r="DK95" s="2" t="s">
        <v>3</v>
      </c>
      <c r="DL95" s="2" t="s">
        <v>3</v>
      </c>
      <c r="DM95" s="2" t="s">
        <v>3</v>
      </c>
      <c r="DN95" s="2">
        <v>0</v>
      </c>
      <c r="DO95" s="2">
        <v>0</v>
      </c>
      <c r="DP95" s="2">
        <v>1</v>
      </c>
      <c r="DQ95" s="2">
        <v>1</v>
      </c>
      <c r="DR95" s="2"/>
      <c r="DS95" s="2"/>
      <c r="DT95" s="2"/>
      <c r="DU95" s="2">
        <v>1007</v>
      </c>
      <c r="DV95" s="2" t="s">
        <v>48</v>
      </c>
      <c r="DW95" s="2" t="s">
        <v>48</v>
      </c>
      <c r="DX95" s="2">
        <v>1</v>
      </c>
      <c r="DY95" s="2"/>
      <c r="DZ95" s="2" t="s">
        <v>3</v>
      </c>
      <c r="EA95" s="2" t="s">
        <v>3</v>
      </c>
      <c r="EB95" s="2" t="s">
        <v>3</v>
      </c>
      <c r="EC95" s="2" t="s">
        <v>3</v>
      </c>
      <c r="ED95" s="2"/>
      <c r="EE95" s="2">
        <v>72340584</v>
      </c>
      <c r="EF95" s="2">
        <v>2</v>
      </c>
      <c r="EG95" s="2" t="s">
        <v>23</v>
      </c>
      <c r="EH95" s="2">
        <v>6</v>
      </c>
      <c r="EI95" s="2" t="s">
        <v>237</v>
      </c>
      <c r="EJ95" s="2">
        <v>1</v>
      </c>
      <c r="EK95" s="2">
        <v>6001</v>
      </c>
      <c r="EL95" s="2" t="s">
        <v>237</v>
      </c>
      <c r="EM95" s="2" t="s">
        <v>238</v>
      </c>
      <c r="EN95" s="2"/>
      <c r="EO95" s="2" t="s">
        <v>3</v>
      </c>
      <c r="EP95" s="2"/>
      <c r="EQ95" s="2">
        <v>0</v>
      </c>
      <c r="ER95" s="2">
        <v>4044.61</v>
      </c>
      <c r="ES95" s="2">
        <v>4044.61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>
        <v>0</v>
      </c>
      <c r="FR95" s="2">
        <v>0</v>
      </c>
      <c r="FS95" s="2">
        <v>0</v>
      </c>
      <c r="FT95" s="2"/>
      <c r="FU95" s="2"/>
      <c r="FV95" s="2"/>
      <c r="FW95" s="2"/>
      <c r="FX95" s="2">
        <v>102</v>
      </c>
      <c r="FY95" s="2">
        <v>58</v>
      </c>
      <c r="FZ95" s="2"/>
      <c r="GA95" s="2" t="s">
        <v>3</v>
      </c>
      <c r="GB95" s="2"/>
      <c r="GC95" s="2"/>
      <c r="GD95" s="2">
        <v>1</v>
      </c>
      <c r="GE95" s="2"/>
      <c r="GF95" s="2">
        <v>-993322229</v>
      </c>
      <c r="GG95" s="2">
        <v>2</v>
      </c>
      <c r="GH95" s="2">
        <v>1</v>
      </c>
      <c r="GI95" s="2">
        <v>2</v>
      </c>
      <c r="GJ95" s="2">
        <v>0</v>
      </c>
      <c r="GK95" s="2">
        <v>0</v>
      </c>
      <c r="GL95" s="2">
        <f t="shared" si="61"/>
        <v>0</v>
      </c>
      <c r="GM95" s="2">
        <f t="shared" si="62"/>
        <v>311.06</v>
      </c>
      <c r="GN95" s="2">
        <f t="shared" si="63"/>
        <v>311.06</v>
      </c>
      <c r="GO95" s="2">
        <f t="shared" si="64"/>
        <v>0</v>
      </c>
      <c r="GP95" s="2">
        <f t="shared" si="65"/>
        <v>0</v>
      </c>
      <c r="GQ95" s="2"/>
      <c r="GR95" s="2">
        <v>0</v>
      </c>
      <c r="GS95" s="2">
        <v>3</v>
      </c>
      <c r="GT95" s="2">
        <v>0</v>
      </c>
      <c r="GU95" s="2" t="s">
        <v>3</v>
      </c>
      <c r="GV95" s="2">
        <f t="shared" si="66"/>
        <v>0</v>
      </c>
      <c r="GW95" s="2">
        <v>1</v>
      </c>
      <c r="GX95" s="2">
        <f t="shared" si="67"/>
        <v>0</v>
      </c>
      <c r="GY95" s="2"/>
      <c r="GZ95" s="2"/>
      <c r="HA95" s="2">
        <v>0</v>
      </c>
      <c r="HB95" s="2">
        <v>0</v>
      </c>
      <c r="HC95" s="2">
        <f t="shared" si="73"/>
        <v>0</v>
      </c>
      <c r="HD95" s="2"/>
      <c r="HE95" s="2" t="s">
        <v>3</v>
      </c>
      <c r="HF95" s="2" t="s">
        <v>3</v>
      </c>
      <c r="HG95" s="2"/>
      <c r="HH95" s="2"/>
      <c r="HI95" s="2"/>
      <c r="HJ95" s="2"/>
      <c r="HK95" s="2"/>
      <c r="HL95" s="2"/>
      <c r="HM95" s="2" t="s">
        <v>3</v>
      </c>
      <c r="HN95" s="2" t="s">
        <v>239</v>
      </c>
      <c r="HO95" s="2" t="s">
        <v>240</v>
      </c>
      <c r="HP95" s="2" t="s">
        <v>237</v>
      </c>
      <c r="HQ95" s="2" t="s">
        <v>237</v>
      </c>
      <c r="HR95" s="2"/>
      <c r="HS95" s="2">
        <v>0</v>
      </c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>
        <v>0</v>
      </c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 x14ac:dyDescent="0.2">
      <c r="A96" s="2">
        <v>17</v>
      </c>
      <c r="B96" s="2">
        <v>1</v>
      </c>
      <c r="C96" s="2">
        <f>ROW(SmtRes!A120)</f>
        <v>120</v>
      </c>
      <c r="D96" s="2">
        <f>ROW(EtalonRes!A131)</f>
        <v>131</v>
      </c>
      <c r="E96" s="2" t="s">
        <v>245</v>
      </c>
      <c r="F96" s="2" t="s">
        <v>246</v>
      </c>
      <c r="G96" s="2" t="s">
        <v>247</v>
      </c>
      <c r="H96" s="2" t="s">
        <v>248</v>
      </c>
      <c r="I96" s="2">
        <v>1E-3</v>
      </c>
      <c r="J96" s="2">
        <v>0</v>
      </c>
      <c r="K96" s="2">
        <v>1E-3</v>
      </c>
      <c r="L96" s="2"/>
      <c r="M96" s="2"/>
      <c r="N96" s="2"/>
      <c r="O96" s="2">
        <f t="shared" si="71"/>
        <v>108.38</v>
      </c>
      <c r="P96" s="2">
        <f>SUMIF(SmtRes!AQ115:'SmtRes'!AQ120,"=1",SmtRes!DF115:'SmtRes'!DF120)</f>
        <v>0.82</v>
      </c>
      <c r="Q96" s="2">
        <f>SUMIF(SmtRes!AQ115:'SmtRes'!AQ120,"=1",SmtRes!DG115:'SmtRes'!DG120)</f>
        <v>0.68</v>
      </c>
      <c r="R96" s="2">
        <f>SUMIF(SmtRes!AQ115:'SmtRes'!AQ120,"=1",SmtRes!DH115:'SmtRes'!DH120)</f>
        <v>0.27</v>
      </c>
      <c r="S96" s="2">
        <f>SUMIF(SmtRes!AQ115:'SmtRes'!AQ120,"=1",SmtRes!DI115:'SmtRes'!DI120)</f>
        <v>106.61</v>
      </c>
      <c r="T96" s="2">
        <f t="shared" si="51"/>
        <v>0</v>
      </c>
      <c r="U96" s="2">
        <f>SUMIF(SmtRes!AQ115:'SmtRes'!AQ120,"=1",SmtRes!CV115:'SmtRes'!CV120)</f>
        <v>0.28899999999999998</v>
      </c>
      <c r="V96" s="2">
        <f>SUMIF(SmtRes!AQ115:'SmtRes'!AQ120,"=1",SmtRes!CW115:'SmtRes'!CW120)</f>
        <v>5.9000000000000003E-4</v>
      </c>
      <c r="W96" s="2">
        <f t="shared" si="52"/>
        <v>0</v>
      </c>
      <c r="X96" s="2">
        <f t="shared" si="53"/>
        <v>109.02</v>
      </c>
      <c r="Y96" s="2">
        <f t="shared" si="54"/>
        <v>61.99</v>
      </c>
      <c r="Z96" s="2"/>
      <c r="AA96" s="2">
        <v>73953415</v>
      </c>
      <c r="AB96" s="2">
        <f t="shared" si="55"/>
        <v>107898.54059999999</v>
      </c>
      <c r="AC96" s="2">
        <f>ROUND((SUM(SmtRes!BQ115:'SmtRes'!BQ120)),6)</f>
        <v>610.1576</v>
      </c>
      <c r="AD96" s="2">
        <f>ROUND((((SUM(SmtRes!BR115:'SmtRes'!BR120))-(SUM(SmtRes!BS115:'SmtRes'!BS120)))+AE96),6)</f>
        <v>682.06299999999999</v>
      </c>
      <c r="AE96" s="2">
        <f>ROUND((SUM(SmtRes!BS115:'SmtRes'!BS120)),6)</f>
        <v>270.49160000000001</v>
      </c>
      <c r="AF96" s="2">
        <f>ROUND((SUM(SmtRes!BT115:'SmtRes'!BT120)),6)</f>
        <v>106606.32</v>
      </c>
      <c r="AG96" s="2">
        <f t="shared" si="56"/>
        <v>0</v>
      </c>
      <c r="AH96" s="2">
        <f>(SUM(SmtRes!BU115:'SmtRes'!BU120))</f>
        <v>289</v>
      </c>
      <c r="AI96" s="2">
        <f>(SUM(SmtRes!BV115:'SmtRes'!BV120))</f>
        <v>0.59000000000000008</v>
      </c>
      <c r="AJ96" s="2">
        <f t="shared" si="57"/>
        <v>0</v>
      </c>
      <c r="AK96" s="2">
        <v>108169.03219999999</v>
      </c>
      <c r="AL96" s="2">
        <v>610.1576</v>
      </c>
      <c r="AM96" s="2">
        <v>682.0630000000001</v>
      </c>
      <c r="AN96" s="2">
        <v>270.49160000000001</v>
      </c>
      <c r="AO96" s="2">
        <v>106606.31999999999</v>
      </c>
      <c r="AP96" s="2">
        <v>0</v>
      </c>
      <c r="AQ96" s="2">
        <v>289</v>
      </c>
      <c r="AR96" s="2">
        <v>0.59000000000000008</v>
      </c>
      <c r="AS96" s="2">
        <v>0</v>
      </c>
      <c r="AT96" s="2">
        <v>102</v>
      </c>
      <c r="AU96" s="2">
        <v>58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1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0</v>
      </c>
      <c r="BI96" s="2">
        <v>1</v>
      </c>
      <c r="BJ96" s="2" t="s">
        <v>249</v>
      </c>
      <c r="BK96" s="2"/>
      <c r="BL96" s="2"/>
      <c r="BM96" s="2">
        <v>6001</v>
      </c>
      <c r="BN96" s="2">
        <v>0</v>
      </c>
      <c r="BO96" s="2" t="s">
        <v>3</v>
      </c>
      <c r="BP96" s="2">
        <v>0</v>
      </c>
      <c r="BQ96" s="2">
        <v>2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102</v>
      </c>
      <c r="CA96" s="2">
        <v>58</v>
      </c>
      <c r="CB96" s="2" t="s">
        <v>3</v>
      </c>
      <c r="CC96" s="2"/>
      <c r="CD96" s="2"/>
      <c r="CE96" s="2">
        <v>0</v>
      </c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2" t="s">
        <v>3</v>
      </c>
      <c r="CO96" s="2">
        <v>0</v>
      </c>
      <c r="CP96" s="2">
        <f t="shared" si="72"/>
        <v>108.38</v>
      </c>
      <c r="CQ96" s="2">
        <f>SUMIF(SmtRes!AQ115:'SmtRes'!AQ120,"=1",SmtRes!AA115:'SmtRes'!AA120)</f>
        <v>82371.28</v>
      </c>
      <c r="CR96" s="2">
        <f>SUMIF(SmtRes!AQ115:'SmtRes'!AQ120,"=1",SmtRes!AB115:'SmtRes'!AB120)</f>
        <v>2492.11</v>
      </c>
      <c r="CS96" s="2">
        <f>SUMIF(SmtRes!AQ115:'SmtRes'!AQ120,"=1",SmtRes!AC115:'SmtRes'!AC120)</f>
        <v>937.88</v>
      </c>
      <c r="CT96" s="2">
        <f>SUMIF(SmtRes!AQ115:'SmtRes'!AQ120,"=1",SmtRes!AD115:'SmtRes'!AD120)</f>
        <v>368.88</v>
      </c>
      <c r="CU96" s="2">
        <f t="shared" si="74"/>
        <v>0</v>
      </c>
      <c r="CV96" s="2">
        <f>SUMIF(SmtRes!AQ115:'SmtRes'!AQ120,"=1",SmtRes!BU115:'SmtRes'!BU120)</f>
        <v>289</v>
      </c>
      <c r="CW96" s="2">
        <f>SUMIF(SmtRes!AQ115:'SmtRes'!AQ120,"=1",SmtRes!BV115:'SmtRes'!BV120)</f>
        <v>0.59000000000000008</v>
      </c>
      <c r="CX96" s="2">
        <f t="shared" si="75"/>
        <v>0</v>
      </c>
      <c r="CY96" s="2">
        <f t="shared" si="76"/>
        <v>109.0176</v>
      </c>
      <c r="CZ96" s="2">
        <f t="shared" si="77"/>
        <v>61.990400000000001</v>
      </c>
      <c r="DA96" s="2"/>
      <c r="DB96" s="2"/>
      <c r="DC96" s="2" t="s">
        <v>3</v>
      </c>
      <c r="DD96" s="2" t="s">
        <v>3</v>
      </c>
      <c r="DE96" s="2" t="s">
        <v>3</v>
      </c>
      <c r="DF96" s="2" t="s">
        <v>3</v>
      </c>
      <c r="DG96" s="2" t="s">
        <v>3</v>
      </c>
      <c r="DH96" s="2" t="s">
        <v>3</v>
      </c>
      <c r="DI96" s="2" t="s">
        <v>3</v>
      </c>
      <c r="DJ96" s="2" t="s">
        <v>3</v>
      </c>
      <c r="DK96" s="2" t="s">
        <v>3</v>
      </c>
      <c r="DL96" s="2" t="s">
        <v>3</v>
      </c>
      <c r="DM96" s="2" t="s">
        <v>3</v>
      </c>
      <c r="DN96" s="2">
        <v>0</v>
      </c>
      <c r="DO96" s="2">
        <v>0</v>
      </c>
      <c r="DP96" s="2">
        <v>1</v>
      </c>
      <c r="DQ96" s="2">
        <v>1</v>
      </c>
      <c r="DR96" s="2"/>
      <c r="DS96" s="2"/>
      <c r="DT96" s="2"/>
      <c r="DU96" s="2">
        <v>1009</v>
      </c>
      <c r="DV96" s="2" t="s">
        <v>248</v>
      </c>
      <c r="DW96" s="2" t="s">
        <v>248</v>
      </c>
      <c r="DX96" s="2">
        <v>1000</v>
      </c>
      <c r="DY96" s="2"/>
      <c r="DZ96" s="2" t="s">
        <v>3</v>
      </c>
      <c r="EA96" s="2" t="s">
        <v>3</v>
      </c>
      <c r="EB96" s="2" t="s">
        <v>3</v>
      </c>
      <c r="EC96" s="2" t="s">
        <v>3</v>
      </c>
      <c r="ED96" s="2"/>
      <c r="EE96" s="2">
        <v>72340584</v>
      </c>
      <c r="EF96" s="2">
        <v>2</v>
      </c>
      <c r="EG96" s="2" t="s">
        <v>23</v>
      </c>
      <c r="EH96" s="2">
        <v>6</v>
      </c>
      <c r="EI96" s="2" t="s">
        <v>237</v>
      </c>
      <c r="EJ96" s="2">
        <v>1</v>
      </c>
      <c r="EK96" s="2">
        <v>6001</v>
      </c>
      <c r="EL96" s="2" t="s">
        <v>237</v>
      </c>
      <c r="EM96" s="2" t="s">
        <v>238</v>
      </c>
      <c r="EN96" s="2"/>
      <c r="EO96" s="2" t="s">
        <v>3</v>
      </c>
      <c r="EP96" s="2"/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289</v>
      </c>
      <c r="EX96" s="2">
        <v>0.59</v>
      </c>
      <c r="EY96" s="2">
        <v>0</v>
      </c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v>0</v>
      </c>
      <c r="FS96" s="2">
        <v>0</v>
      </c>
      <c r="FT96" s="2"/>
      <c r="FU96" s="2"/>
      <c r="FV96" s="2"/>
      <c r="FW96" s="2"/>
      <c r="FX96" s="2">
        <v>102</v>
      </c>
      <c r="FY96" s="2">
        <v>58</v>
      </c>
      <c r="FZ96" s="2"/>
      <c r="GA96" s="2" t="s">
        <v>3</v>
      </c>
      <c r="GB96" s="2"/>
      <c r="GC96" s="2"/>
      <c r="GD96" s="2">
        <v>1</v>
      </c>
      <c r="GE96" s="2"/>
      <c r="GF96" s="2">
        <v>-1181679143</v>
      </c>
      <c r="GG96" s="2">
        <v>2</v>
      </c>
      <c r="GH96" s="2">
        <v>1</v>
      </c>
      <c r="GI96" s="2">
        <v>-2</v>
      </c>
      <c r="GJ96" s="2">
        <v>0</v>
      </c>
      <c r="GK96" s="2">
        <v>0</v>
      </c>
      <c r="GL96" s="2">
        <f t="shared" si="61"/>
        <v>0</v>
      </c>
      <c r="GM96" s="2">
        <f t="shared" si="62"/>
        <v>279.39</v>
      </c>
      <c r="GN96" s="2">
        <f t="shared" si="63"/>
        <v>279.39</v>
      </c>
      <c r="GO96" s="2">
        <f t="shared" si="64"/>
        <v>0</v>
      </c>
      <c r="GP96" s="2">
        <f t="shared" si="65"/>
        <v>0</v>
      </c>
      <c r="GQ96" s="2"/>
      <c r="GR96" s="2">
        <v>0</v>
      </c>
      <c r="GS96" s="2">
        <v>3</v>
      </c>
      <c r="GT96" s="2">
        <v>0</v>
      </c>
      <c r="GU96" s="2" t="s">
        <v>3</v>
      </c>
      <c r="GV96" s="2">
        <f t="shared" si="66"/>
        <v>0</v>
      </c>
      <c r="GW96" s="2">
        <v>1</v>
      </c>
      <c r="GX96" s="2">
        <f t="shared" si="67"/>
        <v>0</v>
      </c>
      <c r="GY96" s="2"/>
      <c r="GZ96" s="2"/>
      <c r="HA96" s="2">
        <v>0</v>
      </c>
      <c r="HB96" s="2">
        <v>0</v>
      </c>
      <c r="HC96" s="2">
        <f t="shared" si="73"/>
        <v>0</v>
      </c>
      <c r="HD96" s="2"/>
      <c r="HE96" s="2" t="s">
        <v>3</v>
      </c>
      <c r="HF96" s="2" t="s">
        <v>3</v>
      </c>
      <c r="HG96" s="2"/>
      <c r="HH96" s="2"/>
      <c r="HI96" s="2"/>
      <c r="HJ96" s="2"/>
      <c r="HK96" s="2"/>
      <c r="HL96" s="2"/>
      <c r="HM96" s="2" t="s">
        <v>3</v>
      </c>
      <c r="HN96" s="2" t="s">
        <v>239</v>
      </c>
      <c r="HO96" s="2" t="s">
        <v>240</v>
      </c>
      <c r="HP96" s="2" t="s">
        <v>237</v>
      </c>
      <c r="HQ96" s="2" t="s">
        <v>237</v>
      </c>
      <c r="HR96" s="2"/>
      <c r="HS96" s="2">
        <v>0</v>
      </c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x14ac:dyDescent="0.2">
      <c r="A97" s="2">
        <v>18</v>
      </c>
      <c r="B97" s="2">
        <v>1</v>
      </c>
      <c r="C97" s="2">
        <v>120</v>
      </c>
      <c r="D97" s="2"/>
      <c r="E97" s="2" t="s">
        <v>250</v>
      </c>
      <c r="F97" s="2" t="s">
        <v>251</v>
      </c>
      <c r="G97" s="2" t="s">
        <v>252</v>
      </c>
      <c r="H97" s="2" t="s">
        <v>248</v>
      </c>
      <c r="I97" s="2">
        <f>I96*J97</f>
        <v>1E-3</v>
      </c>
      <c r="J97" s="2">
        <v>1</v>
      </c>
      <c r="K97" s="2">
        <v>1</v>
      </c>
      <c r="L97" s="2"/>
      <c r="M97" s="2"/>
      <c r="N97" s="2"/>
      <c r="O97" s="2">
        <f t="shared" si="71"/>
        <v>214.72</v>
      </c>
      <c r="P97" s="2">
        <f>ROUND(CQ97*I97,2)</f>
        <v>214.72</v>
      </c>
      <c r="Q97" s="2">
        <f>ROUND(CR97*I97,2)</f>
        <v>0</v>
      </c>
      <c r="R97" s="2">
        <f>ROUND(CS97*I97,2)</f>
        <v>0</v>
      </c>
      <c r="S97" s="2">
        <f>ROUND(CT97*I97,2)</f>
        <v>0</v>
      </c>
      <c r="T97" s="2">
        <f t="shared" si="51"/>
        <v>0</v>
      </c>
      <c r="U97" s="2">
        <f>ROUND(CV97*I97,7)</f>
        <v>0</v>
      </c>
      <c r="V97" s="2">
        <f>ROUND(CW97*I97,7)</f>
        <v>0</v>
      </c>
      <c r="W97" s="2">
        <f t="shared" si="52"/>
        <v>0</v>
      </c>
      <c r="X97" s="2">
        <f t="shared" si="53"/>
        <v>0</v>
      </c>
      <c r="Y97" s="2">
        <f t="shared" si="54"/>
        <v>0</v>
      </c>
      <c r="Z97" s="2"/>
      <c r="AA97" s="2">
        <v>73953415</v>
      </c>
      <c r="AB97" s="2">
        <f t="shared" si="55"/>
        <v>191710.91</v>
      </c>
      <c r="AC97" s="2">
        <f>ROUND((ES97),6)</f>
        <v>191710.91</v>
      </c>
      <c r="AD97" s="2">
        <f>ROUND((((ET97)-(EU97))+AE97),6)</f>
        <v>0</v>
      </c>
      <c r="AE97" s="2">
        <f>ROUND((EU97),6)</f>
        <v>0</v>
      </c>
      <c r="AF97" s="2">
        <f>ROUND((EV97),6)</f>
        <v>0</v>
      </c>
      <c r="AG97" s="2">
        <f t="shared" si="56"/>
        <v>0</v>
      </c>
      <c r="AH97" s="2">
        <f>(EW97)</f>
        <v>0</v>
      </c>
      <c r="AI97" s="2">
        <f>(EX97)</f>
        <v>0</v>
      </c>
      <c r="AJ97" s="2">
        <f t="shared" si="57"/>
        <v>0</v>
      </c>
      <c r="AK97" s="2">
        <v>191710.91</v>
      </c>
      <c r="AL97" s="2">
        <v>191710.91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102</v>
      </c>
      <c r="AU97" s="2">
        <v>58</v>
      </c>
      <c r="AV97" s="2">
        <v>1</v>
      </c>
      <c r="AW97" s="2">
        <v>1</v>
      </c>
      <c r="AX97" s="2"/>
      <c r="AY97" s="2"/>
      <c r="AZ97" s="2">
        <v>1</v>
      </c>
      <c r="BA97" s="2">
        <v>1</v>
      </c>
      <c r="BB97" s="2">
        <v>1</v>
      </c>
      <c r="BC97" s="2">
        <v>1.1200000000000001</v>
      </c>
      <c r="BD97" s="2" t="s">
        <v>3</v>
      </c>
      <c r="BE97" s="2" t="s">
        <v>3</v>
      </c>
      <c r="BF97" s="2" t="s">
        <v>3</v>
      </c>
      <c r="BG97" s="2" t="s">
        <v>3</v>
      </c>
      <c r="BH97" s="2">
        <v>3</v>
      </c>
      <c r="BI97" s="2">
        <v>1</v>
      </c>
      <c r="BJ97" s="2" t="s">
        <v>253</v>
      </c>
      <c r="BK97" s="2"/>
      <c r="BL97" s="2"/>
      <c r="BM97" s="2">
        <v>6001</v>
      </c>
      <c r="BN97" s="2">
        <v>0</v>
      </c>
      <c r="BO97" s="2" t="s">
        <v>251</v>
      </c>
      <c r="BP97" s="2">
        <v>1</v>
      </c>
      <c r="BQ97" s="2">
        <v>2</v>
      </c>
      <c r="BR97" s="2">
        <v>0</v>
      </c>
      <c r="BS97" s="2">
        <v>1</v>
      </c>
      <c r="BT97" s="2">
        <v>1</v>
      </c>
      <c r="BU97" s="2">
        <v>1</v>
      </c>
      <c r="BV97" s="2">
        <v>1</v>
      </c>
      <c r="BW97" s="2">
        <v>1</v>
      </c>
      <c r="BX97" s="2">
        <v>1</v>
      </c>
      <c r="BY97" s="2" t="s">
        <v>3</v>
      </c>
      <c r="BZ97" s="2">
        <v>102</v>
      </c>
      <c r="CA97" s="2">
        <v>58</v>
      </c>
      <c r="CB97" s="2" t="s">
        <v>3</v>
      </c>
      <c r="CC97" s="2"/>
      <c r="CD97" s="2"/>
      <c r="CE97" s="2">
        <v>0</v>
      </c>
      <c r="CF97" s="2">
        <v>0</v>
      </c>
      <c r="CG97" s="2">
        <v>0</v>
      </c>
      <c r="CH97" s="2"/>
      <c r="CI97" s="2"/>
      <c r="CJ97" s="2"/>
      <c r="CK97" s="2"/>
      <c r="CL97" s="2"/>
      <c r="CM97" s="2">
        <v>0</v>
      </c>
      <c r="CN97" s="2" t="s">
        <v>3</v>
      </c>
      <c r="CO97" s="2">
        <v>0</v>
      </c>
      <c r="CP97" s="2">
        <f t="shared" si="72"/>
        <v>214.72</v>
      </c>
      <c r="CQ97" s="2">
        <f>ROUND(AL97*BC97,2)</f>
        <v>214716.22</v>
      </c>
      <c r="CR97" s="2">
        <f>ROUND(AM97*BB97,2)</f>
        <v>0</v>
      </c>
      <c r="CS97" s="2">
        <f>ROUND(AN97*BS97,2)</f>
        <v>0</v>
      </c>
      <c r="CT97" s="2">
        <f>ROUND(AO97*BA97,2)</f>
        <v>0</v>
      </c>
      <c r="CU97" s="2">
        <f t="shared" si="74"/>
        <v>0</v>
      </c>
      <c r="CV97" s="2">
        <f>AH97</f>
        <v>0</v>
      </c>
      <c r="CW97" s="2">
        <f>AI97</f>
        <v>0</v>
      </c>
      <c r="CX97" s="2">
        <f t="shared" si="75"/>
        <v>0</v>
      </c>
      <c r="CY97" s="2">
        <f t="shared" si="76"/>
        <v>0</v>
      </c>
      <c r="CZ97" s="2">
        <f t="shared" si="77"/>
        <v>0</v>
      </c>
      <c r="DA97" s="2"/>
      <c r="DB97" s="2"/>
      <c r="DC97" s="2" t="s">
        <v>3</v>
      </c>
      <c r="DD97" s="2" t="s">
        <v>3</v>
      </c>
      <c r="DE97" s="2" t="s">
        <v>3</v>
      </c>
      <c r="DF97" s="2" t="s">
        <v>3</v>
      </c>
      <c r="DG97" s="2" t="s">
        <v>3</v>
      </c>
      <c r="DH97" s="2" t="s">
        <v>3</v>
      </c>
      <c r="DI97" s="2" t="s">
        <v>3</v>
      </c>
      <c r="DJ97" s="2" t="s">
        <v>3</v>
      </c>
      <c r="DK97" s="2" t="s">
        <v>3</v>
      </c>
      <c r="DL97" s="2" t="s">
        <v>3</v>
      </c>
      <c r="DM97" s="2" t="s">
        <v>3</v>
      </c>
      <c r="DN97" s="2">
        <v>0</v>
      </c>
      <c r="DO97" s="2">
        <v>0</v>
      </c>
      <c r="DP97" s="2">
        <v>1</v>
      </c>
      <c r="DQ97" s="2">
        <v>1</v>
      </c>
      <c r="DR97" s="2"/>
      <c r="DS97" s="2"/>
      <c r="DT97" s="2"/>
      <c r="DU97" s="2">
        <v>1009</v>
      </c>
      <c r="DV97" s="2" t="s">
        <v>248</v>
      </c>
      <c r="DW97" s="2" t="s">
        <v>248</v>
      </c>
      <c r="DX97" s="2">
        <v>1000</v>
      </c>
      <c r="DY97" s="2"/>
      <c r="DZ97" s="2" t="s">
        <v>3</v>
      </c>
      <c r="EA97" s="2" t="s">
        <v>3</v>
      </c>
      <c r="EB97" s="2" t="s">
        <v>3</v>
      </c>
      <c r="EC97" s="2" t="s">
        <v>3</v>
      </c>
      <c r="ED97" s="2"/>
      <c r="EE97" s="2">
        <v>72340584</v>
      </c>
      <c r="EF97" s="2">
        <v>2</v>
      </c>
      <c r="EG97" s="2" t="s">
        <v>23</v>
      </c>
      <c r="EH97" s="2">
        <v>6</v>
      </c>
      <c r="EI97" s="2" t="s">
        <v>237</v>
      </c>
      <c r="EJ97" s="2">
        <v>1</v>
      </c>
      <c r="EK97" s="2">
        <v>6001</v>
      </c>
      <c r="EL97" s="2" t="s">
        <v>237</v>
      </c>
      <c r="EM97" s="2" t="s">
        <v>238</v>
      </c>
      <c r="EN97" s="2"/>
      <c r="EO97" s="2" t="s">
        <v>3</v>
      </c>
      <c r="EP97" s="2"/>
      <c r="EQ97" s="2">
        <v>0</v>
      </c>
      <c r="ER97" s="2">
        <v>191710.91</v>
      </c>
      <c r="ES97" s="2">
        <v>191710.91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>
        <v>0</v>
      </c>
      <c r="FR97" s="2">
        <v>0</v>
      </c>
      <c r="FS97" s="2">
        <v>0</v>
      </c>
      <c r="FT97" s="2"/>
      <c r="FU97" s="2"/>
      <c r="FV97" s="2"/>
      <c r="FW97" s="2"/>
      <c r="FX97" s="2">
        <v>102</v>
      </c>
      <c r="FY97" s="2">
        <v>58</v>
      </c>
      <c r="FZ97" s="2"/>
      <c r="GA97" s="2" t="s">
        <v>3</v>
      </c>
      <c r="GB97" s="2"/>
      <c r="GC97" s="2"/>
      <c r="GD97" s="2">
        <v>1</v>
      </c>
      <c r="GE97" s="2"/>
      <c r="GF97" s="2">
        <v>-853630379</v>
      </c>
      <c r="GG97" s="2">
        <v>2</v>
      </c>
      <c r="GH97" s="2">
        <v>1</v>
      </c>
      <c r="GI97" s="2">
        <v>2</v>
      </c>
      <c r="GJ97" s="2">
        <v>0</v>
      </c>
      <c r="GK97" s="2">
        <v>0</v>
      </c>
      <c r="GL97" s="2">
        <f t="shared" si="61"/>
        <v>0</v>
      </c>
      <c r="GM97" s="2">
        <f t="shared" si="62"/>
        <v>214.72</v>
      </c>
      <c r="GN97" s="2">
        <f t="shared" si="63"/>
        <v>214.72</v>
      </c>
      <c r="GO97" s="2">
        <f t="shared" si="64"/>
        <v>0</v>
      </c>
      <c r="GP97" s="2">
        <f t="shared" si="65"/>
        <v>0</v>
      </c>
      <c r="GQ97" s="2"/>
      <c r="GR97" s="2">
        <v>0</v>
      </c>
      <c r="GS97" s="2">
        <v>3</v>
      </c>
      <c r="GT97" s="2">
        <v>0</v>
      </c>
      <c r="GU97" s="2" t="s">
        <v>3</v>
      </c>
      <c r="GV97" s="2">
        <f t="shared" si="66"/>
        <v>0</v>
      </c>
      <c r="GW97" s="2">
        <v>1</v>
      </c>
      <c r="GX97" s="2">
        <f t="shared" si="67"/>
        <v>0</v>
      </c>
      <c r="GY97" s="2"/>
      <c r="GZ97" s="2"/>
      <c r="HA97" s="2">
        <v>0</v>
      </c>
      <c r="HB97" s="2">
        <v>0</v>
      </c>
      <c r="HC97" s="2">
        <f t="shared" si="73"/>
        <v>0</v>
      </c>
      <c r="HD97" s="2"/>
      <c r="HE97" s="2" t="s">
        <v>3</v>
      </c>
      <c r="HF97" s="2" t="s">
        <v>3</v>
      </c>
      <c r="HG97" s="2"/>
      <c r="HH97" s="2"/>
      <c r="HI97" s="2"/>
      <c r="HJ97" s="2"/>
      <c r="HK97" s="2"/>
      <c r="HL97" s="2"/>
      <c r="HM97" s="2" t="s">
        <v>3</v>
      </c>
      <c r="HN97" s="2" t="s">
        <v>239</v>
      </c>
      <c r="HO97" s="2" t="s">
        <v>240</v>
      </c>
      <c r="HP97" s="2" t="s">
        <v>237</v>
      </c>
      <c r="HQ97" s="2" t="s">
        <v>237</v>
      </c>
      <c r="HR97" s="2"/>
      <c r="HS97" s="2">
        <v>0</v>
      </c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>
        <v>0</v>
      </c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 x14ac:dyDescent="0.2">
      <c r="A98" s="2">
        <v>17</v>
      </c>
      <c r="B98" s="2">
        <v>1</v>
      </c>
      <c r="C98" s="2">
        <f>ROW(SmtRes!A123)</f>
        <v>123</v>
      </c>
      <c r="D98" s="2">
        <f>ROW(EtalonRes!A134)</f>
        <v>134</v>
      </c>
      <c r="E98" s="2" t="s">
        <v>254</v>
      </c>
      <c r="F98" s="2" t="s">
        <v>255</v>
      </c>
      <c r="G98" s="2" t="s">
        <v>256</v>
      </c>
      <c r="H98" s="2" t="s">
        <v>116</v>
      </c>
      <c r="I98" s="2">
        <f>ROUND(17/100,7)</f>
        <v>0.17</v>
      </c>
      <c r="J98" s="2">
        <v>0</v>
      </c>
      <c r="K98" s="2">
        <f>ROUND(17/100,7)</f>
        <v>0.17</v>
      </c>
      <c r="L98" s="2"/>
      <c r="M98" s="2"/>
      <c r="N98" s="2"/>
      <c r="O98" s="2">
        <f t="shared" si="71"/>
        <v>55.69</v>
      </c>
      <c r="P98" s="2">
        <f>SUMIF(SmtRes!AQ121:'SmtRes'!AQ123,"=1",SmtRes!DF121:'SmtRes'!DF123)</f>
        <v>0</v>
      </c>
      <c r="Q98" s="2">
        <f>SUMIF(SmtRes!AQ121:'SmtRes'!AQ123,"=1",SmtRes!DG121:'SmtRes'!DG123)</f>
        <v>14.18</v>
      </c>
      <c r="R98" s="2">
        <f>SUMIF(SmtRes!AQ121:'SmtRes'!AQ123,"=1",SmtRes!DH121:'SmtRes'!DH123)</f>
        <v>13.61</v>
      </c>
      <c r="S98" s="2">
        <f>SUMIF(SmtRes!AQ121:'SmtRes'!AQ123,"=1",SmtRes!DI121:'SmtRes'!DI123)</f>
        <v>27.9</v>
      </c>
      <c r="T98" s="2">
        <f t="shared" si="51"/>
        <v>0</v>
      </c>
      <c r="U98" s="2">
        <f>SUMIF(SmtRes!AQ121:'SmtRes'!AQ123,"=1",SmtRes!CV121:'SmtRes'!CV123)</f>
        <v>6.9699999999999998E-2</v>
      </c>
      <c r="V98" s="2">
        <f>SUMIF(SmtRes!AQ121:'SmtRes'!AQ123,"=1",SmtRes!CW121:'SmtRes'!CW123)</f>
        <v>3.4000000000000002E-2</v>
      </c>
      <c r="W98" s="2">
        <f t="shared" si="52"/>
        <v>0</v>
      </c>
      <c r="X98" s="2">
        <f t="shared" si="53"/>
        <v>48.57</v>
      </c>
      <c r="Y98" s="2">
        <f t="shared" si="54"/>
        <v>30.72</v>
      </c>
      <c r="Z98" s="2"/>
      <c r="AA98" s="2">
        <v>73953415</v>
      </c>
      <c r="AB98" s="2">
        <f t="shared" si="55"/>
        <v>247.5224</v>
      </c>
      <c r="AC98" s="2">
        <f>ROUND((0),6)</f>
        <v>0</v>
      </c>
      <c r="AD98" s="2">
        <f>ROUND((((SUM(SmtRes!BR121:'SmtRes'!BR123))-(SUM(SmtRes!BS121:'SmtRes'!BS123)))+AE98),6)</f>
        <v>83.424000000000007</v>
      </c>
      <c r="AE98" s="2">
        <f>ROUND((SUM(SmtRes!BS121:'SmtRes'!BS123)),6)</f>
        <v>80.048000000000002</v>
      </c>
      <c r="AF98" s="2">
        <f>ROUND((SUM(SmtRes!BT121:'SmtRes'!BT123)),6)</f>
        <v>164.0984</v>
      </c>
      <c r="AG98" s="2">
        <f t="shared" si="56"/>
        <v>0</v>
      </c>
      <c r="AH98" s="2">
        <f>(SUM(SmtRes!BU121:'SmtRes'!BU123))</f>
        <v>0.41</v>
      </c>
      <c r="AI98" s="2">
        <f>(SUM(SmtRes!BV121:'SmtRes'!BV123))</f>
        <v>0.2</v>
      </c>
      <c r="AJ98" s="2">
        <f t="shared" si="57"/>
        <v>0</v>
      </c>
      <c r="AK98" s="2">
        <v>327.57040000000001</v>
      </c>
      <c r="AL98" s="2">
        <v>0</v>
      </c>
      <c r="AM98" s="2">
        <v>83.424000000000007</v>
      </c>
      <c r="AN98" s="2">
        <v>80.048000000000002</v>
      </c>
      <c r="AO98" s="2">
        <v>164.0984</v>
      </c>
      <c r="AP98" s="2">
        <v>0</v>
      </c>
      <c r="AQ98" s="2">
        <v>0.41</v>
      </c>
      <c r="AR98" s="2">
        <v>0.2</v>
      </c>
      <c r="AS98" s="2">
        <v>0</v>
      </c>
      <c r="AT98" s="2">
        <v>117</v>
      </c>
      <c r="AU98" s="2">
        <v>74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0</v>
      </c>
      <c r="BI98" s="2">
        <v>1</v>
      </c>
      <c r="BJ98" s="2" t="s">
        <v>257</v>
      </c>
      <c r="BK98" s="2"/>
      <c r="BL98" s="2"/>
      <c r="BM98" s="2">
        <v>24001</v>
      </c>
      <c r="BN98" s="2">
        <v>0</v>
      </c>
      <c r="BO98" s="2" t="s">
        <v>3</v>
      </c>
      <c r="BP98" s="2">
        <v>0</v>
      </c>
      <c r="BQ98" s="2">
        <v>2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117</v>
      </c>
      <c r="CA98" s="2">
        <v>74</v>
      </c>
      <c r="CB98" s="2" t="s">
        <v>3</v>
      </c>
      <c r="CC98" s="2"/>
      <c r="CD98" s="2"/>
      <c r="CE98" s="2">
        <v>0</v>
      </c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3</v>
      </c>
      <c r="CO98" s="2">
        <v>0</v>
      </c>
      <c r="CP98" s="2">
        <f t="shared" si="72"/>
        <v>55.69</v>
      </c>
      <c r="CQ98" s="2">
        <f>SUMIF(SmtRes!AQ121:'SmtRes'!AQ123,"=1",SmtRes!AA121:'SmtRes'!AA123)</f>
        <v>0</v>
      </c>
      <c r="CR98" s="2">
        <f>SUMIF(SmtRes!AQ121:'SmtRes'!AQ123,"=1",SmtRes!AB121:'SmtRes'!AB123)</f>
        <v>417.12</v>
      </c>
      <c r="CS98" s="2">
        <f>SUMIF(SmtRes!AQ121:'SmtRes'!AQ123,"=1",SmtRes!AC121:'SmtRes'!AC123)</f>
        <v>400.24</v>
      </c>
      <c r="CT98" s="2">
        <f>SUMIF(SmtRes!AQ121:'SmtRes'!AQ123,"=1",SmtRes!AD121:'SmtRes'!AD123)</f>
        <v>400.24</v>
      </c>
      <c r="CU98" s="2">
        <f t="shared" si="74"/>
        <v>0</v>
      </c>
      <c r="CV98" s="2">
        <f>SUMIF(SmtRes!AQ121:'SmtRes'!AQ123,"=1",SmtRes!BU121:'SmtRes'!BU123)</f>
        <v>0.41</v>
      </c>
      <c r="CW98" s="2">
        <f>SUMIF(SmtRes!AQ121:'SmtRes'!AQ123,"=1",SmtRes!BV121:'SmtRes'!BV123)</f>
        <v>0.2</v>
      </c>
      <c r="CX98" s="2">
        <f t="shared" si="75"/>
        <v>0</v>
      </c>
      <c r="CY98" s="2">
        <f t="shared" si="76"/>
        <v>48.566699999999997</v>
      </c>
      <c r="CZ98" s="2">
        <f t="shared" si="77"/>
        <v>30.717399999999998</v>
      </c>
      <c r="DA98" s="2"/>
      <c r="DB98" s="2"/>
      <c r="DC98" s="2" t="s">
        <v>3</v>
      </c>
      <c r="DD98" s="2" t="s">
        <v>3</v>
      </c>
      <c r="DE98" s="2" t="s">
        <v>3</v>
      </c>
      <c r="DF98" s="2" t="s">
        <v>3</v>
      </c>
      <c r="DG98" s="2" t="s">
        <v>3</v>
      </c>
      <c r="DH98" s="2" t="s">
        <v>3</v>
      </c>
      <c r="DI98" s="2" t="s">
        <v>3</v>
      </c>
      <c r="DJ98" s="2" t="s">
        <v>3</v>
      </c>
      <c r="DK98" s="2" t="s">
        <v>3</v>
      </c>
      <c r="DL98" s="2" t="s">
        <v>3</v>
      </c>
      <c r="DM98" s="2" t="s">
        <v>3</v>
      </c>
      <c r="DN98" s="2">
        <v>0</v>
      </c>
      <c r="DO98" s="2">
        <v>0</v>
      </c>
      <c r="DP98" s="2">
        <v>1</v>
      </c>
      <c r="DQ98" s="2">
        <v>1</v>
      </c>
      <c r="DR98" s="2"/>
      <c r="DS98" s="2"/>
      <c r="DT98" s="2"/>
      <c r="DU98" s="2">
        <v>1003</v>
      </c>
      <c r="DV98" s="2" t="s">
        <v>116</v>
      </c>
      <c r="DW98" s="2" t="s">
        <v>116</v>
      </c>
      <c r="DX98" s="2">
        <v>100</v>
      </c>
      <c r="DY98" s="2"/>
      <c r="DZ98" s="2" t="s">
        <v>3</v>
      </c>
      <c r="EA98" s="2" t="s">
        <v>3</v>
      </c>
      <c r="EB98" s="2" t="s">
        <v>3</v>
      </c>
      <c r="EC98" s="2" t="s">
        <v>3</v>
      </c>
      <c r="ED98" s="2"/>
      <c r="EE98" s="2">
        <v>72340632</v>
      </c>
      <c r="EF98" s="2">
        <v>2</v>
      </c>
      <c r="EG98" s="2" t="s">
        <v>23</v>
      </c>
      <c r="EH98" s="2">
        <v>18</v>
      </c>
      <c r="EI98" s="2" t="s">
        <v>41</v>
      </c>
      <c r="EJ98" s="2">
        <v>1</v>
      </c>
      <c r="EK98" s="2">
        <v>24001</v>
      </c>
      <c r="EL98" s="2" t="s">
        <v>41</v>
      </c>
      <c r="EM98" s="2" t="s">
        <v>118</v>
      </c>
      <c r="EN98" s="2"/>
      <c r="EO98" s="2" t="s">
        <v>3</v>
      </c>
      <c r="EP98" s="2"/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0.41</v>
      </c>
      <c r="EX98" s="2">
        <v>0.2</v>
      </c>
      <c r="EY98" s="2">
        <v>0</v>
      </c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v>0</v>
      </c>
      <c r="FS98" s="2">
        <v>0</v>
      </c>
      <c r="FT98" s="2"/>
      <c r="FU98" s="2"/>
      <c r="FV98" s="2"/>
      <c r="FW98" s="2"/>
      <c r="FX98" s="2">
        <v>117</v>
      </c>
      <c r="FY98" s="2">
        <v>74</v>
      </c>
      <c r="FZ98" s="2"/>
      <c r="GA98" s="2" t="s">
        <v>3</v>
      </c>
      <c r="GB98" s="2"/>
      <c r="GC98" s="2"/>
      <c r="GD98" s="2">
        <v>1</v>
      </c>
      <c r="GE98" s="2"/>
      <c r="GF98" s="2">
        <v>-414317655</v>
      </c>
      <c r="GG98" s="2">
        <v>2</v>
      </c>
      <c r="GH98" s="2">
        <v>1</v>
      </c>
      <c r="GI98" s="2">
        <v>-2</v>
      </c>
      <c r="GJ98" s="2">
        <v>0</v>
      </c>
      <c r="GK98" s="2">
        <v>0</v>
      </c>
      <c r="GL98" s="2">
        <f t="shared" si="61"/>
        <v>0</v>
      </c>
      <c r="GM98" s="2">
        <f t="shared" si="62"/>
        <v>134.97999999999999</v>
      </c>
      <c r="GN98" s="2">
        <f t="shared" si="63"/>
        <v>134.97999999999999</v>
      </c>
      <c r="GO98" s="2">
        <f t="shared" si="64"/>
        <v>0</v>
      </c>
      <c r="GP98" s="2">
        <f t="shared" si="65"/>
        <v>0</v>
      </c>
      <c r="GQ98" s="2"/>
      <c r="GR98" s="2">
        <v>0</v>
      </c>
      <c r="GS98" s="2">
        <v>3</v>
      </c>
      <c r="GT98" s="2">
        <v>0</v>
      </c>
      <c r="GU98" s="2" t="s">
        <v>3</v>
      </c>
      <c r="GV98" s="2">
        <f t="shared" si="66"/>
        <v>0</v>
      </c>
      <c r="GW98" s="2">
        <v>1</v>
      </c>
      <c r="GX98" s="2">
        <f t="shared" si="67"/>
        <v>0</v>
      </c>
      <c r="GY98" s="2"/>
      <c r="GZ98" s="2"/>
      <c r="HA98" s="2">
        <v>0</v>
      </c>
      <c r="HB98" s="2">
        <v>0</v>
      </c>
      <c r="HC98" s="2">
        <f t="shared" si="73"/>
        <v>0</v>
      </c>
      <c r="HD98" s="2"/>
      <c r="HE98" s="2" t="s">
        <v>3</v>
      </c>
      <c r="HF98" s="2" t="s">
        <v>3</v>
      </c>
      <c r="HG98" s="2"/>
      <c r="HH98" s="2"/>
      <c r="HI98" s="2"/>
      <c r="HJ98" s="2"/>
      <c r="HK98" s="2"/>
      <c r="HL98" s="2"/>
      <c r="HM98" s="2" t="s">
        <v>3</v>
      </c>
      <c r="HN98" s="2" t="s">
        <v>43</v>
      </c>
      <c r="HO98" s="2" t="s">
        <v>44</v>
      </c>
      <c r="HP98" s="2" t="s">
        <v>41</v>
      </c>
      <c r="HQ98" s="2" t="s">
        <v>41</v>
      </c>
      <c r="HR98" s="2"/>
      <c r="HS98" s="2">
        <v>0</v>
      </c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x14ac:dyDescent="0.2">
      <c r="A99" s="2">
        <v>17</v>
      </c>
      <c r="B99" s="2">
        <v>1</v>
      </c>
      <c r="C99" s="2">
        <f>ROW(SmtRes!A129)</f>
        <v>129</v>
      </c>
      <c r="D99" s="2">
        <f>ROW(EtalonRes!A141)</f>
        <v>141</v>
      </c>
      <c r="E99" s="2" t="s">
        <v>258</v>
      </c>
      <c r="F99" s="2" t="s">
        <v>259</v>
      </c>
      <c r="G99" s="2" t="s">
        <v>260</v>
      </c>
      <c r="H99" s="2" t="s">
        <v>261</v>
      </c>
      <c r="I99" s="2">
        <v>0.22</v>
      </c>
      <c r="J99" s="2">
        <v>0</v>
      </c>
      <c r="K99" s="2">
        <v>0.22</v>
      </c>
      <c r="L99" s="2"/>
      <c r="M99" s="2"/>
      <c r="N99" s="2"/>
      <c r="O99" s="2">
        <f t="shared" si="71"/>
        <v>3777.38</v>
      </c>
      <c r="P99" s="2">
        <f>SUMIF(SmtRes!AQ124:'SmtRes'!AQ129,"=1",SmtRes!DF124:'SmtRes'!DF129)</f>
        <v>0.94</v>
      </c>
      <c r="Q99" s="2">
        <f>SUMIF(SmtRes!AQ124:'SmtRes'!AQ129,"=1",SmtRes!DG124:'SmtRes'!DG129)</f>
        <v>9.52</v>
      </c>
      <c r="R99" s="2">
        <f>SUMIF(SmtRes!AQ124:'SmtRes'!AQ129,"=1",SmtRes!DH124:'SmtRes'!DH129)</f>
        <v>0.88</v>
      </c>
      <c r="S99" s="2">
        <f>SUMIF(SmtRes!AQ124:'SmtRes'!AQ129,"=1",SmtRes!DI124:'SmtRes'!DI129)</f>
        <v>3766.04</v>
      </c>
      <c r="T99" s="2">
        <f t="shared" si="51"/>
        <v>0</v>
      </c>
      <c r="U99" s="2">
        <f>SUMIF(SmtRes!AQ124:'SmtRes'!AQ129,"=1",SmtRes!CV124:'SmtRes'!CV129)</f>
        <v>8.7560000000000002</v>
      </c>
      <c r="V99" s="2">
        <f>SUMIF(SmtRes!AQ124:'SmtRes'!AQ129,"=1",SmtRes!CW124:'SmtRes'!CW129)</f>
        <v>2.2000000000000001E-3</v>
      </c>
      <c r="W99" s="2">
        <f t="shared" si="52"/>
        <v>0</v>
      </c>
      <c r="X99" s="2">
        <f t="shared" si="53"/>
        <v>4407.3</v>
      </c>
      <c r="Y99" s="2">
        <f t="shared" si="54"/>
        <v>2787.52</v>
      </c>
      <c r="Z99" s="2"/>
      <c r="AA99" s="2">
        <v>73953415</v>
      </c>
      <c r="AB99" s="2">
        <f t="shared" si="55"/>
        <v>17147.542000000001</v>
      </c>
      <c r="AC99" s="2">
        <f>ROUND((SUM(SmtRes!BQ124:'SmtRes'!BQ129)),6)</f>
        <v>4.7134999999999998</v>
      </c>
      <c r="AD99" s="2">
        <f>ROUND((((SUM(SmtRes!BR124:'SmtRes'!BR129))-(SUM(SmtRes!BS124:'SmtRes'!BS129)))+AE99),6)</f>
        <v>24.450500000000002</v>
      </c>
      <c r="AE99" s="2">
        <f>ROUND((SUM(SmtRes!BS124:'SmtRes'!BS129)),6)</f>
        <v>4.0023999999999997</v>
      </c>
      <c r="AF99" s="2">
        <f>ROUND((SUM(SmtRes!BT124:'SmtRes'!BT129)),6)</f>
        <v>17118.378000000001</v>
      </c>
      <c r="AG99" s="2">
        <f t="shared" si="56"/>
        <v>0</v>
      </c>
      <c r="AH99" s="2">
        <f>(SUM(SmtRes!BU124:'SmtRes'!BU129))</f>
        <v>39.799999999999997</v>
      </c>
      <c r="AI99" s="2">
        <f>(SUM(SmtRes!BV124:'SmtRes'!BV129))</f>
        <v>0.01</v>
      </c>
      <c r="AJ99" s="2">
        <f t="shared" si="57"/>
        <v>0</v>
      </c>
      <c r="AK99" s="2">
        <v>17151.544399999999</v>
      </c>
      <c r="AL99" s="2">
        <v>4.7134999999999998</v>
      </c>
      <c r="AM99" s="2">
        <v>24.450500000000002</v>
      </c>
      <c r="AN99" s="2">
        <v>4.0023999999999997</v>
      </c>
      <c r="AO99" s="2">
        <v>17118.377999999997</v>
      </c>
      <c r="AP99" s="2">
        <v>0</v>
      </c>
      <c r="AQ99" s="2">
        <v>39.799999999999997</v>
      </c>
      <c r="AR99" s="2">
        <v>0.01</v>
      </c>
      <c r="AS99" s="2">
        <v>0</v>
      </c>
      <c r="AT99" s="2">
        <v>117</v>
      </c>
      <c r="AU99" s="2">
        <v>74</v>
      </c>
      <c r="AV99" s="2">
        <v>1</v>
      </c>
      <c r="AW99" s="2">
        <v>1</v>
      </c>
      <c r="AX99" s="2"/>
      <c r="AY99" s="2"/>
      <c r="AZ99" s="2">
        <v>1</v>
      </c>
      <c r="BA99" s="2">
        <v>1</v>
      </c>
      <c r="BB99" s="2">
        <v>1</v>
      </c>
      <c r="BC99" s="2">
        <v>1</v>
      </c>
      <c r="BD99" s="2" t="s">
        <v>3</v>
      </c>
      <c r="BE99" s="2" t="s">
        <v>3</v>
      </c>
      <c r="BF99" s="2" t="s">
        <v>3</v>
      </c>
      <c r="BG99" s="2" t="s">
        <v>3</v>
      </c>
      <c r="BH99" s="2">
        <v>0</v>
      </c>
      <c r="BI99" s="2">
        <v>1</v>
      </c>
      <c r="BJ99" s="2" t="s">
        <v>262</v>
      </c>
      <c r="BK99" s="2"/>
      <c r="BL99" s="2"/>
      <c r="BM99" s="2">
        <v>24001</v>
      </c>
      <c r="BN99" s="2">
        <v>0</v>
      </c>
      <c r="BO99" s="2" t="s">
        <v>3</v>
      </c>
      <c r="BP99" s="2">
        <v>0</v>
      </c>
      <c r="BQ99" s="2">
        <v>2</v>
      </c>
      <c r="BR99" s="2">
        <v>0</v>
      </c>
      <c r="BS99" s="2">
        <v>1</v>
      </c>
      <c r="BT99" s="2">
        <v>1</v>
      </c>
      <c r="BU99" s="2">
        <v>1</v>
      </c>
      <c r="BV99" s="2">
        <v>1</v>
      </c>
      <c r="BW99" s="2">
        <v>1</v>
      </c>
      <c r="BX99" s="2">
        <v>1</v>
      </c>
      <c r="BY99" s="2" t="s">
        <v>3</v>
      </c>
      <c r="BZ99" s="2">
        <v>117</v>
      </c>
      <c r="CA99" s="2">
        <v>74</v>
      </c>
      <c r="CB99" s="2" t="s">
        <v>3</v>
      </c>
      <c r="CC99" s="2"/>
      <c r="CD99" s="2"/>
      <c r="CE99" s="2">
        <v>0</v>
      </c>
      <c r="CF99" s="2">
        <v>0</v>
      </c>
      <c r="CG99" s="2">
        <v>0</v>
      </c>
      <c r="CH99" s="2"/>
      <c r="CI99" s="2"/>
      <c r="CJ99" s="2"/>
      <c r="CK99" s="2"/>
      <c r="CL99" s="2"/>
      <c r="CM99" s="2">
        <v>0</v>
      </c>
      <c r="CN99" s="2" t="s">
        <v>3</v>
      </c>
      <c r="CO99" s="2">
        <v>0</v>
      </c>
      <c r="CP99" s="2">
        <f t="shared" si="72"/>
        <v>3777.38</v>
      </c>
      <c r="CQ99" s="2">
        <f>SUMIF(SmtRes!AQ124:'SmtRes'!AQ129,"=1",SmtRes!AA124:'SmtRes'!AA129)</f>
        <v>145.67000000000002</v>
      </c>
      <c r="CR99" s="2">
        <f>SUMIF(SmtRes!AQ124:'SmtRes'!AQ129,"=1",SmtRes!AB124:'SmtRes'!AB129)</f>
        <v>4327.74</v>
      </c>
      <c r="CS99" s="2">
        <f>SUMIF(SmtRes!AQ124:'SmtRes'!AQ129,"=1",SmtRes!AC124:'SmtRes'!AC129)</f>
        <v>400.24</v>
      </c>
      <c r="CT99" s="2">
        <f>SUMIF(SmtRes!AQ124:'SmtRes'!AQ129,"=1",SmtRes!AD124:'SmtRes'!AD129)</f>
        <v>860.22</v>
      </c>
      <c r="CU99" s="2">
        <f t="shared" si="74"/>
        <v>0</v>
      </c>
      <c r="CV99" s="2">
        <f>SUMIF(SmtRes!AQ124:'SmtRes'!AQ129,"=1",SmtRes!BU124:'SmtRes'!BU129)</f>
        <v>39.799999999999997</v>
      </c>
      <c r="CW99" s="2">
        <f>SUMIF(SmtRes!AQ124:'SmtRes'!AQ129,"=1",SmtRes!BV124:'SmtRes'!BV129)</f>
        <v>0.01</v>
      </c>
      <c r="CX99" s="2">
        <f t="shared" si="75"/>
        <v>0</v>
      </c>
      <c r="CY99" s="2">
        <f t="shared" si="76"/>
        <v>4407.2964000000002</v>
      </c>
      <c r="CZ99" s="2">
        <f t="shared" si="77"/>
        <v>2787.5208000000002</v>
      </c>
      <c r="DA99" s="2"/>
      <c r="DB99" s="2"/>
      <c r="DC99" s="2" t="s">
        <v>3</v>
      </c>
      <c r="DD99" s="2" t="s">
        <v>3</v>
      </c>
      <c r="DE99" s="2" t="s">
        <v>3</v>
      </c>
      <c r="DF99" s="2" t="s">
        <v>3</v>
      </c>
      <c r="DG99" s="2" t="s">
        <v>3</v>
      </c>
      <c r="DH99" s="2" t="s">
        <v>3</v>
      </c>
      <c r="DI99" s="2" t="s">
        <v>3</v>
      </c>
      <c r="DJ99" s="2" t="s">
        <v>3</v>
      </c>
      <c r="DK99" s="2" t="s">
        <v>3</v>
      </c>
      <c r="DL99" s="2" t="s">
        <v>3</v>
      </c>
      <c r="DM99" s="2" t="s">
        <v>3</v>
      </c>
      <c r="DN99" s="2">
        <v>0</v>
      </c>
      <c r="DO99" s="2">
        <v>0</v>
      </c>
      <c r="DP99" s="2">
        <v>1</v>
      </c>
      <c r="DQ99" s="2">
        <v>1</v>
      </c>
      <c r="DR99" s="2"/>
      <c r="DS99" s="2"/>
      <c r="DT99" s="2"/>
      <c r="DU99" s="2">
        <v>1003</v>
      </c>
      <c r="DV99" s="2" t="s">
        <v>261</v>
      </c>
      <c r="DW99" s="2" t="s">
        <v>261</v>
      </c>
      <c r="DX99" s="2">
        <v>1000</v>
      </c>
      <c r="DY99" s="2"/>
      <c r="DZ99" s="2" t="s">
        <v>3</v>
      </c>
      <c r="EA99" s="2" t="s">
        <v>3</v>
      </c>
      <c r="EB99" s="2" t="s">
        <v>3</v>
      </c>
      <c r="EC99" s="2" t="s">
        <v>3</v>
      </c>
      <c r="ED99" s="2"/>
      <c r="EE99" s="2">
        <v>72340632</v>
      </c>
      <c r="EF99" s="2">
        <v>2</v>
      </c>
      <c r="EG99" s="2" t="s">
        <v>23</v>
      </c>
      <c r="EH99" s="2">
        <v>18</v>
      </c>
      <c r="EI99" s="2" t="s">
        <v>41</v>
      </c>
      <c r="EJ99" s="2">
        <v>1</v>
      </c>
      <c r="EK99" s="2">
        <v>24001</v>
      </c>
      <c r="EL99" s="2" t="s">
        <v>41</v>
      </c>
      <c r="EM99" s="2" t="s">
        <v>118</v>
      </c>
      <c r="EN99" s="2"/>
      <c r="EO99" s="2" t="s">
        <v>3</v>
      </c>
      <c r="EP99" s="2"/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39.799999999999997</v>
      </c>
      <c r="EX99" s="2">
        <v>0.01</v>
      </c>
      <c r="EY99" s="2">
        <v>0</v>
      </c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>
        <v>0</v>
      </c>
      <c r="FR99" s="2">
        <v>0</v>
      </c>
      <c r="FS99" s="2">
        <v>0</v>
      </c>
      <c r="FT99" s="2"/>
      <c r="FU99" s="2"/>
      <c r="FV99" s="2"/>
      <c r="FW99" s="2"/>
      <c r="FX99" s="2">
        <v>117</v>
      </c>
      <c r="FY99" s="2">
        <v>74</v>
      </c>
      <c r="FZ99" s="2"/>
      <c r="GA99" s="2" t="s">
        <v>3</v>
      </c>
      <c r="GB99" s="2"/>
      <c r="GC99" s="2"/>
      <c r="GD99" s="2">
        <v>1</v>
      </c>
      <c r="GE99" s="2"/>
      <c r="GF99" s="2">
        <v>-714333159</v>
      </c>
      <c r="GG99" s="2">
        <v>2</v>
      </c>
      <c r="GH99" s="2">
        <v>1</v>
      </c>
      <c r="GI99" s="2">
        <v>-2</v>
      </c>
      <c r="GJ99" s="2">
        <v>0</v>
      </c>
      <c r="GK99" s="2">
        <v>0</v>
      </c>
      <c r="GL99" s="2">
        <f t="shared" si="61"/>
        <v>0</v>
      </c>
      <c r="GM99" s="2">
        <f t="shared" si="62"/>
        <v>10972.2</v>
      </c>
      <c r="GN99" s="2">
        <f t="shared" si="63"/>
        <v>10972.2</v>
      </c>
      <c r="GO99" s="2">
        <f t="shared" si="64"/>
        <v>0</v>
      </c>
      <c r="GP99" s="2">
        <f t="shared" si="65"/>
        <v>0</v>
      </c>
      <c r="GQ99" s="2"/>
      <c r="GR99" s="2">
        <v>0</v>
      </c>
      <c r="GS99" s="2">
        <v>3</v>
      </c>
      <c r="GT99" s="2">
        <v>0</v>
      </c>
      <c r="GU99" s="2" t="s">
        <v>3</v>
      </c>
      <c r="GV99" s="2">
        <f t="shared" si="66"/>
        <v>0</v>
      </c>
      <c r="GW99" s="2">
        <v>1</v>
      </c>
      <c r="GX99" s="2">
        <f t="shared" si="67"/>
        <v>0</v>
      </c>
      <c r="GY99" s="2"/>
      <c r="GZ99" s="2"/>
      <c r="HA99" s="2">
        <v>0</v>
      </c>
      <c r="HB99" s="2">
        <v>0</v>
      </c>
      <c r="HC99" s="2">
        <f t="shared" si="73"/>
        <v>0</v>
      </c>
      <c r="HD99" s="2"/>
      <c r="HE99" s="2" t="s">
        <v>3</v>
      </c>
      <c r="HF99" s="2" t="s">
        <v>3</v>
      </c>
      <c r="HG99" s="2"/>
      <c r="HH99" s="2"/>
      <c r="HI99" s="2"/>
      <c r="HJ99" s="2"/>
      <c r="HK99" s="2"/>
      <c r="HL99" s="2"/>
      <c r="HM99" s="2" t="s">
        <v>3</v>
      </c>
      <c r="HN99" s="2" t="s">
        <v>43</v>
      </c>
      <c r="HO99" s="2" t="s">
        <v>44</v>
      </c>
      <c r="HP99" s="2" t="s">
        <v>41</v>
      </c>
      <c r="HQ99" s="2" t="s">
        <v>41</v>
      </c>
      <c r="HR99" s="2"/>
      <c r="HS99" s="2">
        <v>0</v>
      </c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>
        <v>0</v>
      </c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 x14ac:dyDescent="0.2">
      <c r="A100" s="2">
        <v>17</v>
      </c>
      <c r="B100" s="2">
        <v>1</v>
      </c>
      <c r="C100" s="2">
        <f>ROW(SmtRes!A133)</f>
        <v>133</v>
      </c>
      <c r="D100" s="2">
        <f>ROW(EtalonRes!A145)</f>
        <v>145</v>
      </c>
      <c r="E100" s="2" t="s">
        <v>263</v>
      </c>
      <c r="F100" s="2" t="s">
        <v>264</v>
      </c>
      <c r="G100" s="2" t="s">
        <v>265</v>
      </c>
      <c r="H100" s="2" t="s">
        <v>266</v>
      </c>
      <c r="I100" s="2">
        <v>1</v>
      </c>
      <c r="J100" s="2">
        <v>0</v>
      </c>
      <c r="K100" s="2">
        <v>1</v>
      </c>
      <c r="L100" s="2"/>
      <c r="M100" s="2"/>
      <c r="N100" s="2"/>
      <c r="O100" s="2">
        <f t="shared" si="71"/>
        <v>17298.45</v>
      </c>
      <c r="P100" s="2">
        <f>SUMIF(SmtRes!AQ130:'SmtRes'!AQ133,"=1",SmtRes!DF130:'SmtRes'!DF133)</f>
        <v>0</v>
      </c>
      <c r="Q100" s="2">
        <f>SUMIF(SmtRes!AQ130:'SmtRes'!AQ133,"=1",SmtRes!DG130:'SmtRes'!DG133)</f>
        <v>7388.02</v>
      </c>
      <c r="R100" s="2">
        <f>SUMIF(SmtRes!AQ130:'SmtRes'!AQ133,"=1",SmtRes!DH130:'SmtRes'!DH133)</f>
        <v>4307.07</v>
      </c>
      <c r="S100" s="2">
        <f>SUMIF(SmtRes!AQ130:'SmtRes'!AQ133,"=1",SmtRes!DI130:'SmtRes'!DI133)</f>
        <v>5603.36</v>
      </c>
      <c r="T100" s="2">
        <f t="shared" si="51"/>
        <v>0</v>
      </c>
      <c r="U100" s="2">
        <f>SUMIF(SmtRes!AQ130:'SmtRes'!AQ133,"=1",SmtRes!CV130:'SmtRes'!CV133)</f>
        <v>14</v>
      </c>
      <c r="V100" s="2">
        <f>SUMIF(SmtRes!AQ130:'SmtRes'!AQ133,"=1",SmtRes!CW130:'SmtRes'!CW133)</f>
        <v>9.8000000000000007</v>
      </c>
      <c r="W100" s="2">
        <f t="shared" si="52"/>
        <v>0</v>
      </c>
      <c r="X100" s="2">
        <f t="shared" si="53"/>
        <v>11595.2</v>
      </c>
      <c r="Y100" s="2">
        <f t="shared" si="54"/>
        <v>7333.72</v>
      </c>
      <c r="Z100" s="2"/>
      <c r="AA100" s="2">
        <v>73953415</v>
      </c>
      <c r="AB100" s="2">
        <f t="shared" si="55"/>
        <v>11521.972</v>
      </c>
      <c r="AC100" s="2">
        <f>ROUND((0),6)</f>
        <v>0</v>
      </c>
      <c r="AD100" s="2">
        <f>ROUND((((SUM(SmtRes!BR130:'SmtRes'!BR133))-(SUM(SmtRes!BS130:'SmtRes'!BS133)))+AE100),6)</f>
        <v>5918.6120000000001</v>
      </c>
      <c r="AE100" s="2">
        <f>ROUND((SUM(SmtRes!BS130:'SmtRes'!BS133)),6)</f>
        <v>4307.0720000000001</v>
      </c>
      <c r="AF100" s="2">
        <f>ROUND((SUM(SmtRes!BT130:'SmtRes'!BT133)),6)</f>
        <v>5603.36</v>
      </c>
      <c r="AG100" s="2">
        <f t="shared" si="56"/>
        <v>0</v>
      </c>
      <c r="AH100" s="2">
        <f>(SUM(SmtRes!BU130:'SmtRes'!BU133))</f>
        <v>14</v>
      </c>
      <c r="AI100" s="2">
        <f>(SUM(SmtRes!BV130:'SmtRes'!BV133))</f>
        <v>9.8000000000000007</v>
      </c>
      <c r="AJ100" s="2">
        <f t="shared" si="57"/>
        <v>0</v>
      </c>
      <c r="AK100" s="2">
        <v>15829.044000000002</v>
      </c>
      <c r="AL100" s="2">
        <v>0</v>
      </c>
      <c r="AM100" s="2">
        <v>5918.6120000000001</v>
      </c>
      <c r="AN100" s="2">
        <v>4307.0720000000001</v>
      </c>
      <c r="AO100" s="2">
        <v>5603.3600000000006</v>
      </c>
      <c r="AP100" s="2">
        <v>0</v>
      </c>
      <c r="AQ100" s="2">
        <v>14</v>
      </c>
      <c r="AR100" s="2">
        <v>9.8000000000000007</v>
      </c>
      <c r="AS100" s="2">
        <v>0</v>
      </c>
      <c r="AT100" s="2">
        <v>117</v>
      </c>
      <c r="AU100" s="2">
        <v>74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0</v>
      </c>
      <c r="BI100" s="2">
        <v>1</v>
      </c>
      <c r="BJ100" s="2" t="s">
        <v>267</v>
      </c>
      <c r="BK100" s="2"/>
      <c r="BL100" s="2"/>
      <c r="BM100" s="2">
        <v>24001</v>
      </c>
      <c r="BN100" s="2">
        <v>0</v>
      </c>
      <c r="BO100" s="2" t="s">
        <v>3</v>
      </c>
      <c r="BP100" s="2">
        <v>0</v>
      </c>
      <c r="BQ100" s="2">
        <v>2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117</v>
      </c>
      <c r="CA100" s="2">
        <v>74</v>
      </c>
      <c r="CB100" s="2" t="s">
        <v>3</v>
      </c>
      <c r="CC100" s="2"/>
      <c r="CD100" s="2"/>
      <c r="CE100" s="2">
        <v>0</v>
      </c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2" t="s">
        <v>3</v>
      </c>
      <c r="CO100" s="2">
        <v>0</v>
      </c>
      <c r="CP100" s="2">
        <f t="shared" si="72"/>
        <v>17298.45</v>
      </c>
      <c r="CQ100" s="2">
        <f>SUMIF(SmtRes!AQ130:'SmtRes'!AQ133,"=1",SmtRes!AA130:'SmtRes'!AA133)</f>
        <v>0</v>
      </c>
      <c r="CR100" s="2">
        <f>SUMIF(SmtRes!AQ130:'SmtRes'!AQ133,"=1",SmtRes!AB130:'SmtRes'!AB133)</f>
        <v>2012.9</v>
      </c>
      <c r="CS100" s="2">
        <f>SUMIF(SmtRes!AQ130:'SmtRes'!AQ133,"=1",SmtRes!AC130:'SmtRes'!AC133)</f>
        <v>937.88</v>
      </c>
      <c r="CT100" s="2">
        <f>SUMIF(SmtRes!AQ130:'SmtRes'!AQ133,"=1",SmtRes!AD130:'SmtRes'!AD133)</f>
        <v>400.24</v>
      </c>
      <c r="CU100" s="2">
        <f t="shared" si="74"/>
        <v>0</v>
      </c>
      <c r="CV100" s="2">
        <f>SUMIF(SmtRes!AQ130:'SmtRes'!AQ133,"=1",SmtRes!BU130:'SmtRes'!BU133)</f>
        <v>14</v>
      </c>
      <c r="CW100" s="2">
        <f>SUMIF(SmtRes!AQ130:'SmtRes'!AQ133,"=1",SmtRes!BV130:'SmtRes'!BV133)</f>
        <v>9.8000000000000007</v>
      </c>
      <c r="CX100" s="2">
        <f t="shared" si="75"/>
        <v>0</v>
      </c>
      <c r="CY100" s="2">
        <f t="shared" si="76"/>
        <v>11595.203100000001</v>
      </c>
      <c r="CZ100" s="2">
        <f t="shared" si="77"/>
        <v>7333.7182000000003</v>
      </c>
      <c r="DA100" s="2"/>
      <c r="DB100" s="2"/>
      <c r="DC100" s="2" t="s">
        <v>3</v>
      </c>
      <c r="DD100" s="2" t="s">
        <v>3</v>
      </c>
      <c r="DE100" s="2" t="s">
        <v>3</v>
      </c>
      <c r="DF100" s="2" t="s">
        <v>3</v>
      </c>
      <c r="DG100" s="2" t="s">
        <v>3</v>
      </c>
      <c r="DH100" s="2" t="s">
        <v>3</v>
      </c>
      <c r="DI100" s="2" t="s">
        <v>3</v>
      </c>
      <c r="DJ100" s="2" t="s">
        <v>3</v>
      </c>
      <c r="DK100" s="2" t="s">
        <v>3</v>
      </c>
      <c r="DL100" s="2" t="s">
        <v>3</v>
      </c>
      <c r="DM100" s="2" t="s">
        <v>3</v>
      </c>
      <c r="DN100" s="2">
        <v>0</v>
      </c>
      <c r="DO100" s="2">
        <v>0</v>
      </c>
      <c r="DP100" s="2">
        <v>1</v>
      </c>
      <c r="DQ100" s="2">
        <v>1</v>
      </c>
      <c r="DR100" s="2"/>
      <c r="DS100" s="2"/>
      <c r="DT100" s="2"/>
      <c r="DU100" s="2">
        <v>1013</v>
      </c>
      <c r="DV100" s="2" t="s">
        <v>266</v>
      </c>
      <c r="DW100" s="2" t="s">
        <v>266</v>
      </c>
      <c r="DX100" s="2">
        <v>1</v>
      </c>
      <c r="DY100" s="2"/>
      <c r="DZ100" s="2" t="s">
        <v>3</v>
      </c>
      <c r="EA100" s="2" t="s">
        <v>3</v>
      </c>
      <c r="EB100" s="2" t="s">
        <v>3</v>
      </c>
      <c r="EC100" s="2" t="s">
        <v>3</v>
      </c>
      <c r="ED100" s="2"/>
      <c r="EE100" s="2">
        <v>72340632</v>
      </c>
      <c r="EF100" s="2">
        <v>2</v>
      </c>
      <c r="EG100" s="2" t="s">
        <v>23</v>
      </c>
      <c r="EH100" s="2">
        <v>18</v>
      </c>
      <c r="EI100" s="2" t="s">
        <v>41</v>
      </c>
      <c r="EJ100" s="2">
        <v>1</v>
      </c>
      <c r="EK100" s="2">
        <v>24001</v>
      </c>
      <c r="EL100" s="2" t="s">
        <v>41</v>
      </c>
      <c r="EM100" s="2" t="s">
        <v>118</v>
      </c>
      <c r="EN100" s="2"/>
      <c r="EO100" s="2" t="s">
        <v>3</v>
      </c>
      <c r="EP100" s="2"/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14</v>
      </c>
      <c r="EX100" s="2">
        <v>9.8000000000000007</v>
      </c>
      <c r="EY100" s="2">
        <v>0</v>
      </c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v>0</v>
      </c>
      <c r="FS100" s="2">
        <v>0</v>
      </c>
      <c r="FT100" s="2"/>
      <c r="FU100" s="2"/>
      <c r="FV100" s="2"/>
      <c r="FW100" s="2"/>
      <c r="FX100" s="2">
        <v>117</v>
      </c>
      <c r="FY100" s="2">
        <v>74</v>
      </c>
      <c r="FZ100" s="2"/>
      <c r="GA100" s="2" t="s">
        <v>3</v>
      </c>
      <c r="GB100" s="2"/>
      <c r="GC100" s="2"/>
      <c r="GD100" s="2">
        <v>1</v>
      </c>
      <c r="GE100" s="2"/>
      <c r="GF100" s="2">
        <v>-884602627</v>
      </c>
      <c r="GG100" s="2">
        <v>2</v>
      </c>
      <c r="GH100" s="2">
        <v>1</v>
      </c>
      <c r="GI100" s="2">
        <v>-2</v>
      </c>
      <c r="GJ100" s="2">
        <v>0</v>
      </c>
      <c r="GK100" s="2">
        <v>0</v>
      </c>
      <c r="GL100" s="2">
        <f t="shared" si="61"/>
        <v>0</v>
      </c>
      <c r="GM100" s="2">
        <f t="shared" si="62"/>
        <v>36227.370000000003</v>
      </c>
      <c r="GN100" s="2">
        <f t="shared" si="63"/>
        <v>36227.370000000003</v>
      </c>
      <c r="GO100" s="2">
        <f t="shared" si="64"/>
        <v>0</v>
      </c>
      <c r="GP100" s="2">
        <f t="shared" si="65"/>
        <v>0</v>
      </c>
      <c r="GQ100" s="2"/>
      <c r="GR100" s="2">
        <v>0</v>
      </c>
      <c r="GS100" s="2">
        <v>0</v>
      </c>
      <c r="GT100" s="2">
        <v>0</v>
      </c>
      <c r="GU100" s="2" t="s">
        <v>3</v>
      </c>
      <c r="GV100" s="2">
        <f t="shared" si="66"/>
        <v>0</v>
      </c>
      <c r="GW100" s="2">
        <v>1</v>
      </c>
      <c r="GX100" s="2">
        <f t="shared" si="67"/>
        <v>0</v>
      </c>
      <c r="GY100" s="2"/>
      <c r="GZ100" s="2"/>
      <c r="HA100" s="2">
        <v>0</v>
      </c>
      <c r="HB100" s="2">
        <v>0</v>
      </c>
      <c r="HC100" s="2">
        <f t="shared" si="73"/>
        <v>0</v>
      </c>
      <c r="HD100" s="2"/>
      <c r="HE100" s="2" t="s">
        <v>3</v>
      </c>
      <c r="HF100" s="2" t="s">
        <v>3</v>
      </c>
      <c r="HG100" s="2"/>
      <c r="HH100" s="2"/>
      <c r="HI100" s="2"/>
      <c r="HJ100" s="2"/>
      <c r="HK100" s="2"/>
      <c r="HL100" s="2"/>
      <c r="HM100" s="2" t="s">
        <v>3</v>
      </c>
      <c r="HN100" s="2" t="s">
        <v>43</v>
      </c>
      <c r="HO100" s="2" t="s">
        <v>44</v>
      </c>
      <c r="HP100" s="2" t="s">
        <v>41</v>
      </c>
      <c r="HQ100" s="2" t="s">
        <v>41</v>
      </c>
      <c r="HR100" s="2"/>
      <c r="HS100" s="2">
        <v>0</v>
      </c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2" spans="1:255" x14ac:dyDescent="0.2">
      <c r="A102" s="3">
        <v>51</v>
      </c>
      <c r="B102" s="3">
        <f>B65</f>
        <v>1</v>
      </c>
      <c r="C102" s="3">
        <f>A65</f>
        <v>4</v>
      </c>
      <c r="D102" s="3">
        <f>ROW(A65)</f>
        <v>65</v>
      </c>
      <c r="E102" s="3"/>
      <c r="F102" s="3" t="str">
        <f>IF(F65&lt;&gt;"",F65,"")</f>
        <v>Новый раздел</v>
      </c>
      <c r="G102" s="3" t="str">
        <f>IF(G65&lt;&gt;"",G65,"")</f>
        <v>Укладка трубы</v>
      </c>
      <c r="H102" s="3">
        <v>0</v>
      </c>
      <c r="I102" s="3"/>
      <c r="J102" s="3"/>
      <c r="K102" s="3"/>
      <c r="L102" s="3"/>
      <c r="M102" s="3"/>
      <c r="N102" s="3"/>
      <c r="O102" s="3">
        <f t="shared" ref="O102:T102" si="78">ROUND(AB102,2)</f>
        <v>218236.65</v>
      </c>
      <c r="P102" s="3">
        <f t="shared" si="78"/>
        <v>162585.26999999999</v>
      </c>
      <c r="Q102" s="3">
        <f t="shared" si="78"/>
        <v>18701.68</v>
      </c>
      <c r="R102" s="3">
        <f t="shared" si="78"/>
        <v>7704.35</v>
      </c>
      <c r="S102" s="3">
        <f t="shared" si="78"/>
        <v>29245.35</v>
      </c>
      <c r="T102" s="3">
        <f t="shared" si="78"/>
        <v>0</v>
      </c>
      <c r="U102" s="3">
        <f>AH102</f>
        <v>71.873799999999989</v>
      </c>
      <c r="V102" s="3">
        <f>AI102</f>
        <v>17.130132400000001</v>
      </c>
      <c r="W102" s="3">
        <f>ROUND(AJ102,2)</f>
        <v>0</v>
      </c>
      <c r="X102" s="3">
        <f>ROUND(AK102,2)</f>
        <v>42909.72</v>
      </c>
      <c r="Y102" s="3">
        <f>ROUND(AL102,2)</f>
        <v>26111.56</v>
      </c>
      <c r="Z102" s="3"/>
      <c r="AA102" s="3"/>
      <c r="AB102" s="3">
        <f>ROUND(SUMIF(AA69:AA100,"=73953415",O69:O100),2)</f>
        <v>218236.65</v>
      </c>
      <c r="AC102" s="3">
        <f>ROUND(SUMIF(AA69:AA100,"=73953415",P69:P100),2)</f>
        <v>162585.26999999999</v>
      </c>
      <c r="AD102" s="3">
        <f>ROUND(SUMIF(AA69:AA100,"=73953415",Q69:Q100),2)</f>
        <v>18701.68</v>
      </c>
      <c r="AE102" s="3">
        <f>ROUND(SUMIF(AA69:AA100,"=73953415",R69:R100),2)</f>
        <v>7704.35</v>
      </c>
      <c r="AF102" s="3">
        <f>ROUND(SUMIF(AA69:AA100,"=73953415",S69:S100),2)</f>
        <v>29245.35</v>
      </c>
      <c r="AG102" s="3">
        <f>ROUND(SUMIF(AA69:AA100,"=73953415",T69:T100),2)</f>
        <v>0</v>
      </c>
      <c r="AH102" s="3">
        <f>SUMIF(AA69:AA100,"=73953415",U69:U100)</f>
        <v>71.873799999999989</v>
      </c>
      <c r="AI102" s="3">
        <f>SUMIF(AA69:AA100,"=73953415",V69:V100)</f>
        <v>17.130132400000001</v>
      </c>
      <c r="AJ102" s="3">
        <f>ROUND(SUMIF(AA69:AA100,"=73953415",W69:W100),2)</f>
        <v>0</v>
      </c>
      <c r="AK102" s="3">
        <f>ROUND(SUMIF(AA69:AA100,"=73953415",X69:X100),2)</f>
        <v>42909.72</v>
      </c>
      <c r="AL102" s="3">
        <f>ROUND(SUMIF(AA69:AA100,"=73953415",Y69:Y100),2)</f>
        <v>26111.56</v>
      </c>
      <c r="AM102" s="3"/>
      <c r="AN102" s="3"/>
      <c r="AO102" s="3">
        <f t="shared" ref="AO102:BD102" si="79">ROUND(BX102,2)</f>
        <v>0</v>
      </c>
      <c r="AP102" s="3">
        <f t="shared" si="79"/>
        <v>0</v>
      </c>
      <c r="AQ102" s="3">
        <f t="shared" si="79"/>
        <v>0</v>
      </c>
      <c r="AR102" s="3">
        <f t="shared" si="79"/>
        <v>287257.93</v>
      </c>
      <c r="AS102" s="3">
        <f t="shared" si="79"/>
        <v>255914.2</v>
      </c>
      <c r="AT102" s="3">
        <f t="shared" si="79"/>
        <v>31343.73</v>
      </c>
      <c r="AU102" s="3">
        <f t="shared" si="79"/>
        <v>0</v>
      </c>
      <c r="AV102" s="3">
        <f t="shared" si="79"/>
        <v>162585.26999999999</v>
      </c>
      <c r="AW102" s="3">
        <f t="shared" si="79"/>
        <v>162585.26999999999</v>
      </c>
      <c r="AX102" s="3">
        <f t="shared" si="79"/>
        <v>0</v>
      </c>
      <c r="AY102" s="3">
        <f t="shared" si="79"/>
        <v>162585.26999999999</v>
      </c>
      <c r="AZ102" s="3">
        <f t="shared" si="79"/>
        <v>0</v>
      </c>
      <c r="BA102" s="3">
        <f t="shared" si="79"/>
        <v>0</v>
      </c>
      <c r="BB102" s="3">
        <f t="shared" si="79"/>
        <v>0</v>
      </c>
      <c r="BC102" s="3">
        <f t="shared" si="79"/>
        <v>0</v>
      </c>
      <c r="BD102" s="3">
        <f t="shared" si="79"/>
        <v>0</v>
      </c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>
        <f>ROUND(SUMIF(AA69:AA100,"=73953415",FQ69:FQ100),2)</f>
        <v>0</v>
      </c>
      <c r="BY102" s="3">
        <f>ROUND(SUMIF(AA69:AA100,"=73953415",FR69:FR100),2)</f>
        <v>0</v>
      </c>
      <c r="BZ102" s="3">
        <f>ROUND(SUMIF(AA69:AA100,"=73953415",GL69:GL100),2)</f>
        <v>0</v>
      </c>
      <c r="CA102" s="3">
        <f>ROUND(SUMIF(AA69:AA100,"=73953415",GM69:GM100),2)</f>
        <v>287257.93</v>
      </c>
      <c r="CB102" s="3">
        <f>ROUND(SUMIF(AA69:AA100,"=73953415",GN69:GN100),2)</f>
        <v>255914.2</v>
      </c>
      <c r="CC102" s="3">
        <f>ROUND(SUMIF(AA69:AA100,"=73953415",GO69:GO100),2)</f>
        <v>31343.73</v>
      </c>
      <c r="CD102" s="3">
        <f>ROUND(SUMIF(AA69:AA100,"=73953415",GP69:GP100),2)</f>
        <v>0</v>
      </c>
      <c r="CE102" s="3">
        <f>AC102-BX102</f>
        <v>162585.26999999999</v>
      </c>
      <c r="CF102" s="3">
        <f>AC102-BY102</f>
        <v>162585.26999999999</v>
      </c>
      <c r="CG102" s="3">
        <f>BX102-BZ102</f>
        <v>0</v>
      </c>
      <c r="CH102" s="3">
        <f>AC102-BX102-BY102+BZ102</f>
        <v>162585.26999999999</v>
      </c>
      <c r="CI102" s="3">
        <f>BY102-BZ102</f>
        <v>0</v>
      </c>
      <c r="CJ102" s="3">
        <f>ROUND(SUMIF(AA69:AA100,"=73953415",GX69:GX100),2)</f>
        <v>0</v>
      </c>
      <c r="CK102" s="3">
        <f>ROUND(SUMIF(AA69:AA100,"=73953415",GY69:GY100),2)</f>
        <v>0</v>
      </c>
      <c r="CL102" s="3">
        <f>ROUND(SUMIF(AA69:AA100,"=73953415",GZ69:GZ100),2)</f>
        <v>0</v>
      </c>
      <c r="CM102" s="3">
        <f>ROUND(SUMIF(AA69:AA100,"=73953415",HD69:HD100),2)</f>
        <v>0</v>
      </c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>
        <v>0</v>
      </c>
    </row>
    <row r="104" spans="1:255" x14ac:dyDescent="0.2">
      <c r="A104" s="5">
        <v>50</v>
      </c>
      <c r="B104" s="5">
        <v>0</v>
      </c>
      <c r="C104" s="5">
        <v>0</v>
      </c>
      <c r="D104" s="5">
        <v>1</v>
      </c>
      <c r="E104" s="5">
        <v>201</v>
      </c>
      <c r="F104" s="5">
        <f>ROUND(Source!O102,O104)</f>
        <v>218236.65</v>
      </c>
      <c r="G104" s="5" t="s">
        <v>58</v>
      </c>
      <c r="H104" s="5" t="s">
        <v>59</v>
      </c>
      <c r="I104" s="5"/>
      <c r="J104" s="5"/>
      <c r="K104" s="5">
        <v>201</v>
      </c>
      <c r="L104" s="5">
        <v>1</v>
      </c>
      <c r="M104" s="5">
        <v>3</v>
      </c>
      <c r="N104" s="5" t="s">
        <v>3</v>
      </c>
      <c r="O104" s="5">
        <v>2</v>
      </c>
      <c r="P104" s="5"/>
      <c r="Q104" s="5"/>
      <c r="R104" s="5"/>
      <c r="S104" s="5"/>
      <c r="T104" s="5"/>
      <c r="U104" s="5"/>
      <c r="V104" s="5"/>
      <c r="W104" s="5">
        <v>218236.65</v>
      </c>
      <c r="X104" s="5">
        <v>1</v>
      </c>
      <c r="Y104" s="5">
        <v>218236.65</v>
      </c>
      <c r="Z104" s="5"/>
      <c r="AA104" s="5"/>
      <c r="AB104" s="5"/>
    </row>
    <row r="105" spans="1:255" x14ac:dyDescent="0.2">
      <c r="A105" s="5">
        <v>50</v>
      </c>
      <c r="B105" s="5">
        <v>0</v>
      </c>
      <c r="C105" s="5">
        <v>0</v>
      </c>
      <c r="D105" s="5">
        <v>1</v>
      </c>
      <c r="E105" s="5">
        <v>202</v>
      </c>
      <c r="F105" s="5">
        <f>ROUND(Source!P102,O105)</f>
        <v>162585.26999999999</v>
      </c>
      <c r="G105" s="5" t="s">
        <v>60</v>
      </c>
      <c r="H105" s="5" t="s">
        <v>61</v>
      </c>
      <c r="I105" s="5"/>
      <c r="J105" s="5"/>
      <c r="K105" s="5">
        <v>202</v>
      </c>
      <c r="L105" s="5">
        <v>2</v>
      </c>
      <c r="M105" s="5">
        <v>3</v>
      </c>
      <c r="N105" s="5" t="s">
        <v>3</v>
      </c>
      <c r="O105" s="5">
        <v>2</v>
      </c>
      <c r="P105" s="5"/>
      <c r="Q105" s="5"/>
      <c r="R105" s="5"/>
      <c r="S105" s="5"/>
      <c r="T105" s="5"/>
      <c r="U105" s="5"/>
      <c r="V105" s="5"/>
      <c r="W105" s="5">
        <v>162585.26999999999</v>
      </c>
      <c r="X105" s="5">
        <v>1</v>
      </c>
      <c r="Y105" s="5">
        <v>162585.26999999999</v>
      </c>
      <c r="Z105" s="5"/>
      <c r="AA105" s="5"/>
      <c r="AB105" s="5"/>
    </row>
    <row r="106" spans="1:255" x14ac:dyDescent="0.2">
      <c r="A106" s="5">
        <v>50</v>
      </c>
      <c r="B106" s="5">
        <v>0</v>
      </c>
      <c r="C106" s="5">
        <v>0</v>
      </c>
      <c r="D106" s="5">
        <v>1</v>
      </c>
      <c r="E106" s="5">
        <v>222</v>
      </c>
      <c r="F106" s="5">
        <f>ROUND(Source!AO102,O106)</f>
        <v>0</v>
      </c>
      <c r="G106" s="5" t="s">
        <v>62</v>
      </c>
      <c r="H106" s="5" t="s">
        <v>63</v>
      </c>
      <c r="I106" s="5"/>
      <c r="J106" s="5"/>
      <c r="K106" s="5">
        <v>222</v>
      </c>
      <c r="L106" s="5">
        <v>3</v>
      </c>
      <c r="M106" s="5">
        <v>3</v>
      </c>
      <c r="N106" s="5" t="s">
        <v>3</v>
      </c>
      <c r="O106" s="5">
        <v>2</v>
      </c>
      <c r="P106" s="5"/>
      <c r="Q106" s="5"/>
      <c r="R106" s="5"/>
      <c r="S106" s="5"/>
      <c r="T106" s="5"/>
      <c r="U106" s="5"/>
      <c r="V106" s="5"/>
      <c r="W106" s="5">
        <v>0</v>
      </c>
      <c r="X106" s="5">
        <v>1</v>
      </c>
      <c r="Y106" s="5">
        <v>0</v>
      </c>
      <c r="Z106" s="5"/>
      <c r="AA106" s="5"/>
      <c r="AB106" s="5"/>
    </row>
    <row r="107" spans="1:255" x14ac:dyDescent="0.2">
      <c r="A107" s="5">
        <v>50</v>
      </c>
      <c r="B107" s="5">
        <v>0</v>
      </c>
      <c r="C107" s="5">
        <v>0</v>
      </c>
      <c r="D107" s="5">
        <v>1</v>
      </c>
      <c r="E107" s="5">
        <v>225</v>
      </c>
      <c r="F107" s="5">
        <f>ROUND(Source!AV102,O107)</f>
        <v>162585.26999999999</v>
      </c>
      <c r="G107" s="5" t="s">
        <v>64</v>
      </c>
      <c r="H107" s="5" t="s">
        <v>65</v>
      </c>
      <c r="I107" s="5"/>
      <c r="J107" s="5"/>
      <c r="K107" s="5">
        <v>225</v>
      </c>
      <c r="L107" s="5">
        <v>4</v>
      </c>
      <c r="M107" s="5">
        <v>3</v>
      </c>
      <c r="N107" s="5" t="s">
        <v>3</v>
      </c>
      <c r="O107" s="5">
        <v>2</v>
      </c>
      <c r="P107" s="5"/>
      <c r="Q107" s="5"/>
      <c r="R107" s="5"/>
      <c r="S107" s="5"/>
      <c r="T107" s="5"/>
      <c r="U107" s="5"/>
      <c r="V107" s="5"/>
      <c r="W107" s="5">
        <v>162585.26999999999</v>
      </c>
      <c r="X107" s="5">
        <v>1</v>
      </c>
      <c r="Y107" s="5">
        <v>162585.26999999999</v>
      </c>
      <c r="Z107" s="5"/>
      <c r="AA107" s="5"/>
      <c r="AB107" s="5"/>
    </row>
    <row r="108" spans="1:255" x14ac:dyDescent="0.2">
      <c r="A108" s="5">
        <v>50</v>
      </c>
      <c r="B108" s="5">
        <v>0</v>
      </c>
      <c r="C108" s="5">
        <v>0</v>
      </c>
      <c r="D108" s="5">
        <v>1</v>
      </c>
      <c r="E108" s="5">
        <v>226</v>
      </c>
      <c r="F108" s="5">
        <f>ROUND(Source!AW102,O108)</f>
        <v>162585.26999999999</v>
      </c>
      <c r="G108" s="5" t="s">
        <v>66</v>
      </c>
      <c r="H108" s="5" t="s">
        <v>67</v>
      </c>
      <c r="I108" s="5"/>
      <c r="J108" s="5"/>
      <c r="K108" s="5">
        <v>226</v>
      </c>
      <c r="L108" s="5">
        <v>5</v>
      </c>
      <c r="M108" s="5">
        <v>3</v>
      </c>
      <c r="N108" s="5" t="s">
        <v>3</v>
      </c>
      <c r="O108" s="5">
        <v>2</v>
      </c>
      <c r="P108" s="5"/>
      <c r="Q108" s="5"/>
      <c r="R108" s="5"/>
      <c r="S108" s="5"/>
      <c r="T108" s="5"/>
      <c r="U108" s="5"/>
      <c r="V108" s="5"/>
      <c r="W108" s="5">
        <v>162585.26999999999</v>
      </c>
      <c r="X108" s="5">
        <v>1</v>
      </c>
      <c r="Y108" s="5">
        <v>162585.26999999999</v>
      </c>
      <c r="Z108" s="5"/>
      <c r="AA108" s="5"/>
      <c r="AB108" s="5"/>
    </row>
    <row r="109" spans="1:255" x14ac:dyDescent="0.2">
      <c r="A109" s="5">
        <v>50</v>
      </c>
      <c r="B109" s="5">
        <v>0</v>
      </c>
      <c r="C109" s="5">
        <v>0</v>
      </c>
      <c r="D109" s="5">
        <v>1</v>
      </c>
      <c r="E109" s="5">
        <v>227</v>
      </c>
      <c r="F109" s="5">
        <f>ROUND(Source!AX102,O109)</f>
        <v>0</v>
      </c>
      <c r="G109" s="5" t="s">
        <v>68</v>
      </c>
      <c r="H109" s="5" t="s">
        <v>69</v>
      </c>
      <c r="I109" s="5"/>
      <c r="J109" s="5"/>
      <c r="K109" s="5">
        <v>227</v>
      </c>
      <c r="L109" s="5">
        <v>6</v>
      </c>
      <c r="M109" s="5">
        <v>3</v>
      </c>
      <c r="N109" s="5" t="s">
        <v>3</v>
      </c>
      <c r="O109" s="5">
        <v>2</v>
      </c>
      <c r="P109" s="5"/>
      <c r="Q109" s="5"/>
      <c r="R109" s="5"/>
      <c r="S109" s="5"/>
      <c r="T109" s="5"/>
      <c r="U109" s="5"/>
      <c r="V109" s="5"/>
      <c r="W109" s="5">
        <v>0</v>
      </c>
      <c r="X109" s="5">
        <v>1</v>
      </c>
      <c r="Y109" s="5">
        <v>0</v>
      </c>
      <c r="Z109" s="5"/>
      <c r="AA109" s="5"/>
      <c r="AB109" s="5"/>
    </row>
    <row r="110" spans="1:255" x14ac:dyDescent="0.2">
      <c r="A110" s="5">
        <v>50</v>
      </c>
      <c r="B110" s="5">
        <v>0</v>
      </c>
      <c r="C110" s="5">
        <v>0</v>
      </c>
      <c r="D110" s="5">
        <v>1</v>
      </c>
      <c r="E110" s="5">
        <v>228</v>
      </c>
      <c r="F110" s="5">
        <f>ROUND(Source!AY102,O110)</f>
        <v>162585.26999999999</v>
      </c>
      <c r="G110" s="5" t="s">
        <v>70</v>
      </c>
      <c r="H110" s="5" t="s">
        <v>71</v>
      </c>
      <c r="I110" s="5"/>
      <c r="J110" s="5"/>
      <c r="K110" s="5">
        <v>228</v>
      </c>
      <c r="L110" s="5">
        <v>7</v>
      </c>
      <c r="M110" s="5">
        <v>3</v>
      </c>
      <c r="N110" s="5" t="s">
        <v>3</v>
      </c>
      <c r="O110" s="5">
        <v>2</v>
      </c>
      <c r="P110" s="5"/>
      <c r="Q110" s="5"/>
      <c r="R110" s="5"/>
      <c r="S110" s="5"/>
      <c r="T110" s="5"/>
      <c r="U110" s="5"/>
      <c r="V110" s="5"/>
      <c r="W110" s="5">
        <v>162585.26999999999</v>
      </c>
      <c r="X110" s="5">
        <v>1</v>
      </c>
      <c r="Y110" s="5">
        <v>162585.26999999999</v>
      </c>
      <c r="Z110" s="5"/>
      <c r="AA110" s="5"/>
      <c r="AB110" s="5"/>
    </row>
    <row r="111" spans="1:255" x14ac:dyDescent="0.2">
      <c r="A111" s="5">
        <v>50</v>
      </c>
      <c r="B111" s="5">
        <v>0</v>
      </c>
      <c r="C111" s="5">
        <v>0</v>
      </c>
      <c r="D111" s="5">
        <v>1</v>
      </c>
      <c r="E111" s="5">
        <v>216</v>
      </c>
      <c r="F111" s="5">
        <f>ROUND(Source!AP102,O111)</f>
        <v>0</v>
      </c>
      <c r="G111" s="5" t="s">
        <v>72</v>
      </c>
      <c r="H111" s="5" t="s">
        <v>73</v>
      </c>
      <c r="I111" s="5"/>
      <c r="J111" s="5"/>
      <c r="K111" s="5">
        <v>216</v>
      </c>
      <c r="L111" s="5">
        <v>8</v>
      </c>
      <c r="M111" s="5">
        <v>3</v>
      </c>
      <c r="N111" s="5" t="s">
        <v>3</v>
      </c>
      <c r="O111" s="5">
        <v>2</v>
      </c>
      <c r="P111" s="5"/>
      <c r="Q111" s="5"/>
      <c r="R111" s="5"/>
      <c r="S111" s="5"/>
      <c r="T111" s="5"/>
      <c r="U111" s="5"/>
      <c r="V111" s="5"/>
      <c r="W111" s="5">
        <v>0</v>
      </c>
      <c r="X111" s="5">
        <v>1</v>
      </c>
      <c r="Y111" s="5">
        <v>0</v>
      </c>
      <c r="Z111" s="5"/>
      <c r="AA111" s="5"/>
      <c r="AB111" s="5"/>
    </row>
    <row r="112" spans="1:255" x14ac:dyDescent="0.2">
      <c r="A112" s="5">
        <v>50</v>
      </c>
      <c r="B112" s="5">
        <v>0</v>
      </c>
      <c r="C112" s="5">
        <v>0</v>
      </c>
      <c r="D112" s="5">
        <v>1</v>
      </c>
      <c r="E112" s="5">
        <v>223</v>
      </c>
      <c r="F112" s="5">
        <f>ROUND(Source!AQ102,O112)</f>
        <v>0</v>
      </c>
      <c r="G112" s="5" t="s">
        <v>74</v>
      </c>
      <c r="H112" s="5" t="s">
        <v>75</v>
      </c>
      <c r="I112" s="5"/>
      <c r="J112" s="5"/>
      <c r="K112" s="5">
        <v>223</v>
      </c>
      <c r="L112" s="5">
        <v>9</v>
      </c>
      <c r="M112" s="5">
        <v>3</v>
      </c>
      <c r="N112" s="5" t="s">
        <v>3</v>
      </c>
      <c r="O112" s="5">
        <v>2</v>
      </c>
      <c r="P112" s="5"/>
      <c r="Q112" s="5"/>
      <c r="R112" s="5"/>
      <c r="S112" s="5"/>
      <c r="T112" s="5"/>
      <c r="U112" s="5"/>
      <c r="V112" s="5"/>
      <c r="W112" s="5">
        <v>0</v>
      </c>
      <c r="X112" s="5">
        <v>1</v>
      </c>
      <c r="Y112" s="5">
        <v>0</v>
      </c>
      <c r="Z112" s="5"/>
      <c r="AA112" s="5"/>
      <c r="AB112" s="5"/>
    </row>
    <row r="113" spans="1:28" x14ac:dyDescent="0.2">
      <c r="A113" s="5">
        <v>50</v>
      </c>
      <c r="B113" s="5">
        <v>0</v>
      </c>
      <c r="C113" s="5">
        <v>0</v>
      </c>
      <c r="D113" s="5">
        <v>1</v>
      </c>
      <c r="E113" s="5">
        <v>229</v>
      </c>
      <c r="F113" s="5">
        <f>ROUND(Source!AZ102,O113)</f>
        <v>0</v>
      </c>
      <c r="G113" s="5" t="s">
        <v>76</v>
      </c>
      <c r="H113" s="5" t="s">
        <v>77</v>
      </c>
      <c r="I113" s="5"/>
      <c r="J113" s="5"/>
      <c r="K113" s="5">
        <v>229</v>
      </c>
      <c r="L113" s="5">
        <v>10</v>
      </c>
      <c r="M113" s="5">
        <v>3</v>
      </c>
      <c r="N113" s="5" t="s">
        <v>3</v>
      </c>
      <c r="O113" s="5">
        <v>2</v>
      </c>
      <c r="P113" s="5"/>
      <c r="Q113" s="5"/>
      <c r="R113" s="5"/>
      <c r="S113" s="5"/>
      <c r="T113" s="5"/>
      <c r="U113" s="5"/>
      <c r="V113" s="5"/>
      <c r="W113" s="5">
        <v>0</v>
      </c>
      <c r="X113" s="5">
        <v>1</v>
      </c>
      <c r="Y113" s="5">
        <v>0</v>
      </c>
      <c r="Z113" s="5"/>
      <c r="AA113" s="5"/>
      <c r="AB113" s="5"/>
    </row>
    <row r="114" spans="1:28" x14ac:dyDescent="0.2">
      <c r="A114" s="5">
        <v>50</v>
      </c>
      <c r="B114" s="5">
        <v>0</v>
      </c>
      <c r="C114" s="5">
        <v>0</v>
      </c>
      <c r="D114" s="5">
        <v>1</v>
      </c>
      <c r="E114" s="5">
        <v>203</v>
      </c>
      <c r="F114" s="5">
        <f>ROUND(Source!Q102,O114)</f>
        <v>18701.68</v>
      </c>
      <c r="G114" s="5" t="s">
        <v>78</v>
      </c>
      <c r="H114" s="5" t="s">
        <v>79</v>
      </c>
      <c r="I114" s="5"/>
      <c r="J114" s="5"/>
      <c r="K114" s="5">
        <v>203</v>
      </c>
      <c r="L114" s="5">
        <v>11</v>
      </c>
      <c r="M114" s="5">
        <v>3</v>
      </c>
      <c r="N114" s="5" t="s">
        <v>3</v>
      </c>
      <c r="O114" s="5">
        <v>2</v>
      </c>
      <c r="P114" s="5"/>
      <c r="Q114" s="5"/>
      <c r="R114" s="5"/>
      <c r="S114" s="5"/>
      <c r="T114" s="5"/>
      <c r="U114" s="5"/>
      <c r="V114" s="5"/>
      <c r="W114" s="5">
        <v>18701.68</v>
      </c>
      <c r="X114" s="5">
        <v>1</v>
      </c>
      <c r="Y114" s="5">
        <v>18701.68</v>
      </c>
      <c r="Z114" s="5"/>
      <c r="AA114" s="5"/>
      <c r="AB114" s="5"/>
    </row>
    <row r="115" spans="1:28" x14ac:dyDescent="0.2">
      <c r="A115" s="5">
        <v>50</v>
      </c>
      <c r="B115" s="5">
        <v>0</v>
      </c>
      <c r="C115" s="5">
        <v>0</v>
      </c>
      <c r="D115" s="5">
        <v>1</v>
      </c>
      <c r="E115" s="5">
        <v>231</v>
      </c>
      <c r="F115" s="5">
        <f>ROUND(Source!BB102,O115)</f>
        <v>0</v>
      </c>
      <c r="G115" s="5" t="s">
        <v>80</v>
      </c>
      <c r="H115" s="5" t="s">
        <v>81</v>
      </c>
      <c r="I115" s="5"/>
      <c r="J115" s="5"/>
      <c r="K115" s="5">
        <v>231</v>
      </c>
      <c r="L115" s="5">
        <v>12</v>
      </c>
      <c r="M115" s="5">
        <v>3</v>
      </c>
      <c r="N115" s="5" t="s">
        <v>3</v>
      </c>
      <c r="O115" s="5">
        <v>2</v>
      </c>
      <c r="P115" s="5"/>
      <c r="Q115" s="5"/>
      <c r="R115" s="5"/>
      <c r="S115" s="5"/>
      <c r="T115" s="5"/>
      <c r="U115" s="5"/>
      <c r="V115" s="5"/>
      <c r="W115" s="5">
        <v>0</v>
      </c>
      <c r="X115" s="5">
        <v>1</v>
      </c>
      <c r="Y115" s="5">
        <v>0</v>
      </c>
      <c r="Z115" s="5"/>
      <c r="AA115" s="5"/>
      <c r="AB115" s="5"/>
    </row>
    <row r="116" spans="1:28" x14ac:dyDescent="0.2">
      <c r="A116" s="5">
        <v>50</v>
      </c>
      <c r="B116" s="5">
        <v>0</v>
      </c>
      <c r="C116" s="5">
        <v>0</v>
      </c>
      <c r="D116" s="5">
        <v>1</v>
      </c>
      <c r="E116" s="5">
        <v>204</v>
      </c>
      <c r="F116" s="5">
        <f>ROUND(Source!R102,O116)</f>
        <v>7704.35</v>
      </c>
      <c r="G116" s="5" t="s">
        <v>82</v>
      </c>
      <c r="H116" s="5" t="s">
        <v>83</v>
      </c>
      <c r="I116" s="5"/>
      <c r="J116" s="5"/>
      <c r="K116" s="5">
        <v>204</v>
      </c>
      <c r="L116" s="5">
        <v>13</v>
      </c>
      <c r="M116" s="5">
        <v>3</v>
      </c>
      <c r="N116" s="5" t="s">
        <v>3</v>
      </c>
      <c r="O116" s="5">
        <v>2</v>
      </c>
      <c r="P116" s="5"/>
      <c r="Q116" s="5"/>
      <c r="R116" s="5"/>
      <c r="S116" s="5"/>
      <c r="T116" s="5"/>
      <c r="U116" s="5"/>
      <c r="V116" s="5"/>
      <c r="W116" s="5">
        <v>7704.35</v>
      </c>
      <c r="X116" s="5">
        <v>1</v>
      </c>
      <c r="Y116" s="5">
        <v>7704.35</v>
      </c>
      <c r="Z116" s="5"/>
      <c r="AA116" s="5"/>
      <c r="AB116" s="5"/>
    </row>
    <row r="117" spans="1:28" x14ac:dyDescent="0.2">
      <c r="A117" s="5">
        <v>50</v>
      </c>
      <c r="B117" s="5">
        <v>0</v>
      </c>
      <c r="C117" s="5">
        <v>0</v>
      </c>
      <c r="D117" s="5">
        <v>1</v>
      </c>
      <c r="E117" s="5">
        <v>205</v>
      </c>
      <c r="F117" s="5">
        <f>ROUND(Source!S102,O117)</f>
        <v>29245.35</v>
      </c>
      <c r="G117" s="5" t="s">
        <v>84</v>
      </c>
      <c r="H117" s="5" t="s">
        <v>85</v>
      </c>
      <c r="I117" s="5"/>
      <c r="J117" s="5"/>
      <c r="K117" s="5">
        <v>205</v>
      </c>
      <c r="L117" s="5">
        <v>14</v>
      </c>
      <c r="M117" s="5">
        <v>3</v>
      </c>
      <c r="N117" s="5" t="s">
        <v>3</v>
      </c>
      <c r="O117" s="5">
        <v>2</v>
      </c>
      <c r="P117" s="5"/>
      <c r="Q117" s="5"/>
      <c r="R117" s="5"/>
      <c r="S117" s="5"/>
      <c r="T117" s="5"/>
      <c r="U117" s="5"/>
      <c r="V117" s="5"/>
      <c r="W117" s="5">
        <v>29245.350000000009</v>
      </c>
      <c r="X117" s="5">
        <v>1</v>
      </c>
      <c r="Y117" s="5">
        <v>29245.350000000009</v>
      </c>
      <c r="Z117" s="5"/>
      <c r="AA117" s="5"/>
      <c r="AB117" s="5"/>
    </row>
    <row r="118" spans="1:28" x14ac:dyDescent="0.2">
      <c r="A118" s="5">
        <v>50</v>
      </c>
      <c r="B118" s="5">
        <v>0</v>
      </c>
      <c r="C118" s="5">
        <v>0</v>
      </c>
      <c r="D118" s="5">
        <v>1</v>
      </c>
      <c r="E118" s="5">
        <v>232</v>
      </c>
      <c r="F118" s="5">
        <f>ROUND(Source!BC102,O118)</f>
        <v>0</v>
      </c>
      <c r="G118" s="5" t="s">
        <v>86</v>
      </c>
      <c r="H118" s="5" t="s">
        <v>87</v>
      </c>
      <c r="I118" s="5"/>
      <c r="J118" s="5"/>
      <c r="K118" s="5">
        <v>232</v>
      </c>
      <c r="L118" s="5">
        <v>15</v>
      </c>
      <c r="M118" s="5">
        <v>3</v>
      </c>
      <c r="N118" s="5" t="s">
        <v>3</v>
      </c>
      <c r="O118" s="5">
        <v>2</v>
      </c>
      <c r="P118" s="5"/>
      <c r="Q118" s="5"/>
      <c r="R118" s="5"/>
      <c r="S118" s="5"/>
      <c r="T118" s="5"/>
      <c r="U118" s="5"/>
      <c r="V118" s="5"/>
      <c r="W118" s="5">
        <v>0</v>
      </c>
      <c r="X118" s="5">
        <v>1</v>
      </c>
      <c r="Y118" s="5">
        <v>0</v>
      </c>
      <c r="Z118" s="5"/>
      <c r="AA118" s="5"/>
      <c r="AB118" s="5"/>
    </row>
    <row r="119" spans="1:28" x14ac:dyDescent="0.2">
      <c r="A119" s="5">
        <v>50</v>
      </c>
      <c r="B119" s="5">
        <v>0</v>
      </c>
      <c r="C119" s="5">
        <v>0</v>
      </c>
      <c r="D119" s="5">
        <v>1</v>
      </c>
      <c r="E119" s="5">
        <v>214</v>
      </c>
      <c r="F119" s="5">
        <f>ROUND(Source!AS102,O119)</f>
        <v>255914.2</v>
      </c>
      <c r="G119" s="5" t="s">
        <v>88</v>
      </c>
      <c r="H119" s="5" t="s">
        <v>89</v>
      </c>
      <c r="I119" s="5"/>
      <c r="J119" s="5"/>
      <c r="K119" s="5">
        <v>214</v>
      </c>
      <c r="L119" s="5">
        <v>16</v>
      </c>
      <c r="M119" s="5">
        <v>3</v>
      </c>
      <c r="N119" s="5" t="s">
        <v>3</v>
      </c>
      <c r="O119" s="5">
        <v>2</v>
      </c>
      <c r="P119" s="5"/>
      <c r="Q119" s="5"/>
      <c r="R119" s="5"/>
      <c r="S119" s="5"/>
      <c r="T119" s="5"/>
      <c r="U119" s="5"/>
      <c r="V119" s="5"/>
      <c r="W119" s="5">
        <v>255914.2</v>
      </c>
      <c r="X119" s="5">
        <v>1</v>
      </c>
      <c r="Y119" s="5">
        <v>255914.2</v>
      </c>
      <c r="Z119" s="5"/>
      <c r="AA119" s="5"/>
      <c r="AB119" s="5"/>
    </row>
    <row r="120" spans="1:28" x14ac:dyDescent="0.2">
      <c r="A120" s="5">
        <v>50</v>
      </c>
      <c r="B120" s="5">
        <v>0</v>
      </c>
      <c r="C120" s="5">
        <v>0</v>
      </c>
      <c r="D120" s="5">
        <v>1</v>
      </c>
      <c r="E120" s="5">
        <v>215</v>
      </c>
      <c r="F120" s="5">
        <f>ROUND(Source!AT102,O120)</f>
        <v>31343.73</v>
      </c>
      <c r="G120" s="5" t="s">
        <v>90</v>
      </c>
      <c r="H120" s="5" t="s">
        <v>91</v>
      </c>
      <c r="I120" s="5"/>
      <c r="J120" s="5"/>
      <c r="K120" s="5">
        <v>215</v>
      </c>
      <c r="L120" s="5">
        <v>17</v>
      </c>
      <c r="M120" s="5">
        <v>3</v>
      </c>
      <c r="N120" s="5" t="s">
        <v>3</v>
      </c>
      <c r="O120" s="5">
        <v>2</v>
      </c>
      <c r="P120" s="5"/>
      <c r="Q120" s="5"/>
      <c r="R120" s="5"/>
      <c r="S120" s="5"/>
      <c r="T120" s="5"/>
      <c r="U120" s="5"/>
      <c r="V120" s="5"/>
      <c r="W120" s="5">
        <v>31343.73</v>
      </c>
      <c r="X120" s="5">
        <v>1</v>
      </c>
      <c r="Y120" s="5">
        <v>31343.73</v>
      </c>
      <c r="Z120" s="5"/>
      <c r="AA120" s="5"/>
      <c r="AB120" s="5"/>
    </row>
    <row r="121" spans="1:28" x14ac:dyDescent="0.2">
      <c r="A121" s="5">
        <v>50</v>
      </c>
      <c r="B121" s="5">
        <v>0</v>
      </c>
      <c r="C121" s="5">
        <v>0</v>
      </c>
      <c r="D121" s="5">
        <v>1</v>
      </c>
      <c r="E121" s="5">
        <v>217</v>
      </c>
      <c r="F121" s="5">
        <f>ROUND(Source!AU102,O121)</f>
        <v>0</v>
      </c>
      <c r="G121" s="5" t="s">
        <v>92</v>
      </c>
      <c r="H121" s="5" t="s">
        <v>93</v>
      </c>
      <c r="I121" s="5"/>
      <c r="J121" s="5"/>
      <c r="K121" s="5">
        <v>217</v>
      </c>
      <c r="L121" s="5">
        <v>18</v>
      </c>
      <c r="M121" s="5">
        <v>3</v>
      </c>
      <c r="N121" s="5" t="s">
        <v>3</v>
      </c>
      <c r="O121" s="5">
        <v>2</v>
      </c>
      <c r="P121" s="5"/>
      <c r="Q121" s="5"/>
      <c r="R121" s="5"/>
      <c r="S121" s="5"/>
      <c r="T121" s="5"/>
      <c r="U121" s="5"/>
      <c r="V121" s="5"/>
      <c r="W121" s="5">
        <v>0</v>
      </c>
      <c r="X121" s="5">
        <v>1</v>
      </c>
      <c r="Y121" s="5">
        <v>0</v>
      </c>
      <c r="Z121" s="5"/>
      <c r="AA121" s="5"/>
      <c r="AB121" s="5"/>
    </row>
    <row r="122" spans="1:28" x14ac:dyDescent="0.2">
      <c r="A122" s="5">
        <v>50</v>
      </c>
      <c r="B122" s="5">
        <v>0</v>
      </c>
      <c r="C122" s="5">
        <v>0</v>
      </c>
      <c r="D122" s="5">
        <v>1</v>
      </c>
      <c r="E122" s="5">
        <v>230</v>
      </c>
      <c r="F122" s="5">
        <f>ROUND(Source!BA102,O122)</f>
        <v>0</v>
      </c>
      <c r="G122" s="5" t="s">
        <v>94</v>
      </c>
      <c r="H122" s="5" t="s">
        <v>95</v>
      </c>
      <c r="I122" s="5"/>
      <c r="J122" s="5"/>
      <c r="K122" s="5">
        <v>230</v>
      </c>
      <c r="L122" s="5">
        <v>19</v>
      </c>
      <c r="M122" s="5">
        <v>3</v>
      </c>
      <c r="N122" s="5" t="s">
        <v>3</v>
      </c>
      <c r="O122" s="5">
        <v>2</v>
      </c>
      <c r="P122" s="5"/>
      <c r="Q122" s="5"/>
      <c r="R122" s="5"/>
      <c r="S122" s="5"/>
      <c r="T122" s="5"/>
      <c r="U122" s="5"/>
      <c r="V122" s="5"/>
      <c r="W122" s="5">
        <v>0</v>
      </c>
      <c r="X122" s="5">
        <v>1</v>
      </c>
      <c r="Y122" s="5">
        <v>0</v>
      </c>
      <c r="Z122" s="5"/>
      <c r="AA122" s="5"/>
      <c r="AB122" s="5"/>
    </row>
    <row r="123" spans="1:28" x14ac:dyDescent="0.2">
      <c r="A123" s="5">
        <v>50</v>
      </c>
      <c r="B123" s="5">
        <v>0</v>
      </c>
      <c r="C123" s="5">
        <v>0</v>
      </c>
      <c r="D123" s="5">
        <v>1</v>
      </c>
      <c r="E123" s="5">
        <v>206</v>
      </c>
      <c r="F123" s="5">
        <f>ROUND(Source!T102,O123)</f>
        <v>0</v>
      </c>
      <c r="G123" s="5" t="s">
        <v>96</v>
      </c>
      <c r="H123" s="5" t="s">
        <v>97</v>
      </c>
      <c r="I123" s="5"/>
      <c r="J123" s="5"/>
      <c r="K123" s="5">
        <v>206</v>
      </c>
      <c r="L123" s="5">
        <v>20</v>
      </c>
      <c r="M123" s="5">
        <v>3</v>
      </c>
      <c r="N123" s="5" t="s">
        <v>3</v>
      </c>
      <c r="O123" s="5">
        <v>2</v>
      </c>
      <c r="P123" s="5"/>
      <c r="Q123" s="5"/>
      <c r="R123" s="5"/>
      <c r="S123" s="5"/>
      <c r="T123" s="5"/>
      <c r="U123" s="5"/>
      <c r="V123" s="5"/>
      <c r="W123" s="5">
        <v>0</v>
      </c>
      <c r="X123" s="5">
        <v>1</v>
      </c>
      <c r="Y123" s="5">
        <v>0</v>
      </c>
      <c r="Z123" s="5"/>
      <c r="AA123" s="5"/>
      <c r="AB123" s="5"/>
    </row>
    <row r="124" spans="1:28" x14ac:dyDescent="0.2">
      <c r="A124" s="5">
        <v>50</v>
      </c>
      <c r="B124" s="5">
        <v>0</v>
      </c>
      <c r="C124" s="5">
        <v>0</v>
      </c>
      <c r="D124" s="5">
        <v>1</v>
      </c>
      <c r="E124" s="5">
        <v>207</v>
      </c>
      <c r="F124" s="5">
        <f>ROUND(Source!U102,O124)</f>
        <v>71.873800000000003</v>
      </c>
      <c r="G124" s="5" t="s">
        <v>98</v>
      </c>
      <c r="H124" s="5" t="s">
        <v>99</v>
      </c>
      <c r="I124" s="5"/>
      <c r="J124" s="5"/>
      <c r="K124" s="5">
        <v>207</v>
      </c>
      <c r="L124" s="5">
        <v>21</v>
      </c>
      <c r="M124" s="5">
        <v>3</v>
      </c>
      <c r="N124" s="5" t="s">
        <v>3</v>
      </c>
      <c r="O124" s="5">
        <v>7</v>
      </c>
      <c r="P124" s="5"/>
      <c r="Q124" s="5"/>
      <c r="R124" s="5"/>
      <c r="S124" s="5"/>
      <c r="T124" s="5"/>
      <c r="U124" s="5"/>
      <c r="V124" s="5"/>
      <c r="W124" s="5">
        <v>71.873800000000003</v>
      </c>
      <c r="X124" s="5">
        <v>1</v>
      </c>
      <c r="Y124" s="5">
        <v>71.873800000000003</v>
      </c>
      <c r="Z124" s="5"/>
      <c r="AA124" s="5"/>
      <c r="AB124" s="5"/>
    </row>
    <row r="125" spans="1:28" x14ac:dyDescent="0.2">
      <c r="A125" s="5">
        <v>50</v>
      </c>
      <c r="B125" s="5">
        <v>0</v>
      </c>
      <c r="C125" s="5">
        <v>0</v>
      </c>
      <c r="D125" s="5">
        <v>1</v>
      </c>
      <c r="E125" s="5">
        <v>208</v>
      </c>
      <c r="F125" s="5">
        <f>ROUND(Source!V102,O125)</f>
        <v>17.130132400000001</v>
      </c>
      <c r="G125" s="5" t="s">
        <v>100</v>
      </c>
      <c r="H125" s="5" t="s">
        <v>101</v>
      </c>
      <c r="I125" s="5"/>
      <c r="J125" s="5"/>
      <c r="K125" s="5">
        <v>208</v>
      </c>
      <c r="L125" s="5">
        <v>22</v>
      </c>
      <c r="M125" s="5">
        <v>3</v>
      </c>
      <c r="N125" s="5" t="s">
        <v>3</v>
      </c>
      <c r="O125" s="5">
        <v>7</v>
      </c>
      <c r="P125" s="5"/>
      <c r="Q125" s="5"/>
      <c r="R125" s="5"/>
      <c r="S125" s="5"/>
      <c r="T125" s="5"/>
      <c r="U125" s="5"/>
      <c r="V125" s="5"/>
      <c r="W125" s="5">
        <v>17.130132400000001</v>
      </c>
      <c r="X125" s="5">
        <v>1</v>
      </c>
      <c r="Y125" s="5">
        <v>17.130132400000001</v>
      </c>
      <c r="Z125" s="5"/>
      <c r="AA125" s="5"/>
      <c r="AB125" s="5"/>
    </row>
    <row r="126" spans="1:28" x14ac:dyDescent="0.2">
      <c r="A126" s="5">
        <v>50</v>
      </c>
      <c r="B126" s="5">
        <v>0</v>
      </c>
      <c r="C126" s="5">
        <v>0</v>
      </c>
      <c r="D126" s="5">
        <v>1</v>
      </c>
      <c r="E126" s="5">
        <v>209</v>
      </c>
      <c r="F126" s="5">
        <f>ROUND(Source!W102,O126)</f>
        <v>0</v>
      </c>
      <c r="G126" s="5" t="s">
        <v>102</v>
      </c>
      <c r="H126" s="5" t="s">
        <v>103</v>
      </c>
      <c r="I126" s="5"/>
      <c r="J126" s="5"/>
      <c r="K126" s="5">
        <v>209</v>
      </c>
      <c r="L126" s="5">
        <v>23</v>
      </c>
      <c r="M126" s="5">
        <v>3</v>
      </c>
      <c r="N126" s="5" t="s">
        <v>3</v>
      </c>
      <c r="O126" s="5">
        <v>2</v>
      </c>
      <c r="P126" s="5"/>
      <c r="Q126" s="5"/>
      <c r="R126" s="5"/>
      <c r="S126" s="5"/>
      <c r="T126" s="5"/>
      <c r="U126" s="5"/>
      <c r="V126" s="5"/>
      <c r="W126" s="5">
        <v>0</v>
      </c>
      <c r="X126" s="5">
        <v>1</v>
      </c>
      <c r="Y126" s="5">
        <v>0</v>
      </c>
      <c r="Z126" s="5"/>
      <c r="AA126" s="5"/>
      <c r="AB126" s="5"/>
    </row>
    <row r="127" spans="1:28" x14ac:dyDescent="0.2">
      <c r="A127" s="5">
        <v>50</v>
      </c>
      <c r="B127" s="5">
        <v>0</v>
      </c>
      <c r="C127" s="5">
        <v>0</v>
      </c>
      <c r="D127" s="5">
        <v>1</v>
      </c>
      <c r="E127" s="5">
        <v>233</v>
      </c>
      <c r="F127" s="5">
        <f>ROUND(Source!BD102,O127)</f>
        <v>0</v>
      </c>
      <c r="G127" s="5" t="s">
        <v>104</v>
      </c>
      <c r="H127" s="5" t="s">
        <v>105</v>
      </c>
      <c r="I127" s="5"/>
      <c r="J127" s="5"/>
      <c r="K127" s="5">
        <v>233</v>
      </c>
      <c r="L127" s="5">
        <v>24</v>
      </c>
      <c r="M127" s="5">
        <v>3</v>
      </c>
      <c r="N127" s="5" t="s">
        <v>3</v>
      </c>
      <c r="O127" s="5">
        <v>2</v>
      </c>
      <c r="P127" s="5"/>
      <c r="Q127" s="5"/>
      <c r="R127" s="5"/>
      <c r="S127" s="5"/>
      <c r="T127" s="5"/>
      <c r="U127" s="5"/>
      <c r="V127" s="5"/>
      <c r="W127" s="5">
        <v>0</v>
      </c>
      <c r="X127" s="5">
        <v>1</v>
      </c>
      <c r="Y127" s="5">
        <v>0</v>
      </c>
      <c r="Z127" s="5"/>
      <c r="AA127" s="5"/>
      <c r="AB127" s="5"/>
    </row>
    <row r="128" spans="1:28" x14ac:dyDescent="0.2">
      <c r="A128" s="5">
        <v>50</v>
      </c>
      <c r="B128" s="5">
        <v>0</v>
      </c>
      <c r="C128" s="5">
        <v>0</v>
      </c>
      <c r="D128" s="5">
        <v>1</v>
      </c>
      <c r="E128" s="5">
        <v>210</v>
      </c>
      <c r="F128" s="5">
        <f>ROUND(Source!X102,O128)</f>
        <v>42909.72</v>
      </c>
      <c r="G128" s="5" t="s">
        <v>106</v>
      </c>
      <c r="H128" s="5" t="s">
        <v>107</v>
      </c>
      <c r="I128" s="5"/>
      <c r="J128" s="5"/>
      <c r="K128" s="5">
        <v>210</v>
      </c>
      <c r="L128" s="5">
        <v>25</v>
      </c>
      <c r="M128" s="5">
        <v>3</v>
      </c>
      <c r="N128" s="5" t="s">
        <v>3</v>
      </c>
      <c r="O128" s="5">
        <v>2</v>
      </c>
      <c r="P128" s="5"/>
      <c r="Q128" s="5"/>
      <c r="R128" s="5"/>
      <c r="S128" s="5"/>
      <c r="T128" s="5"/>
      <c r="U128" s="5"/>
      <c r="V128" s="5"/>
      <c r="W128" s="5">
        <v>42909.72</v>
      </c>
      <c r="X128" s="5">
        <v>1</v>
      </c>
      <c r="Y128" s="5">
        <v>42909.72</v>
      </c>
      <c r="Z128" s="5"/>
      <c r="AA128" s="5"/>
      <c r="AB128" s="5"/>
    </row>
    <row r="129" spans="1:206" x14ac:dyDescent="0.2">
      <c r="A129" s="5">
        <v>50</v>
      </c>
      <c r="B129" s="5">
        <v>0</v>
      </c>
      <c r="C129" s="5">
        <v>0</v>
      </c>
      <c r="D129" s="5">
        <v>1</v>
      </c>
      <c r="E129" s="5">
        <v>211</v>
      </c>
      <c r="F129" s="5">
        <f>ROUND(Source!Y102,O129)</f>
        <v>26111.56</v>
      </c>
      <c r="G129" s="5" t="s">
        <v>108</v>
      </c>
      <c r="H129" s="5" t="s">
        <v>109</v>
      </c>
      <c r="I129" s="5"/>
      <c r="J129" s="5"/>
      <c r="K129" s="5">
        <v>211</v>
      </c>
      <c r="L129" s="5">
        <v>26</v>
      </c>
      <c r="M129" s="5">
        <v>3</v>
      </c>
      <c r="N129" s="5" t="s">
        <v>3</v>
      </c>
      <c r="O129" s="5">
        <v>2</v>
      </c>
      <c r="P129" s="5"/>
      <c r="Q129" s="5"/>
      <c r="R129" s="5"/>
      <c r="S129" s="5"/>
      <c r="T129" s="5"/>
      <c r="U129" s="5"/>
      <c r="V129" s="5"/>
      <c r="W129" s="5">
        <v>26111.56</v>
      </c>
      <c r="X129" s="5">
        <v>1</v>
      </c>
      <c r="Y129" s="5">
        <v>26111.56</v>
      </c>
      <c r="Z129" s="5"/>
      <c r="AA129" s="5"/>
      <c r="AB129" s="5"/>
    </row>
    <row r="130" spans="1:206" x14ac:dyDescent="0.2">
      <c r="A130" s="5">
        <v>50</v>
      </c>
      <c r="B130" s="5">
        <v>0</v>
      </c>
      <c r="C130" s="5">
        <v>0</v>
      </c>
      <c r="D130" s="5">
        <v>1</v>
      </c>
      <c r="E130" s="5">
        <v>224</v>
      </c>
      <c r="F130" s="5">
        <f>ROUND(Source!AR102,O130)</f>
        <v>287257.93</v>
      </c>
      <c r="G130" s="5" t="s">
        <v>110</v>
      </c>
      <c r="H130" s="5" t="s">
        <v>111</v>
      </c>
      <c r="I130" s="5"/>
      <c r="J130" s="5"/>
      <c r="K130" s="5">
        <v>224</v>
      </c>
      <c r="L130" s="5">
        <v>27</v>
      </c>
      <c r="M130" s="5">
        <v>3</v>
      </c>
      <c r="N130" s="5" t="s">
        <v>3</v>
      </c>
      <c r="O130" s="5">
        <v>2</v>
      </c>
      <c r="P130" s="5"/>
      <c r="Q130" s="5"/>
      <c r="R130" s="5"/>
      <c r="S130" s="5"/>
      <c r="T130" s="5"/>
      <c r="U130" s="5"/>
      <c r="V130" s="5"/>
      <c r="W130" s="5">
        <v>287257.93</v>
      </c>
      <c r="X130" s="5">
        <v>1</v>
      </c>
      <c r="Y130" s="5">
        <v>287257.93</v>
      </c>
      <c r="Z130" s="5"/>
      <c r="AA130" s="5"/>
      <c r="AB130" s="5"/>
    </row>
    <row r="132" spans="1:206" x14ac:dyDescent="0.2">
      <c r="A132" s="3">
        <v>51</v>
      </c>
      <c r="B132" s="3">
        <f>B20</f>
        <v>1</v>
      </c>
      <c r="C132" s="3">
        <f>A20</f>
        <v>3</v>
      </c>
      <c r="D132" s="3">
        <f>ROW(A20)</f>
        <v>20</v>
      </c>
      <c r="E132" s="3"/>
      <c r="F132" s="3" t="str">
        <f>IF(F20&lt;&gt;"",F20,"")</f>
        <v>Новая локальная смета</v>
      </c>
      <c r="G132" s="3" t="str">
        <f>IF(G20&lt;&gt;"",G20,"")</f>
        <v>Газопровод  низкого давленияя</v>
      </c>
      <c r="H132" s="3">
        <v>0</v>
      </c>
      <c r="I132" s="3"/>
      <c r="J132" s="3"/>
      <c r="K132" s="3"/>
      <c r="L132" s="3"/>
      <c r="M132" s="3"/>
      <c r="N132" s="3"/>
      <c r="O132" s="3">
        <f t="shared" ref="O132:T132" si="80">ROUND(O35+O102+AB132,2)</f>
        <v>320052.19</v>
      </c>
      <c r="P132" s="3">
        <f t="shared" si="80"/>
        <v>228739.22</v>
      </c>
      <c r="Q132" s="3">
        <f t="shared" si="80"/>
        <v>32115.91</v>
      </c>
      <c r="R132" s="3">
        <f t="shared" si="80"/>
        <v>12598.52</v>
      </c>
      <c r="S132" s="3">
        <f t="shared" si="80"/>
        <v>46598.54</v>
      </c>
      <c r="T132" s="3">
        <f t="shared" si="80"/>
        <v>0</v>
      </c>
      <c r="U132" s="3">
        <f>U35+U102+AH132</f>
        <v>123.94379999999998</v>
      </c>
      <c r="V132" s="3">
        <f>V35+V102+AI132</f>
        <v>26.642112400000002</v>
      </c>
      <c r="W132" s="3">
        <f>ROUND(W35+W102+AJ132,2)</f>
        <v>0</v>
      </c>
      <c r="X132" s="3">
        <f>ROUND(X35+X102+AK132,2)</f>
        <v>66116.72</v>
      </c>
      <c r="Y132" s="3">
        <f>ROUND(Y35+Y102+AL132,2)</f>
        <v>39251.550000000003</v>
      </c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>
        <f t="shared" ref="AO132:BD132" si="81">ROUND(AO35+AO102+BX132,2)</f>
        <v>0</v>
      </c>
      <c r="AP132" s="3">
        <f t="shared" si="81"/>
        <v>0</v>
      </c>
      <c r="AQ132" s="3">
        <f t="shared" si="81"/>
        <v>0</v>
      </c>
      <c r="AR132" s="3">
        <f t="shared" si="81"/>
        <v>425420.46</v>
      </c>
      <c r="AS132" s="3">
        <f t="shared" si="81"/>
        <v>394076.73</v>
      </c>
      <c r="AT132" s="3">
        <f t="shared" si="81"/>
        <v>31343.73</v>
      </c>
      <c r="AU132" s="3">
        <f t="shared" si="81"/>
        <v>0</v>
      </c>
      <c r="AV132" s="3">
        <f t="shared" si="81"/>
        <v>228739.22</v>
      </c>
      <c r="AW132" s="3">
        <f t="shared" si="81"/>
        <v>228739.22</v>
      </c>
      <c r="AX132" s="3">
        <f t="shared" si="81"/>
        <v>0</v>
      </c>
      <c r="AY132" s="3">
        <f t="shared" si="81"/>
        <v>228739.22</v>
      </c>
      <c r="AZ132" s="3">
        <f t="shared" si="81"/>
        <v>0</v>
      </c>
      <c r="BA132" s="3">
        <f t="shared" si="81"/>
        <v>0</v>
      </c>
      <c r="BB132" s="3">
        <f t="shared" si="81"/>
        <v>0</v>
      </c>
      <c r="BC132" s="3">
        <f t="shared" si="81"/>
        <v>0</v>
      </c>
      <c r="BD132" s="3">
        <f t="shared" si="81"/>
        <v>0</v>
      </c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>
        <v>0</v>
      </c>
    </row>
    <row r="134" spans="1:206" x14ac:dyDescent="0.2">
      <c r="A134" s="5">
        <v>50</v>
      </c>
      <c r="B134" s="5">
        <v>0</v>
      </c>
      <c r="C134" s="5">
        <v>0</v>
      </c>
      <c r="D134" s="5">
        <v>1</v>
      </c>
      <c r="E134" s="5">
        <v>201</v>
      </c>
      <c r="F134" s="5">
        <f>ROUND(Source!O132,O134)</f>
        <v>320052.19</v>
      </c>
      <c r="G134" s="5" t="s">
        <v>58</v>
      </c>
      <c r="H134" s="5" t="s">
        <v>59</v>
      </c>
      <c r="I134" s="5"/>
      <c r="J134" s="5"/>
      <c r="K134" s="5">
        <v>201</v>
      </c>
      <c r="L134" s="5">
        <v>1</v>
      </c>
      <c r="M134" s="5">
        <v>3</v>
      </c>
      <c r="N134" s="5" t="s">
        <v>3</v>
      </c>
      <c r="O134" s="5">
        <v>2</v>
      </c>
      <c r="P134" s="5"/>
      <c r="Q134" s="5"/>
      <c r="R134" s="5"/>
      <c r="S134" s="5"/>
      <c r="T134" s="5"/>
      <c r="U134" s="5"/>
      <c r="V134" s="5"/>
      <c r="W134" s="5">
        <v>320052.19</v>
      </c>
      <c r="X134" s="5">
        <v>1</v>
      </c>
      <c r="Y134" s="5">
        <v>320052.19</v>
      </c>
      <c r="Z134" s="5"/>
      <c r="AA134" s="5"/>
      <c r="AB134" s="5"/>
    </row>
    <row r="135" spans="1:206" x14ac:dyDescent="0.2">
      <c r="A135" s="5">
        <v>50</v>
      </c>
      <c r="B135" s="5">
        <v>0</v>
      </c>
      <c r="C135" s="5">
        <v>0</v>
      </c>
      <c r="D135" s="5">
        <v>1</v>
      </c>
      <c r="E135" s="5">
        <v>202</v>
      </c>
      <c r="F135" s="5">
        <f>ROUND(Source!P132,O135)</f>
        <v>228739.22</v>
      </c>
      <c r="G135" s="5" t="s">
        <v>60</v>
      </c>
      <c r="H135" s="5" t="s">
        <v>61</v>
      </c>
      <c r="I135" s="5"/>
      <c r="J135" s="5"/>
      <c r="K135" s="5">
        <v>202</v>
      </c>
      <c r="L135" s="5">
        <v>2</v>
      </c>
      <c r="M135" s="5">
        <v>3</v>
      </c>
      <c r="N135" s="5" t="s">
        <v>3</v>
      </c>
      <c r="O135" s="5">
        <v>2</v>
      </c>
      <c r="P135" s="5"/>
      <c r="Q135" s="5"/>
      <c r="R135" s="5"/>
      <c r="S135" s="5"/>
      <c r="T135" s="5"/>
      <c r="U135" s="5"/>
      <c r="V135" s="5"/>
      <c r="W135" s="5">
        <v>228739.22</v>
      </c>
      <c r="X135" s="5">
        <v>1</v>
      </c>
      <c r="Y135" s="5">
        <v>228739.22</v>
      </c>
      <c r="Z135" s="5"/>
      <c r="AA135" s="5"/>
      <c r="AB135" s="5"/>
    </row>
    <row r="136" spans="1:206" x14ac:dyDescent="0.2">
      <c r="A136" s="5">
        <v>50</v>
      </c>
      <c r="B136" s="5">
        <v>0</v>
      </c>
      <c r="C136" s="5">
        <v>0</v>
      </c>
      <c r="D136" s="5">
        <v>1</v>
      </c>
      <c r="E136" s="5">
        <v>222</v>
      </c>
      <c r="F136" s="5">
        <f>ROUND(Source!AO132,O136)</f>
        <v>0</v>
      </c>
      <c r="G136" s="5" t="s">
        <v>62</v>
      </c>
      <c r="H136" s="5" t="s">
        <v>63</v>
      </c>
      <c r="I136" s="5"/>
      <c r="J136" s="5"/>
      <c r="K136" s="5">
        <v>222</v>
      </c>
      <c r="L136" s="5">
        <v>3</v>
      </c>
      <c r="M136" s="5">
        <v>3</v>
      </c>
      <c r="N136" s="5" t="s">
        <v>3</v>
      </c>
      <c r="O136" s="5">
        <v>2</v>
      </c>
      <c r="P136" s="5"/>
      <c r="Q136" s="5"/>
      <c r="R136" s="5"/>
      <c r="S136" s="5"/>
      <c r="T136" s="5"/>
      <c r="U136" s="5"/>
      <c r="V136" s="5"/>
      <c r="W136" s="5">
        <v>0</v>
      </c>
      <c r="X136" s="5">
        <v>1</v>
      </c>
      <c r="Y136" s="5">
        <v>0</v>
      </c>
      <c r="Z136" s="5"/>
      <c r="AA136" s="5"/>
      <c r="AB136" s="5"/>
    </row>
    <row r="137" spans="1:206" x14ac:dyDescent="0.2">
      <c r="A137" s="5">
        <v>50</v>
      </c>
      <c r="B137" s="5">
        <v>0</v>
      </c>
      <c r="C137" s="5">
        <v>0</v>
      </c>
      <c r="D137" s="5">
        <v>1</v>
      </c>
      <c r="E137" s="5">
        <v>225</v>
      </c>
      <c r="F137" s="5">
        <f>ROUND(Source!AV132,O137)</f>
        <v>228739.22</v>
      </c>
      <c r="G137" s="5" t="s">
        <v>64</v>
      </c>
      <c r="H137" s="5" t="s">
        <v>65</v>
      </c>
      <c r="I137" s="5"/>
      <c r="J137" s="5"/>
      <c r="K137" s="5">
        <v>225</v>
      </c>
      <c r="L137" s="5">
        <v>4</v>
      </c>
      <c r="M137" s="5">
        <v>3</v>
      </c>
      <c r="N137" s="5" t="s">
        <v>3</v>
      </c>
      <c r="O137" s="5">
        <v>2</v>
      </c>
      <c r="P137" s="5"/>
      <c r="Q137" s="5"/>
      <c r="R137" s="5"/>
      <c r="S137" s="5"/>
      <c r="T137" s="5"/>
      <c r="U137" s="5"/>
      <c r="V137" s="5"/>
      <c r="W137" s="5">
        <v>228739.22</v>
      </c>
      <c r="X137" s="5">
        <v>1</v>
      </c>
      <c r="Y137" s="5">
        <v>228739.22</v>
      </c>
      <c r="Z137" s="5"/>
      <c r="AA137" s="5"/>
      <c r="AB137" s="5"/>
    </row>
    <row r="138" spans="1:206" x14ac:dyDescent="0.2">
      <c r="A138" s="5">
        <v>50</v>
      </c>
      <c r="B138" s="5">
        <v>0</v>
      </c>
      <c r="C138" s="5">
        <v>0</v>
      </c>
      <c r="D138" s="5">
        <v>1</v>
      </c>
      <c r="E138" s="5">
        <v>226</v>
      </c>
      <c r="F138" s="5">
        <f>ROUND(Source!AW132,O138)</f>
        <v>228739.22</v>
      </c>
      <c r="G138" s="5" t="s">
        <v>66</v>
      </c>
      <c r="H138" s="5" t="s">
        <v>67</v>
      </c>
      <c r="I138" s="5"/>
      <c r="J138" s="5"/>
      <c r="K138" s="5">
        <v>226</v>
      </c>
      <c r="L138" s="5">
        <v>5</v>
      </c>
      <c r="M138" s="5">
        <v>3</v>
      </c>
      <c r="N138" s="5" t="s">
        <v>3</v>
      </c>
      <c r="O138" s="5">
        <v>2</v>
      </c>
      <c r="P138" s="5"/>
      <c r="Q138" s="5"/>
      <c r="R138" s="5"/>
      <c r="S138" s="5"/>
      <c r="T138" s="5"/>
      <c r="U138" s="5"/>
      <c r="V138" s="5"/>
      <c r="W138" s="5">
        <v>228739.22</v>
      </c>
      <c r="X138" s="5">
        <v>1</v>
      </c>
      <c r="Y138" s="5">
        <v>228739.22</v>
      </c>
      <c r="Z138" s="5"/>
      <c r="AA138" s="5"/>
      <c r="AB138" s="5"/>
    </row>
    <row r="139" spans="1:206" x14ac:dyDescent="0.2">
      <c r="A139" s="5">
        <v>50</v>
      </c>
      <c r="B139" s="5">
        <v>0</v>
      </c>
      <c r="C139" s="5">
        <v>0</v>
      </c>
      <c r="D139" s="5">
        <v>1</v>
      </c>
      <c r="E139" s="5">
        <v>227</v>
      </c>
      <c r="F139" s="5">
        <f>ROUND(Source!AX132,O139)</f>
        <v>0</v>
      </c>
      <c r="G139" s="5" t="s">
        <v>68</v>
      </c>
      <c r="H139" s="5" t="s">
        <v>69</v>
      </c>
      <c r="I139" s="5"/>
      <c r="J139" s="5"/>
      <c r="K139" s="5">
        <v>227</v>
      </c>
      <c r="L139" s="5">
        <v>6</v>
      </c>
      <c r="M139" s="5">
        <v>3</v>
      </c>
      <c r="N139" s="5" t="s">
        <v>3</v>
      </c>
      <c r="O139" s="5">
        <v>2</v>
      </c>
      <c r="P139" s="5"/>
      <c r="Q139" s="5"/>
      <c r="R139" s="5"/>
      <c r="S139" s="5"/>
      <c r="T139" s="5"/>
      <c r="U139" s="5"/>
      <c r="V139" s="5"/>
      <c r="W139" s="5">
        <v>0</v>
      </c>
      <c r="X139" s="5">
        <v>1</v>
      </c>
      <c r="Y139" s="5">
        <v>0</v>
      </c>
      <c r="Z139" s="5"/>
      <c r="AA139" s="5"/>
      <c r="AB139" s="5"/>
    </row>
    <row r="140" spans="1:206" x14ac:dyDescent="0.2">
      <c r="A140" s="5">
        <v>50</v>
      </c>
      <c r="B140" s="5">
        <v>0</v>
      </c>
      <c r="C140" s="5">
        <v>0</v>
      </c>
      <c r="D140" s="5">
        <v>1</v>
      </c>
      <c r="E140" s="5">
        <v>228</v>
      </c>
      <c r="F140" s="5">
        <f>ROUND(Source!AY132,O140)</f>
        <v>228739.22</v>
      </c>
      <c r="G140" s="5" t="s">
        <v>70</v>
      </c>
      <c r="H140" s="5" t="s">
        <v>71</v>
      </c>
      <c r="I140" s="5"/>
      <c r="J140" s="5"/>
      <c r="K140" s="5">
        <v>228</v>
      </c>
      <c r="L140" s="5">
        <v>7</v>
      </c>
      <c r="M140" s="5">
        <v>3</v>
      </c>
      <c r="N140" s="5" t="s">
        <v>3</v>
      </c>
      <c r="O140" s="5">
        <v>2</v>
      </c>
      <c r="P140" s="5"/>
      <c r="Q140" s="5"/>
      <c r="R140" s="5"/>
      <c r="S140" s="5"/>
      <c r="T140" s="5"/>
      <c r="U140" s="5"/>
      <c r="V140" s="5"/>
      <c r="W140" s="5">
        <v>228739.22</v>
      </c>
      <c r="X140" s="5">
        <v>1</v>
      </c>
      <c r="Y140" s="5">
        <v>228739.22</v>
      </c>
      <c r="Z140" s="5"/>
      <c r="AA140" s="5"/>
      <c r="AB140" s="5"/>
    </row>
    <row r="141" spans="1:206" x14ac:dyDescent="0.2">
      <c r="A141" s="5">
        <v>50</v>
      </c>
      <c r="B141" s="5">
        <v>0</v>
      </c>
      <c r="C141" s="5">
        <v>0</v>
      </c>
      <c r="D141" s="5">
        <v>1</v>
      </c>
      <c r="E141" s="5">
        <v>216</v>
      </c>
      <c r="F141" s="5">
        <f>ROUND(Source!AP132,O141)</f>
        <v>0</v>
      </c>
      <c r="G141" s="5" t="s">
        <v>72</v>
      </c>
      <c r="H141" s="5" t="s">
        <v>73</v>
      </c>
      <c r="I141" s="5"/>
      <c r="J141" s="5"/>
      <c r="K141" s="5">
        <v>216</v>
      </c>
      <c r="L141" s="5">
        <v>8</v>
      </c>
      <c r="M141" s="5">
        <v>3</v>
      </c>
      <c r="N141" s="5" t="s">
        <v>3</v>
      </c>
      <c r="O141" s="5">
        <v>2</v>
      </c>
      <c r="P141" s="5"/>
      <c r="Q141" s="5"/>
      <c r="R141" s="5"/>
      <c r="S141" s="5"/>
      <c r="T141" s="5"/>
      <c r="U141" s="5"/>
      <c r="V141" s="5"/>
      <c r="W141" s="5">
        <v>0</v>
      </c>
      <c r="X141" s="5">
        <v>1</v>
      </c>
      <c r="Y141" s="5">
        <v>0</v>
      </c>
      <c r="Z141" s="5"/>
      <c r="AA141" s="5"/>
      <c r="AB141" s="5"/>
    </row>
    <row r="142" spans="1:206" x14ac:dyDescent="0.2">
      <c r="A142" s="5">
        <v>50</v>
      </c>
      <c r="B142" s="5">
        <v>0</v>
      </c>
      <c r="C142" s="5">
        <v>0</v>
      </c>
      <c r="D142" s="5">
        <v>1</v>
      </c>
      <c r="E142" s="5">
        <v>223</v>
      </c>
      <c r="F142" s="5">
        <f>ROUND(Source!AQ132,O142)</f>
        <v>0</v>
      </c>
      <c r="G142" s="5" t="s">
        <v>74</v>
      </c>
      <c r="H142" s="5" t="s">
        <v>75</v>
      </c>
      <c r="I142" s="5"/>
      <c r="J142" s="5"/>
      <c r="K142" s="5">
        <v>223</v>
      </c>
      <c r="L142" s="5">
        <v>9</v>
      </c>
      <c r="M142" s="5">
        <v>3</v>
      </c>
      <c r="N142" s="5" t="s">
        <v>3</v>
      </c>
      <c r="O142" s="5">
        <v>2</v>
      </c>
      <c r="P142" s="5"/>
      <c r="Q142" s="5"/>
      <c r="R142" s="5"/>
      <c r="S142" s="5"/>
      <c r="T142" s="5"/>
      <c r="U142" s="5"/>
      <c r="V142" s="5"/>
      <c r="W142" s="5">
        <v>0</v>
      </c>
      <c r="X142" s="5">
        <v>1</v>
      </c>
      <c r="Y142" s="5">
        <v>0</v>
      </c>
      <c r="Z142" s="5"/>
      <c r="AA142" s="5"/>
      <c r="AB142" s="5"/>
    </row>
    <row r="143" spans="1:206" x14ac:dyDescent="0.2">
      <c r="A143" s="5">
        <v>50</v>
      </c>
      <c r="B143" s="5">
        <v>0</v>
      </c>
      <c r="C143" s="5">
        <v>0</v>
      </c>
      <c r="D143" s="5">
        <v>1</v>
      </c>
      <c r="E143" s="5">
        <v>229</v>
      </c>
      <c r="F143" s="5">
        <f>ROUND(Source!AZ132,O143)</f>
        <v>0</v>
      </c>
      <c r="G143" s="5" t="s">
        <v>76</v>
      </c>
      <c r="H143" s="5" t="s">
        <v>77</v>
      </c>
      <c r="I143" s="5"/>
      <c r="J143" s="5"/>
      <c r="K143" s="5">
        <v>229</v>
      </c>
      <c r="L143" s="5">
        <v>10</v>
      </c>
      <c r="M143" s="5">
        <v>3</v>
      </c>
      <c r="N143" s="5" t="s">
        <v>3</v>
      </c>
      <c r="O143" s="5">
        <v>2</v>
      </c>
      <c r="P143" s="5"/>
      <c r="Q143" s="5"/>
      <c r="R143" s="5"/>
      <c r="S143" s="5"/>
      <c r="T143" s="5"/>
      <c r="U143" s="5"/>
      <c r="V143" s="5"/>
      <c r="W143" s="5">
        <v>0</v>
      </c>
      <c r="X143" s="5">
        <v>1</v>
      </c>
      <c r="Y143" s="5">
        <v>0</v>
      </c>
      <c r="Z143" s="5"/>
      <c r="AA143" s="5"/>
      <c r="AB143" s="5"/>
    </row>
    <row r="144" spans="1:206" x14ac:dyDescent="0.2">
      <c r="A144" s="5">
        <v>50</v>
      </c>
      <c r="B144" s="5">
        <v>0</v>
      </c>
      <c r="C144" s="5">
        <v>0</v>
      </c>
      <c r="D144" s="5">
        <v>1</v>
      </c>
      <c r="E144" s="5">
        <v>203</v>
      </c>
      <c r="F144" s="5">
        <f>ROUND(Source!Q132,O144)</f>
        <v>32115.91</v>
      </c>
      <c r="G144" s="5" t="s">
        <v>78</v>
      </c>
      <c r="H144" s="5" t="s">
        <v>79</v>
      </c>
      <c r="I144" s="5"/>
      <c r="J144" s="5"/>
      <c r="K144" s="5">
        <v>203</v>
      </c>
      <c r="L144" s="5">
        <v>11</v>
      </c>
      <c r="M144" s="5">
        <v>3</v>
      </c>
      <c r="N144" s="5" t="s">
        <v>3</v>
      </c>
      <c r="O144" s="5">
        <v>2</v>
      </c>
      <c r="P144" s="5"/>
      <c r="Q144" s="5"/>
      <c r="R144" s="5"/>
      <c r="S144" s="5"/>
      <c r="T144" s="5"/>
      <c r="U144" s="5"/>
      <c r="V144" s="5"/>
      <c r="W144" s="5">
        <v>32115.91</v>
      </c>
      <c r="X144" s="5">
        <v>1</v>
      </c>
      <c r="Y144" s="5">
        <v>32115.91</v>
      </c>
      <c r="Z144" s="5"/>
      <c r="AA144" s="5"/>
      <c r="AB144" s="5"/>
    </row>
    <row r="145" spans="1:28" x14ac:dyDescent="0.2">
      <c r="A145" s="5">
        <v>50</v>
      </c>
      <c r="B145" s="5">
        <v>0</v>
      </c>
      <c r="C145" s="5">
        <v>0</v>
      </c>
      <c r="D145" s="5">
        <v>1</v>
      </c>
      <c r="E145" s="5">
        <v>231</v>
      </c>
      <c r="F145" s="5">
        <f>ROUND(Source!BB132,O145)</f>
        <v>0</v>
      </c>
      <c r="G145" s="5" t="s">
        <v>80</v>
      </c>
      <c r="H145" s="5" t="s">
        <v>81</v>
      </c>
      <c r="I145" s="5"/>
      <c r="J145" s="5"/>
      <c r="K145" s="5">
        <v>231</v>
      </c>
      <c r="L145" s="5">
        <v>12</v>
      </c>
      <c r="M145" s="5">
        <v>3</v>
      </c>
      <c r="N145" s="5" t="s">
        <v>3</v>
      </c>
      <c r="O145" s="5">
        <v>2</v>
      </c>
      <c r="P145" s="5"/>
      <c r="Q145" s="5"/>
      <c r="R145" s="5"/>
      <c r="S145" s="5"/>
      <c r="T145" s="5"/>
      <c r="U145" s="5"/>
      <c r="V145" s="5"/>
      <c r="W145" s="5">
        <v>0</v>
      </c>
      <c r="X145" s="5">
        <v>1</v>
      </c>
      <c r="Y145" s="5">
        <v>0</v>
      </c>
      <c r="Z145" s="5"/>
      <c r="AA145" s="5"/>
      <c r="AB145" s="5"/>
    </row>
    <row r="146" spans="1:28" x14ac:dyDescent="0.2">
      <c r="A146" s="5">
        <v>50</v>
      </c>
      <c r="B146" s="5">
        <v>0</v>
      </c>
      <c r="C146" s="5">
        <v>0</v>
      </c>
      <c r="D146" s="5">
        <v>1</v>
      </c>
      <c r="E146" s="5">
        <v>204</v>
      </c>
      <c r="F146" s="5">
        <f>ROUND(Source!R132,O146)</f>
        <v>12598.52</v>
      </c>
      <c r="G146" s="5" t="s">
        <v>82</v>
      </c>
      <c r="H146" s="5" t="s">
        <v>83</v>
      </c>
      <c r="I146" s="5"/>
      <c r="J146" s="5"/>
      <c r="K146" s="5">
        <v>204</v>
      </c>
      <c r="L146" s="5">
        <v>13</v>
      </c>
      <c r="M146" s="5">
        <v>3</v>
      </c>
      <c r="N146" s="5" t="s">
        <v>3</v>
      </c>
      <c r="O146" s="5">
        <v>2</v>
      </c>
      <c r="P146" s="5"/>
      <c r="Q146" s="5"/>
      <c r="R146" s="5"/>
      <c r="S146" s="5"/>
      <c r="T146" s="5"/>
      <c r="U146" s="5"/>
      <c r="V146" s="5"/>
      <c r="W146" s="5">
        <v>12598.52</v>
      </c>
      <c r="X146" s="5">
        <v>1</v>
      </c>
      <c r="Y146" s="5">
        <v>12598.52</v>
      </c>
      <c r="Z146" s="5"/>
      <c r="AA146" s="5"/>
      <c r="AB146" s="5"/>
    </row>
    <row r="147" spans="1:28" x14ac:dyDescent="0.2">
      <c r="A147" s="5">
        <v>50</v>
      </c>
      <c r="B147" s="5">
        <v>0</v>
      </c>
      <c r="C147" s="5">
        <v>0</v>
      </c>
      <c r="D147" s="5">
        <v>1</v>
      </c>
      <c r="E147" s="5">
        <v>205</v>
      </c>
      <c r="F147" s="5">
        <f>ROUND(Source!S132,O147)</f>
        <v>46598.54</v>
      </c>
      <c r="G147" s="5" t="s">
        <v>84</v>
      </c>
      <c r="H147" s="5" t="s">
        <v>85</v>
      </c>
      <c r="I147" s="5"/>
      <c r="J147" s="5"/>
      <c r="K147" s="5">
        <v>205</v>
      </c>
      <c r="L147" s="5">
        <v>14</v>
      </c>
      <c r="M147" s="5">
        <v>3</v>
      </c>
      <c r="N147" s="5" t="s">
        <v>3</v>
      </c>
      <c r="O147" s="5">
        <v>2</v>
      </c>
      <c r="P147" s="5"/>
      <c r="Q147" s="5"/>
      <c r="R147" s="5"/>
      <c r="S147" s="5"/>
      <c r="T147" s="5"/>
      <c r="U147" s="5"/>
      <c r="V147" s="5"/>
      <c r="W147" s="5">
        <v>46598.540000000008</v>
      </c>
      <c r="X147" s="5">
        <v>1</v>
      </c>
      <c r="Y147" s="5">
        <v>46598.540000000008</v>
      </c>
      <c r="Z147" s="5"/>
      <c r="AA147" s="5"/>
      <c r="AB147" s="5"/>
    </row>
    <row r="148" spans="1:28" x14ac:dyDescent="0.2">
      <c r="A148" s="5">
        <v>50</v>
      </c>
      <c r="B148" s="5">
        <v>0</v>
      </c>
      <c r="C148" s="5">
        <v>0</v>
      </c>
      <c r="D148" s="5">
        <v>1</v>
      </c>
      <c r="E148" s="5">
        <v>232</v>
      </c>
      <c r="F148" s="5">
        <f>ROUND(Source!BC132,O148)</f>
        <v>0</v>
      </c>
      <c r="G148" s="5" t="s">
        <v>86</v>
      </c>
      <c r="H148" s="5" t="s">
        <v>87</v>
      </c>
      <c r="I148" s="5"/>
      <c r="J148" s="5"/>
      <c r="K148" s="5">
        <v>232</v>
      </c>
      <c r="L148" s="5">
        <v>15</v>
      </c>
      <c r="M148" s="5">
        <v>3</v>
      </c>
      <c r="N148" s="5" t="s">
        <v>3</v>
      </c>
      <c r="O148" s="5">
        <v>2</v>
      </c>
      <c r="P148" s="5"/>
      <c r="Q148" s="5"/>
      <c r="R148" s="5"/>
      <c r="S148" s="5"/>
      <c r="T148" s="5"/>
      <c r="U148" s="5"/>
      <c r="V148" s="5"/>
      <c r="W148" s="5">
        <v>0</v>
      </c>
      <c r="X148" s="5">
        <v>1</v>
      </c>
      <c r="Y148" s="5">
        <v>0</v>
      </c>
      <c r="Z148" s="5"/>
      <c r="AA148" s="5"/>
      <c r="AB148" s="5"/>
    </row>
    <row r="149" spans="1:28" x14ac:dyDescent="0.2">
      <c r="A149" s="5">
        <v>50</v>
      </c>
      <c r="B149" s="5">
        <v>0</v>
      </c>
      <c r="C149" s="5">
        <v>0</v>
      </c>
      <c r="D149" s="5">
        <v>1</v>
      </c>
      <c r="E149" s="5">
        <v>214</v>
      </c>
      <c r="F149" s="5">
        <f>ROUND(Source!AS132,O149)</f>
        <v>394076.73</v>
      </c>
      <c r="G149" s="5" t="s">
        <v>88</v>
      </c>
      <c r="H149" s="5" t="s">
        <v>89</v>
      </c>
      <c r="I149" s="5"/>
      <c r="J149" s="5"/>
      <c r="K149" s="5">
        <v>214</v>
      </c>
      <c r="L149" s="5">
        <v>16</v>
      </c>
      <c r="M149" s="5">
        <v>3</v>
      </c>
      <c r="N149" s="5" t="s">
        <v>3</v>
      </c>
      <c r="O149" s="5">
        <v>2</v>
      </c>
      <c r="P149" s="5"/>
      <c r="Q149" s="5"/>
      <c r="R149" s="5"/>
      <c r="S149" s="5"/>
      <c r="T149" s="5"/>
      <c r="U149" s="5"/>
      <c r="V149" s="5"/>
      <c r="W149" s="5">
        <v>394076.73</v>
      </c>
      <c r="X149" s="5">
        <v>1</v>
      </c>
      <c r="Y149" s="5">
        <v>394076.73</v>
      </c>
      <c r="Z149" s="5"/>
      <c r="AA149" s="5"/>
      <c r="AB149" s="5"/>
    </row>
    <row r="150" spans="1:28" x14ac:dyDescent="0.2">
      <c r="A150" s="5">
        <v>50</v>
      </c>
      <c r="B150" s="5">
        <v>0</v>
      </c>
      <c r="C150" s="5">
        <v>0</v>
      </c>
      <c r="D150" s="5">
        <v>1</v>
      </c>
      <c r="E150" s="5">
        <v>215</v>
      </c>
      <c r="F150" s="5">
        <f>ROUND(Source!AT132,O150)</f>
        <v>31343.73</v>
      </c>
      <c r="G150" s="5" t="s">
        <v>90</v>
      </c>
      <c r="H150" s="5" t="s">
        <v>91</v>
      </c>
      <c r="I150" s="5"/>
      <c r="J150" s="5"/>
      <c r="K150" s="5">
        <v>215</v>
      </c>
      <c r="L150" s="5">
        <v>17</v>
      </c>
      <c r="M150" s="5">
        <v>3</v>
      </c>
      <c r="N150" s="5" t="s">
        <v>3</v>
      </c>
      <c r="O150" s="5">
        <v>2</v>
      </c>
      <c r="P150" s="5"/>
      <c r="Q150" s="5"/>
      <c r="R150" s="5"/>
      <c r="S150" s="5"/>
      <c r="T150" s="5"/>
      <c r="U150" s="5"/>
      <c r="V150" s="5"/>
      <c r="W150" s="5">
        <v>31343.73</v>
      </c>
      <c r="X150" s="5">
        <v>1</v>
      </c>
      <c r="Y150" s="5">
        <v>31343.73</v>
      </c>
      <c r="Z150" s="5"/>
      <c r="AA150" s="5"/>
      <c r="AB150" s="5"/>
    </row>
    <row r="151" spans="1:28" x14ac:dyDescent="0.2">
      <c r="A151" s="5">
        <v>50</v>
      </c>
      <c r="B151" s="5">
        <v>0</v>
      </c>
      <c r="C151" s="5">
        <v>0</v>
      </c>
      <c r="D151" s="5">
        <v>1</v>
      </c>
      <c r="E151" s="5">
        <v>217</v>
      </c>
      <c r="F151" s="5">
        <f>ROUND(Source!AU132,O151)</f>
        <v>0</v>
      </c>
      <c r="G151" s="5" t="s">
        <v>92</v>
      </c>
      <c r="H151" s="5" t="s">
        <v>93</v>
      </c>
      <c r="I151" s="5"/>
      <c r="J151" s="5"/>
      <c r="K151" s="5">
        <v>217</v>
      </c>
      <c r="L151" s="5">
        <v>18</v>
      </c>
      <c r="M151" s="5">
        <v>3</v>
      </c>
      <c r="N151" s="5" t="s">
        <v>3</v>
      </c>
      <c r="O151" s="5">
        <v>2</v>
      </c>
      <c r="P151" s="5"/>
      <c r="Q151" s="5"/>
      <c r="R151" s="5"/>
      <c r="S151" s="5"/>
      <c r="T151" s="5"/>
      <c r="U151" s="5"/>
      <c r="V151" s="5"/>
      <c r="W151" s="5">
        <v>0</v>
      </c>
      <c r="X151" s="5">
        <v>1</v>
      </c>
      <c r="Y151" s="5">
        <v>0</v>
      </c>
      <c r="Z151" s="5"/>
      <c r="AA151" s="5"/>
      <c r="AB151" s="5"/>
    </row>
    <row r="152" spans="1:28" x14ac:dyDescent="0.2">
      <c r="A152" s="5">
        <v>50</v>
      </c>
      <c r="B152" s="5">
        <v>0</v>
      </c>
      <c r="C152" s="5">
        <v>0</v>
      </c>
      <c r="D152" s="5">
        <v>1</v>
      </c>
      <c r="E152" s="5">
        <v>230</v>
      </c>
      <c r="F152" s="5">
        <f>ROUND(Source!BA132,O152)</f>
        <v>0</v>
      </c>
      <c r="G152" s="5" t="s">
        <v>94</v>
      </c>
      <c r="H152" s="5" t="s">
        <v>95</v>
      </c>
      <c r="I152" s="5"/>
      <c r="J152" s="5"/>
      <c r="K152" s="5">
        <v>230</v>
      </c>
      <c r="L152" s="5">
        <v>19</v>
      </c>
      <c r="M152" s="5">
        <v>3</v>
      </c>
      <c r="N152" s="5" t="s">
        <v>3</v>
      </c>
      <c r="O152" s="5">
        <v>2</v>
      </c>
      <c r="P152" s="5"/>
      <c r="Q152" s="5"/>
      <c r="R152" s="5"/>
      <c r="S152" s="5"/>
      <c r="T152" s="5"/>
      <c r="U152" s="5"/>
      <c r="V152" s="5"/>
      <c r="W152" s="5">
        <v>0</v>
      </c>
      <c r="X152" s="5">
        <v>1</v>
      </c>
      <c r="Y152" s="5">
        <v>0</v>
      </c>
      <c r="Z152" s="5"/>
      <c r="AA152" s="5"/>
      <c r="AB152" s="5"/>
    </row>
    <row r="153" spans="1:28" x14ac:dyDescent="0.2">
      <c r="A153" s="5">
        <v>50</v>
      </c>
      <c r="B153" s="5">
        <v>0</v>
      </c>
      <c r="C153" s="5">
        <v>0</v>
      </c>
      <c r="D153" s="5">
        <v>1</v>
      </c>
      <c r="E153" s="5">
        <v>206</v>
      </c>
      <c r="F153" s="5">
        <f>ROUND(Source!T132,O153)</f>
        <v>0</v>
      </c>
      <c r="G153" s="5" t="s">
        <v>96</v>
      </c>
      <c r="H153" s="5" t="s">
        <v>97</v>
      </c>
      <c r="I153" s="5"/>
      <c r="J153" s="5"/>
      <c r="K153" s="5">
        <v>206</v>
      </c>
      <c r="L153" s="5">
        <v>20</v>
      </c>
      <c r="M153" s="5">
        <v>3</v>
      </c>
      <c r="N153" s="5" t="s">
        <v>3</v>
      </c>
      <c r="O153" s="5">
        <v>2</v>
      </c>
      <c r="P153" s="5"/>
      <c r="Q153" s="5"/>
      <c r="R153" s="5"/>
      <c r="S153" s="5"/>
      <c r="T153" s="5"/>
      <c r="U153" s="5"/>
      <c r="V153" s="5"/>
      <c r="W153" s="5">
        <v>0</v>
      </c>
      <c r="X153" s="5">
        <v>1</v>
      </c>
      <c r="Y153" s="5">
        <v>0</v>
      </c>
      <c r="Z153" s="5"/>
      <c r="AA153" s="5"/>
      <c r="AB153" s="5"/>
    </row>
    <row r="154" spans="1:28" x14ac:dyDescent="0.2">
      <c r="A154" s="5">
        <v>50</v>
      </c>
      <c r="B154" s="5">
        <v>0</v>
      </c>
      <c r="C154" s="5">
        <v>0</v>
      </c>
      <c r="D154" s="5">
        <v>1</v>
      </c>
      <c r="E154" s="5">
        <v>207</v>
      </c>
      <c r="F154" s="5">
        <f>ROUND(Source!U132,O154)</f>
        <v>123.9438</v>
      </c>
      <c r="G154" s="5" t="s">
        <v>98</v>
      </c>
      <c r="H154" s="5" t="s">
        <v>99</v>
      </c>
      <c r="I154" s="5"/>
      <c r="J154" s="5"/>
      <c r="K154" s="5">
        <v>207</v>
      </c>
      <c r="L154" s="5">
        <v>21</v>
      </c>
      <c r="M154" s="5">
        <v>3</v>
      </c>
      <c r="N154" s="5" t="s">
        <v>3</v>
      </c>
      <c r="O154" s="5">
        <v>7</v>
      </c>
      <c r="P154" s="5"/>
      <c r="Q154" s="5"/>
      <c r="R154" s="5"/>
      <c r="S154" s="5"/>
      <c r="T154" s="5"/>
      <c r="U154" s="5"/>
      <c r="V154" s="5"/>
      <c r="W154" s="5">
        <v>123.9438</v>
      </c>
      <c r="X154" s="5">
        <v>1</v>
      </c>
      <c r="Y154" s="5">
        <v>123.9438</v>
      </c>
      <c r="Z154" s="5"/>
      <c r="AA154" s="5"/>
      <c r="AB154" s="5"/>
    </row>
    <row r="155" spans="1:28" x14ac:dyDescent="0.2">
      <c r="A155" s="5">
        <v>50</v>
      </c>
      <c r="B155" s="5">
        <v>0</v>
      </c>
      <c r="C155" s="5">
        <v>0</v>
      </c>
      <c r="D155" s="5">
        <v>1</v>
      </c>
      <c r="E155" s="5">
        <v>208</v>
      </c>
      <c r="F155" s="5">
        <f>ROUND(Source!V132,O155)</f>
        <v>26.642112399999998</v>
      </c>
      <c r="G155" s="5" t="s">
        <v>100</v>
      </c>
      <c r="H155" s="5" t="s">
        <v>101</v>
      </c>
      <c r="I155" s="5"/>
      <c r="J155" s="5"/>
      <c r="K155" s="5">
        <v>208</v>
      </c>
      <c r="L155" s="5">
        <v>22</v>
      </c>
      <c r="M155" s="5">
        <v>3</v>
      </c>
      <c r="N155" s="5" t="s">
        <v>3</v>
      </c>
      <c r="O155" s="5">
        <v>7</v>
      </c>
      <c r="P155" s="5"/>
      <c r="Q155" s="5"/>
      <c r="R155" s="5"/>
      <c r="S155" s="5"/>
      <c r="T155" s="5"/>
      <c r="U155" s="5"/>
      <c r="V155" s="5"/>
      <c r="W155" s="5">
        <v>26.642112399999998</v>
      </c>
      <c r="X155" s="5">
        <v>1</v>
      </c>
      <c r="Y155" s="5">
        <v>26.642112399999998</v>
      </c>
      <c r="Z155" s="5"/>
      <c r="AA155" s="5"/>
      <c r="AB155" s="5"/>
    </row>
    <row r="156" spans="1:28" x14ac:dyDescent="0.2">
      <c r="A156" s="5">
        <v>50</v>
      </c>
      <c r="B156" s="5">
        <v>0</v>
      </c>
      <c r="C156" s="5">
        <v>0</v>
      </c>
      <c r="D156" s="5">
        <v>1</v>
      </c>
      <c r="E156" s="5">
        <v>209</v>
      </c>
      <c r="F156" s="5">
        <f>ROUND(Source!W132,O156)</f>
        <v>0</v>
      </c>
      <c r="G156" s="5" t="s">
        <v>102</v>
      </c>
      <c r="H156" s="5" t="s">
        <v>103</v>
      </c>
      <c r="I156" s="5"/>
      <c r="J156" s="5"/>
      <c r="K156" s="5">
        <v>209</v>
      </c>
      <c r="L156" s="5">
        <v>23</v>
      </c>
      <c r="M156" s="5">
        <v>3</v>
      </c>
      <c r="N156" s="5" t="s">
        <v>3</v>
      </c>
      <c r="O156" s="5">
        <v>2</v>
      </c>
      <c r="P156" s="5"/>
      <c r="Q156" s="5"/>
      <c r="R156" s="5"/>
      <c r="S156" s="5"/>
      <c r="T156" s="5"/>
      <c r="U156" s="5"/>
      <c r="V156" s="5"/>
      <c r="W156" s="5">
        <v>0</v>
      </c>
      <c r="X156" s="5">
        <v>1</v>
      </c>
      <c r="Y156" s="5">
        <v>0</v>
      </c>
      <c r="Z156" s="5"/>
      <c r="AA156" s="5"/>
      <c r="AB156" s="5"/>
    </row>
    <row r="157" spans="1:28" x14ac:dyDescent="0.2">
      <c r="A157" s="5">
        <v>50</v>
      </c>
      <c r="B157" s="5">
        <v>0</v>
      </c>
      <c r="C157" s="5">
        <v>0</v>
      </c>
      <c r="D157" s="5">
        <v>1</v>
      </c>
      <c r="E157" s="5">
        <v>233</v>
      </c>
      <c r="F157" s="5">
        <f>ROUND(Source!BD132,O157)</f>
        <v>0</v>
      </c>
      <c r="G157" s="5" t="s">
        <v>104</v>
      </c>
      <c r="H157" s="5" t="s">
        <v>105</v>
      </c>
      <c r="I157" s="5"/>
      <c r="J157" s="5"/>
      <c r="K157" s="5">
        <v>233</v>
      </c>
      <c r="L157" s="5">
        <v>24</v>
      </c>
      <c r="M157" s="5">
        <v>3</v>
      </c>
      <c r="N157" s="5" t="s">
        <v>3</v>
      </c>
      <c r="O157" s="5">
        <v>2</v>
      </c>
      <c r="P157" s="5"/>
      <c r="Q157" s="5"/>
      <c r="R157" s="5"/>
      <c r="S157" s="5"/>
      <c r="T157" s="5"/>
      <c r="U157" s="5"/>
      <c r="V157" s="5"/>
      <c r="W157" s="5">
        <v>0</v>
      </c>
      <c r="X157" s="5">
        <v>1</v>
      </c>
      <c r="Y157" s="5">
        <v>0</v>
      </c>
      <c r="Z157" s="5"/>
      <c r="AA157" s="5"/>
      <c r="AB157" s="5"/>
    </row>
    <row r="158" spans="1:28" x14ac:dyDescent="0.2">
      <c r="A158" s="5">
        <v>50</v>
      </c>
      <c r="B158" s="5">
        <v>0</v>
      </c>
      <c r="C158" s="5">
        <v>0</v>
      </c>
      <c r="D158" s="5">
        <v>1</v>
      </c>
      <c r="E158" s="5">
        <v>210</v>
      </c>
      <c r="F158" s="5">
        <f>ROUND(Source!X132,O158)</f>
        <v>66116.72</v>
      </c>
      <c r="G158" s="5" t="s">
        <v>106</v>
      </c>
      <c r="H158" s="5" t="s">
        <v>107</v>
      </c>
      <c r="I158" s="5"/>
      <c r="J158" s="5"/>
      <c r="K158" s="5">
        <v>210</v>
      </c>
      <c r="L158" s="5">
        <v>25</v>
      </c>
      <c r="M158" s="5">
        <v>3</v>
      </c>
      <c r="N158" s="5" t="s">
        <v>3</v>
      </c>
      <c r="O158" s="5">
        <v>2</v>
      </c>
      <c r="P158" s="5"/>
      <c r="Q158" s="5"/>
      <c r="R158" s="5"/>
      <c r="S158" s="5"/>
      <c r="T158" s="5"/>
      <c r="U158" s="5"/>
      <c r="V158" s="5"/>
      <c r="W158" s="5">
        <v>66116.72</v>
      </c>
      <c r="X158" s="5">
        <v>1</v>
      </c>
      <c r="Y158" s="5">
        <v>66116.72</v>
      </c>
      <c r="Z158" s="5"/>
      <c r="AA158" s="5"/>
      <c r="AB158" s="5"/>
    </row>
    <row r="159" spans="1:28" x14ac:dyDescent="0.2">
      <c r="A159" s="5">
        <v>50</v>
      </c>
      <c r="B159" s="5">
        <v>0</v>
      </c>
      <c r="C159" s="5">
        <v>0</v>
      </c>
      <c r="D159" s="5">
        <v>1</v>
      </c>
      <c r="E159" s="5">
        <v>211</v>
      </c>
      <c r="F159" s="5">
        <f>ROUND(Source!Y132,O159)</f>
        <v>39251.550000000003</v>
      </c>
      <c r="G159" s="5" t="s">
        <v>108</v>
      </c>
      <c r="H159" s="5" t="s">
        <v>109</v>
      </c>
      <c r="I159" s="5"/>
      <c r="J159" s="5"/>
      <c r="K159" s="5">
        <v>211</v>
      </c>
      <c r="L159" s="5">
        <v>26</v>
      </c>
      <c r="M159" s="5">
        <v>3</v>
      </c>
      <c r="N159" s="5" t="s">
        <v>3</v>
      </c>
      <c r="O159" s="5">
        <v>2</v>
      </c>
      <c r="P159" s="5"/>
      <c r="Q159" s="5"/>
      <c r="R159" s="5"/>
      <c r="S159" s="5"/>
      <c r="T159" s="5"/>
      <c r="U159" s="5"/>
      <c r="V159" s="5"/>
      <c r="W159" s="5">
        <v>39251.550000000003</v>
      </c>
      <c r="X159" s="5">
        <v>1</v>
      </c>
      <c r="Y159" s="5">
        <v>39251.550000000003</v>
      </c>
      <c r="Z159" s="5"/>
      <c r="AA159" s="5"/>
      <c r="AB159" s="5"/>
    </row>
    <row r="160" spans="1:28" x14ac:dyDescent="0.2">
      <c r="A160" s="5">
        <v>50</v>
      </c>
      <c r="B160" s="5">
        <v>0</v>
      </c>
      <c r="C160" s="5">
        <v>0</v>
      </c>
      <c r="D160" s="5">
        <v>1</v>
      </c>
      <c r="E160" s="5">
        <v>224</v>
      </c>
      <c r="F160" s="5">
        <f>ROUND(Source!AR132,O160)</f>
        <v>425420.46</v>
      </c>
      <c r="G160" s="5" t="s">
        <v>110</v>
      </c>
      <c r="H160" s="5" t="s">
        <v>111</v>
      </c>
      <c r="I160" s="5"/>
      <c r="J160" s="5"/>
      <c r="K160" s="5">
        <v>224</v>
      </c>
      <c r="L160" s="5">
        <v>27</v>
      </c>
      <c r="M160" s="5">
        <v>3</v>
      </c>
      <c r="N160" s="5" t="s">
        <v>3</v>
      </c>
      <c r="O160" s="5">
        <v>2</v>
      </c>
      <c r="P160" s="5"/>
      <c r="Q160" s="5"/>
      <c r="R160" s="5"/>
      <c r="S160" s="5"/>
      <c r="T160" s="5"/>
      <c r="U160" s="5"/>
      <c r="V160" s="5"/>
      <c r="W160" s="5">
        <v>425420.45999999996</v>
      </c>
      <c r="X160" s="5">
        <v>1</v>
      </c>
      <c r="Y160" s="5">
        <v>425420.45999999996</v>
      </c>
      <c r="Z160" s="5"/>
      <c r="AA160" s="5"/>
      <c r="AB160" s="5"/>
    </row>
    <row r="162" spans="1:206" x14ac:dyDescent="0.2">
      <c r="A162" s="3">
        <v>51</v>
      </c>
      <c r="B162" s="3">
        <f>B12</f>
        <v>227</v>
      </c>
      <c r="C162" s="3">
        <f>A12</f>
        <v>1</v>
      </c>
      <c r="D162" s="3">
        <f>ROW(A12)</f>
        <v>12</v>
      </c>
      <c r="E162" s="3"/>
      <c r="F162" s="3" t="str">
        <f>IF(F12&lt;&gt;"",F12,"")</f>
        <v>Новый объект_(Копия)_(Копия)_(Копия)_(Копия)_(Копия)_(Копия)</v>
      </c>
      <c r="G162" s="3" t="str">
        <f>IF(G12&lt;&gt;"",G12,"")</f>
        <v>Газопровод низкого давления к жилому дому,расположенному по адресу: Пензенская область,Лопатинский район,Старовершаутский сельсовет</v>
      </c>
      <c r="H162" s="3">
        <v>0</v>
      </c>
      <c r="I162" s="3"/>
      <c r="J162" s="3"/>
      <c r="K162" s="3"/>
      <c r="L162" s="3"/>
      <c r="M162" s="3"/>
      <c r="N162" s="3"/>
      <c r="O162" s="3">
        <f t="shared" ref="O162:T162" si="82">ROUND(O132,2)</f>
        <v>320052.19</v>
      </c>
      <c r="P162" s="3">
        <f t="shared" si="82"/>
        <v>228739.22</v>
      </c>
      <c r="Q162" s="3">
        <f t="shared" si="82"/>
        <v>32115.91</v>
      </c>
      <c r="R162" s="3">
        <f t="shared" si="82"/>
        <v>12598.52</v>
      </c>
      <c r="S162" s="3">
        <f t="shared" si="82"/>
        <v>46598.54</v>
      </c>
      <c r="T162" s="3">
        <f t="shared" si="82"/>
        <v>0</v>
      </c>
      <c r="U162" s="3">
        <f>U132</f>
        <v>123.94379999999998</v>
      </c>
      <c r="V162" s="3">
        <f>V132</f>
        <v>26.642112400000002</v>
      </c>
      <c r="W162" s="3">
        <f>ROUND(W132,2)</f>
        <v>0</v>
      </c>
      <c r="X162" s="3">
        <f>ROUND(X132,2)</f>
        <v>66116.72</v>
      </c>
      <c r="Y162" s="3">
        <f>ROUND(Y132,2)</f>
        <v>39251.550000000003</v>
      </c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>
        <f t="shared" ref="AO162:BD162" si="83">ROUND(AO132,2)</f>
        <v>0</v>
      </c>
      <c r="AP162" s="3">
        <f t="shared" si="83"/>
        <v>0</v>
      </c>
      <c r="AQ162" s="3">
        <f t="shared" si="83"/>
        <v>0</v>
      </c>
      <c r="AR162" s="3">
        <f t="shared" si="83"/>
        <v>425420.46</v>
      </c>
      <c r="AS162" s="3">
        <f t="shared" si="83"/>
        <v>394076.73</v>
      </c>
      <c r="AT162" s="3">
        <f t="shared" si="83"/>
        <v>31343.73</v>
      </c>
      <c r="AU162" s="3">
        <f t="shared" si="83"/>
        <v>0</v>
      </c>
      <c r="AV162" s="3">
        <f t="shared" si="83"/>
        <v>228739.22</v>
      </c>
      <c r="AW162" s="3">
        <f t="shared" si="83"/>
        <v>228739.22</v>
      </c>
      <c r="AX162" s="3">
        <f t="shared" si="83"/>
        <v>0</v>
      </c>
      <c r="AY162" s="3">
        <f t="shared" si="83"/>
        <v>228739.22</v>
      </c>
      <c r="AZ162" s="3">
        <f t="shared" si="83"/>
        <v>0</v>
      </c>
      <c r="BA162" s="3">
        <f t="shared" si="83"/>
        <v>0</v>
      </c>
      <c r="BB162" s="3">
        <f t="shared" si="83"/>
        <v>0</v>
      </c>
      <c r="BC162" s="3">
        <f t="shared" si="83"/>
        <v>0</v>
      </c>
      <c r="BD162" s="3">
        <f t="shared" si="83"/>
        <v>0</v>
      </c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>
        <v>0</v>
      </c>
    </row>
    <row r="164" spans="1:206" x14ac:dyDescent="0.2">
      <c r="A164" s="5">
        <v>50</v>
      </c>
      <c r="B164" s="5">
        <v>0</v>
      </c>
      <c r="C164" s="5">
        <v>0</v>
      </c>
      <c r="D164" s="5">
        <v>1</v>
      </c>
      <c r="E164" s="5">
        <v>0</v>
      </c>
      <c r="F164" s="5">
        <f>ROUND(Source!O162,O164)</f>
        <v>320052.19</v>
      </c>
      <c r="G164" s="5" t="s">
        <v>58</v>
      </c>
      <c r="H164" s="5" t="s">
        <v>59</v>
      </c>
      <c r="I164" s="5"/>
      <c r="J164" s="5"/>
      <c r="K164" s="5">
        <v>201</v>
      </c>
      <c r="L164" s="5">
        <v>1</v>
      </c>
      <c r="M164" s="5">
        <v>3</v>
      </c>
      <c r="N164" s="5" t="s">
        <v>3</v>
      </c>
      <c r="O164" s="5">
        <v>2</v>
      </c>
      <c r="P164" s="5"/>
      <c r="Q164" s="5"/>
      <c r="R164" s="5"/>
      <c r="S164" s="5"/>
      <c r="T164" s="5"/>
      <c r="U164" s="5"/>
      <c r="V164" s="5"/>
      <c r="W164" s="5">
        <v>320052.19</v>
      </c>
      <c r="X164" s="5">
        <v>1</v>
      </c>
      <c r="Y164" s="5">
        <v>320052.19</v>
      </c>
      <c r="Z164" s="5"/>
      <c r="AA164" s="5"/>
      <c r="AB164" s="5"/>
    </row>
    <row r="165" spans="1:206" x14ac:dyDescent="0.2">
      <c r="A165" s="5">
        <v>50</v>
      </c>
      <c r="B165" s="5">
        <v>0</v>
      </c>
      <c r="C165" s="5">
        <v>0</v>
      </c>
      <c r="D165" s="5">
        <v>1</v>
      </c>
      <c r="E165" s="5">
        <v>202</v>
      </c>
      <c r="F165" s="5">
        <f>ROUND(Source!P162,O165)</f>
        <v>228739.22</v>
      </c>
      <c r="G165" s="5" t="s">
        <v>60</v>
      </c>
      <c r="H165" s="5" t="s">
        <v>61</v>
      </c>
      <c r="I165" s="5"/>
      <c r="J165" s="5"/>
      <c r="K165" s="5">
        <v>202</v>
      </c>
      <c r="L165" s="5">
        <v>2</v>
      </c>
      <c r="M165" s="5">
        <v>3</v>
      </c>
      <c r="N165" s="5" t="s">
        <v>3</v>
      </c>
      <c r="O165" s="5">
        <v>2</v>
      </c>
      <c r="P165" s="5"/>
      <c r="Q165" s="5"/>
      <c r="R165" s="5"/>
      <c r="S165" s="5"/>
      <c r="T165" s="5"/>
      <c r="U165" s="5"/>
      <c r="V165" s="5"/>
      <c r="W165" s="5">
        <v>228739.22</v>
      </c>
      <c r="X165" s="5">
        <v>1</v>
      </c>
      <c r="Y165" s="5">
        <v>228739.22</v>
      </c>
      <c r="Z165" s="5"/>
      <c r="AA165" s="5"/>
      <c r="AB165" s="5"/>
    </row>
    <row r="166" spans="1:206" x14ac:dyDescent="0.2">
      <c r="A166" s="5">
        <v>50</v>
      </c>
      <c r="B166" s="5">
        <v>0</v>
      </c>
      <c r="C166" s="5">
        <v>0</v>
      </c>
      <c r="D166" s="5">
        <v>1</v>
      </c>
      <c r="E166" s="5">
        <v>222</v>
      </c>
      <c r="F166" s="5">
        <f>ROUND(Source!AO162,O166)</f>
        <v>0</v>
      </c>
      <c r="G166" s="5" t="s">
        <v>62</v>
      </c>
      <c r="H166" s="5" t="s">
        <v>63</v>
      </c>
      <c r="I166" s="5"/>
      <c r="J166" s="5"/>
      <c r="K166" s="5">
        <v>222</v>
      </c>
      <c r="L166" s="5">
        <v>3</v>
      </c>
      <c r="M166" s="5">
        <v>3</v>
      </c>
      <c r="N166" s="5" t="s">
        <v>3</v>
      </c>
      <c r="O166" s="5">
        <v>2</v>
      </c>
      <c r="P166" s="5"/>
      <c r="Q166" s="5"/>
      <c r="R166" s="5"/>
      <c r="S166" s="5"/>
      <c r="T166" s="5"/>
      <c r="U166" s="5"/>
      <c r="V166" s="5"/>
      <c r="W166" s="5">
        <v>0</v>
      </c>
      <c r="X166" s="5">
        <v>1</v>
      </c>
      <c r="Y166" s="5">
        <v>0</v>
      </c>
      <c r="Z166" s="5"/>
      <c r="AA166" s="5"/>
      <c r="AB166" s="5"/>
    </row>
    <row r="167" spans="1:206" x14ac:dyDescent="0.2">
      <c r="A167" s="5">
        <v>50</v>
      </c>
      <c r="B167" s="5">
        <v>0</v>
      </c>
      <c r="C167" s="5">
        <v>0</v>
      </c>
      <c r="D167" s="5">
        <v>1</v>
      </c>
      <c r="E167" s="5">
        <v>225</v>
      </c>
      <c r="F167" s="5">
        <f>ROUND(Source!AV162,O167)</f>
        <v>228739.22</v>
      </c>
      <c r="G167" s="5" t="s">
        <v>64</v>
      </c>
      <c r="H167" s="5" t="s">
        <v>65</v>
      </c>
      <c r="I167" s="5"/>
      <c r="J167" s="5"/>
      <c r="K167" s="5">
        <v>225</v>
      </c>
      <c r="L167" s="5">
        <v>4</v>
      </c>
      <c r="M167" s="5">
        <v>3</v>
      </c>
      <c r="N167" s="5" t="s">
        <v>3</v>
      </c>
      <c r="O167" s="5">
        <v>2</v>
      </c>
      <c r="P167" s="5"/>
      <c r="Q167" s="5"/>
      <c r="R167" s="5"/>
      <c r="S167" s="5"/>
      <c r="T167" s="5"/>
      <c r="U167" s="5"/>
      <c r="V167" s="5"/>
      <c r="W167" s="5">
        <v>228739.22</v>
      </c>
      <c r="X167" s="5">
        <v>1</v>
      </c>
      <c r="Y167" s="5">
        <v>228739.22</v>
      </c>
      <c r="Z167" s="5"/>
      <c r="AA167" s="5"/>
      <c r="AB167" s="5"/>
    </row>
    <row r="168" spans="1:206" x14ac:dyDescent="0.2">
      <c r="A168" s="5">
        <v>50</v>
      </c>
      <c r="B168" s="5">
        <v>0</v>
      </c>
      <c r="C168" s="5">
        <v>0</v>
      </c>
      <c r="D168" s="5">
        <v>1</v>
      </c>
      <c r="E168" s="5">
        <v>226</v>
      </c>
      <c r="F168" s="5">
        <f>ROUND(Source!AW162,O168)</f>
        <v>228739.22</v>
      </c>
      <c r="G168" s="5" t="s">
        <v>66</v>
      </c>
      <c r="H168" s="5" t="s">
        <v>67</v>
      </c>
      <c r="I168" s="5"/>
      <c r="J168" s="5"/>
      <c r="K168" s="5">
        <v>226</v>
      </c>
      <c r="L168" s="5">
        <v>5</v>
      </c>
      <c r="M168" s="5">
        <v>3</v>
      </c>
      <c r="N168" s="5" t="s">
        <v>3</v>
      </c>
      <c r="O168" s="5">
        <v>2</v>
      </c>
      <c r="P168" s="5"/>
      <c r="Q168" s="5"/>
      <c r="R168" s="5"/>
      <c r="S168" s="5"/>
      <c r="T168" s="5"/>
      <c r="U168" s="5"/>
      <c r="V168" s="5"/>
      <c r="W168" s="5">
        <v>228739.22</v>
      </c>
      <c r="X168" s="5">
        <v>1</v>
      </c>
      <c r="Y168" s="5">
        <v>228739.22</v>
      </c>
      <c r="Z168" s="5"/>
      <c r="AA168" s="5"/>
      <c r="AB168" s="5"/>
    </row>
    <row r="169" spans="1:206" x14ac:dyDescent="0.2">
      <c r="A169" s="5">
        <v>50</v>
      </c>
      <c r="B169" s="5">
        <v>0</v>
      </c>
      <c r="C169" s="5">
        <v>0</v>
      </c>
      <c r="D169" s="5">
        <v>1</v>
      </c>
      <c r="E169" s="5">
        <v>227</v>
      </c>
      <c r="F169" s="5">
        <f>ROUND(Source!AX162,O169)</f>
        <v>0</v>
      </c>
      <c r="G169" s="5" t="s">
        <v>68</v>
      </c>
      <c r="H169" s="5" t="s">
        <v>69</v>
      </c>
      <c r="I169" s="5"/>
      <c r="J169" s="5"/>
      <c r="K169" s="5">
        <v>227</v>
      </c>
      <c r="L169" s="5">
        <v>6</v>
      </c>
      <c r="M169" s="5">
        <v>3</v>
      </c>
      <c r="N169" s="5" t="s">
        <v>3</v>
      </c>
      <c r="O169" s="5">
        <v>2</v>
      </c>
      <c r="P169" s="5"/>
      <c r="Q169" s="5"/>
      <c r="R169" s="5"/>
      <c r="S169" s="5"/>
      <c r="T169" s="5"/>
      <c r="U169" s="5"/>
      <c r="V169" s="5"/>
      <c r="W169" s="5">
        <v>0</v>
      </c>
      <c r="X169" s="5">
        <v>1</v>
      </c>
      <c r="Y169" s="5">
        <v>0</v>
      </c>
      <c r="Z169" s="5"/>
      <c r="AA169" s="5"/>
      <c r="AB169" s="5"/>
    </row>
    <row r="170" spans="1:206" x14ac:dyDescent="0.2">
      <c r="A170" s="5">
        <v>50</v>
      </c>
      <c r="B170" s="5">
        <v>0</v>
      </c>
      <c r="C170" s="5">
        <v>0</v>
      </c>
      <c r="D170" s="5">
        <v>1</v>
      </c>
      <c r="E170" s="5">
        <v>228</v>
      </c>
      <c r="F170" s="5">
        <f>ROUND(Source!AY162,O170)</f>
        <v>228739.22</v>
      </c>
      <c r="G170" s="5" t="s">
        <v>70</v>
      </c>
      <c r="H170" s="5" t="s">
        <v>71</v>
      </c>
      <c r="I170" s="5"/>
      <c r="J170" s="5"/>
      <c r="K170" s="5">
        <v>228</v>
      </c>
      <c r="L170" s="5">
        <v>7</v>
      </c>
      <c r="M170" s="5">
        <v>3</v>
      </c>
      <c r="N170" s="5" t="s">
        <v>3</v>
      </c>
      <c r="O170" s="5">
        <v>2</v>
      </c>
      <c r="P170" s="5"/>
      <c r="Q170" s="5"/>
      <c r="R170" s="5"/>
      <c r="S170" s="5"/>
      <c r="T170" s="5"/>
      <c r="U170" s="5"/>
      <c r="V170" s="5"/>
      <c r="W170" s="5">
        <v>228739.22</v>
      </c>
      <c r="X170" s="5">
        <v>1</v>
      </c>
      <c r="Y170" s="5">
        <v>228739.22</v>
      </c>
      <c r="Z170" s="5"/>
      <c r="AA170" s="5"/>
      <c r="AB170" s="5"/>
    </row>
    <row r="171" spans="1:206" x14ac:dyDescent="0.2">
      <c r="A171" s="5">
        <v>50</v>
      </c>
      <c r="B171" s="5">
        <v>0</v>
      </c>
      <c r="C171" s="5">
        <v>0</v>
      </c>
      <c r="D171" s="5">
        <v>1</v>
      </c>
      <c r="E171" s="5">
        <v>216</v>
      </c>
      <c r="F171" s="5">
        <f>ROUND(Source!AP162,O171)</f>
        <v>0</v>
      </c>
      <c r="G171" s="5" t="s">
        <v>72</v>
      </c>
      <c r="H171" s="5" t="s">
        <v>73</v>
      </c>
      <c r="I171" s="5"/>
      <c r="J171" s="5"/>
      <c r="K171" s="5">
        <v>216</v>
      </c>
      <c r="L171" s="5">
        <v>8</v>
      </c>
      <c r="M171" s="5">
        <v>3</v>
      </c>
      <c r="N171" s="5" t="s">
        <v>3</v>
      </c>
      <c r="O171" s="5">
        <v>2</v>
      </c>
      <c r="P171" s="5"/>
      <c r="Q171" s="5"/>
      <c r="R171" s="5"/>
      <c r="S171" s="5"/>
      <c r="T171" s="5"/>
      <c r="U171" s="5"/>
      <c r="V171" s="5"/>
      <c r="W171" s="5">
        <v>0</v>
      </c>
      <c r="X171" s="5">
        <v>1</v>
      </c>
      <c r="Y171" s="5">
        <v>0</v>
      </c>
      <c r="Z171" s="5"/>
      <c r="AA171" s="5"/>
      <c r="AB171" s="5"/>
    </row>
    <row r="172" spans="1:206" x14ac:dyDescent="0.2">
      <c r="A172" s="5">
        <v>50</v>
      </c>
      <c r="B172" s="5">
        <v>0</v>
      </c>
      <c r="C172" s="5">
        <v>0</v>
      </c>
      <c r="D172" s="5">
        <v>1</v>
      </c>
      <c r="E172" s="5">
        <v>223</v>
      </c>
      <c r="F172" s="5">
        <f>ROUND(Source!AQ162,O172)</f>
        <v>0</v>
      </c>
      <c r="G172" s="5" t="s">
        <v>74</v>
      </c>
      <c r="H172" s="5" t="s">
        <v>75</v>
      </c>
      <c r="I172" s="5"/>
      <c r="J172" s="5"/>
      <c r="K172" s="5">
        <v>223</v>
      </c>
      <c r="L172" s="5">
        <v>9</v>
      </c>
      <c r="M172" s="5">
        <v>3</v>
      </c>
      <c r="N172" s="5" t="s">
        <v>3</v>
      </c>
      <c r="O172" s="5">
        <v>2</v>
      </c>
      <c r="P172" s="5"/>
      <c r="Q172" s="5"/>
      <c r="R172" s="5"/>
      <c r="S172" s="5"/>
      <c r="T172" s="5"/>
      <c r="U172" s="5"/>
      <c r="V172" s="5"/>
      <c r="W172" s="5">
        <v>0</v>
      </c>
      <c r="X172" s="5">
        <v>1</v>
      </c>
      <c r="Y172" s="5">
        <v>0</v>
      </c>
      <c r="Z172" s="5"/>
      <c r="AA172" s="5"/>
      <c r="AB172" s="5"/>
    </row>
    <row r="173" spans="1:206" x14ac:dyDescent="0.2">
      <c r="A173" s="5">
        <v>50</v>
      </c>
      <c r="B173" s="5">
        <v>0</v>
      </c>
      <c r="C173" s="5">
        <v>0</v>
      </c>
      <c r="D173" s="5">
        <v>1</v>
      </c>
      <c r="E173" s="5">
        <v>229</v>
      </c>
      <c r="F173" s="5">
        <f>ROUND(Source!AZ162,O173)</f>
        <v>0</v>
      </c>
      <c r="G173" s="5" t="s">
        <v>76</v>
      </c>
      <c r="H173" s="5" t="s">
        <v>77</v>
      </c>
      <c r="I173" s="5"/>
      <c r="J173" s="5"/>
      <c r="K173" s="5">
        <v>229</v>
      </c>
      <c r="L173" s="5">
        <v>10</v>
      </c>
      <c r="M173" s="5">
        <v>3</v>
      </c>
      <c r="N173" s="5" t="s">
        <v>3</v>
      </c>
      <c r="O173" s="5">
        <v>2</v>
      </c>
      <c r="P173" s="5"/>
      <c r="Q173" s="5"/>
      <c r="R173" s="5"/>
      <c r="S173" s="5"/>
      <c r="T173" s="5"/>
      <c r="U173" s="5"/>
      <c r="V173" s="5"/>
      <c r="W173" s="5">
        <v>0</v>
      </c>
      <c r="X173" s="5">
        <v>1</v>
      </c>
      <c r="Y173" s="5">
        <v>0</v>
      </c>
      <c r="Z173" s="5"/>
      <c r="AA173" s="5"/>
      <c r="AB173" s="5"/>
    </row>
    <row r="174" spans="1:206" x14ac:dyDescent="0.2">
      <c r="A174" s="5">
        <v>50</v>
      </c>
      <c r="B174" s="5">
        <v>0</v>
      </c>
      <c r="C174" s="5">
        <v>0</v>
      </c>
      <c r="D174" s="5">
        <v>1</v>
      </c>
      <c r="E174" s="5">
        <v>203</v>
      </c>
      <c r="F174" s="5">
        <f>ROUND(Source!Q162,O174)</f>
        <v>32115.91</v>
      </c>
      <c r="G174" s="5" t="s">
        <v>78</v>
      </c>
      <c r="H174" s="5" t="s">
        <v>79</v>
      </c>
      <c r="I174" s="5"/>
      <c r="J174" s="5"/>
      <c r="K174" s="5">
        <v>203</v>
      </c>
      <c r="L174" s="5">
        <v>11</v>
      </c>
      <c r="M174" s="5">
        <v>3</v>
      </c>
      <c r="N174" s="5" t="s">
        <v>3</v>
      </c>
      <c r="O174" s="5">
        <v>2</v>
      </c>
      <c r="P174" s="5"/>
      <c r="Q174" s="5"/>
      <c r="R174" s="5"/>
      <c r="S174" s="5"/>
      <c r="T174" s="5"/>
      <c r="U174" s="5"/>
      <c r="V174" s="5"/>
      <c r="W174" s="5">
        <v>32115.91</v>
      </c>
      <c r="X174" s="5">
        <v>1</v>
      </c>
      <c r="Y174" s="5">
        <v>32115.91</v>
      </c>
      <c r="Z174" s="5"/>
      <c r="AA174" s="5"/>
      <c r="AB174" s="5"/>
    </row>
    <row r="175" spans="1:206" x14ac:dyDescent="0.2">
      <c r="A175" s="5">
        <v>50</v>
      </c>
      <c r="B175" s="5">
        <v>0</v>
      </c>
      <c r="C175" s="5">
        <v>0</v>
      </c>
      <c r="D175" s="5">
        <v>1</v>
      </c>
      <c r="E175" s="5">
        <v>231</v>
      </c>
      <c r="F175" s="5">
        <f>ROUND(Source!BB162,O175)</f>
        <v>0</v>
      </c>
      <c r="G175" s="5" t="s">
        <v>80</v>
      </c>
      <c r="H175" s="5" t="s">
        <v>81</v>
      </c>
      <c r="I175" s="5"/>
      <c r="J175" s="5"/>
      <c r="K175" s="5">
        <v>231</v>
      </c>
      <c r="L175" s="5">
        <v>12</v>
      </c>
      <c r="M175" s="5">
        <v>3</v>
      </c>
      <c r="N175" s="5" t="s">
        <v>3</v>
      </c>
      <c r="O175" s="5">
        <v>2</v>
      </c>
      <c r="P175" s="5"/>
      <c r="Q175" s="5"/>
      <c r="R175" s="5"/>
      <c r="S175" s="5"/>
      <c r="T175" s="5"/>
      <c r="U175" s="5"/>
      <c r="V175" s="5"/>
      <c r="W175" s="5">
        <v>0</v>
      </c>
      <c r="X175" s="5">
        <v>1</v>
      </c>
      <c r="Y175" s="5">
        <v>0</v>
      </c>
      <c r="Z175" s="5"/>
      <c r="AA175" s="5"/>
      <c r="AB175" s="5"/>
    </row>
    <row r="176" spans="1:206" x14ac:dyDescent="0.2">
      <c r="A176" s="5">
        <v>50</v>
      </c>
      <c r="B176" s="5">
        <v>0</v>
      </c>
      <c r="C176" s="5">
        <v>0</v>
      </c>
      <c r="D176" s="5">
        <v>1</v>
      </c>
      <c r="E176" s="5">
        <v>204</v>
      </c>
      <c r="F176" s="5">
        <f>ROUND(Source!R162,O176)</f>
        <v>12598.52</v>
      </c>
      <c r="G176" s="5" t="s">
        <v>82</v>
      </c>
      <c r="H176" s="5" t="s">
        <v>83</v>
      </c>
      <c r="I176" s="5"/>
      <c r="J176" s="5"/>
      <c r="K176" s="5">
        <v>204</v>
      </c>
      <c r="L176" s="5">
        <v>13</v>
      </c>
      <c r="M176" s="5">
        <v>3</v>
      </c>
      <c r="N176" s="5" t="s">
        <v>3</v>
      </c>
      <c r="O176" s="5">
        <v>2</v>
      </c>
      <c r="P176" s="5"/>
      <c r="Q176" s="5"/>
      <c r="R176" s="5"/>
      <c r="S176" s="5"/>
      <c r="T176" s="5"/>
      <c r="U176" s="5"/>
      <c r="V176" s="5"/>
      <c r="W176" s="5">
        <v>12598.519999999999</v>
      </c>
      <c r="X176" s="5">
        <v>1</v>
      </c>
      <c r="Y176" s="5">
        <v>12598.519999999999</v>
      </c>
      <c r="Z176" s="5"/>
      <c r="AA176" s="5"/>
      <c r="AB176" s="5"/>
    </row>
    <row r="177" spans="1:28" x14ac:dyDescent="0.2">
      <c r="A177" s="5">
        <v>50</v>
      </c>
      <c r="B177" s="5">
        <v>0</v>
      </c>
      <c r="C177" s="5">
        <v>0</v>
      </c>
      <c r="D177" s="5">
        <v>1</v>
      </c>
      <c r="E177" s="5">
        <v>205</v>
      </c>
      <c r="F177" s="5">
        <f>ROUND(Source!S162,O177)</f>
        <v>46598.54</v>
      </c>
      <c r="G177" s="5" t="s">
        <v>84</v>
      </c>
      <c r="H177" s="5" t="s">
        <v>85</v>
      </c>
      <c r="I177" s="5"/>
      <c r="J177" s="5"/>
      <c r="K177" s="5">
        <v>205</v>
      </c>
      <c r="L177" s="5">
        <v>14</v>
      </c>
      <c r="M177" s="5">
        <v>3</v>
      </c>
      <c r="N177" s="5" t="s">
        <v>3</v>
      </c>
      <c r="O177" s="5">
        <v>2</v>
      </c>
      <c r="P177" s="5"/>
      <c r="Q177" s="5"/>
      <c r="R177" s="5"/>
      <c r="S177" s="5"/>
      <c r="T177" s="5"/>
      <c r="U177" s="5"/>
      <c r="V177" s="5"/>
      <c r="W177" s="5">
        <v>46598.540000000008</v>
      </c>
      <c r="X177" s="5">
        <v>1</v>
      </c>
      <c r="Y177" s="5">
        <v>46598.540000000008</v>
      </c>
      <c r="Z177" s="5"/>
      <c r="AA177" s="5"/>
      <c r="AB177" s="5"/>
    </row>
    <row r="178" spans="1:28" x14ac:dyDescent="0.2">
      <c r="A178" s="5">
        <v>50</v>
      </c>
      <c r="B178" s="5">
        <v>0</v>
      </c>
      <c r="C178" s="5">
        <v>0</v>
      </c>
      <c r="D178" s="5">
        <v>1</v>
      </c>
      <c r="E178" s="5">
        <v>232</v>
      </c>
      <c r="F178" s="5">
        <f>ROUND(Source!BC162,O178)</f>
        <v>0</v>
      </c>
      <c r="G178" s="5" t="s">
        <v>86</v>
      </c>
      <c r="H178" s="5" t="s">
        <v>87</v>
      </c>
      <c r="I178" s="5"/>
      <c r="J178" s="5"/>
      <c r="K178" s="5">
        <v>232</v>
      </c>
      <c r="L178" s="5">
        <v>15</v>
      </c>
      <c r="M178" s="5">
        <v>3</v>
      </c>
      <c r="N178" s="5" t="s">
        <v>3</v>
      </c>
      <c r="O178" s="5">
        <v>2</v>
      </c>
      <c r="P178" s="5"/>
      <c r="Q178" s="5"/>
      <c r="R178" s="5"/>
      <c r="S178" s="5"/>
      <c r="T178" s="5"/>
      <c r="U178" s="5"/>
      <c r="V178" s="5"/>
      <c r="W178" s="5">
        <v>0</v>
      </c>
      <c r="X178" s="5">
        <v>1</v>
      </c>
      <c r="Y178" s="5">
        <v>0</v>
      </c>
      <c r="Z178" s="5"/>
      <c r="AA178" s="5"/>
      <c r="AB178" s="5"/>
    </row>
    <row r="179" spans="1:28" x14ac:dyDescent="0.2">
      <c r="A179" s="5">
        <v>50</v>
      </c>
      <c r="B179" s="5">
        <v>0</v>
      </c>
      <c r="C179" s="5">
        <v>0</v>
      </c>
      <c r="D179" s="5">
        <v>1</v>
      </c>
      <c r="E179" s="5">
        <v>214</v>
      </c>
      <c r="F179" s="5">
        <f>ROUND(Source!AS162,O179)</f>
        <v>394076.73</v>
      </c>
      <c r="G179" s="5" t="s">
        <v>88</v>
      </c>
      <c r="H179" s="5" t="s">
        <v>89</v>
      </c>
      <c r="I179" s="5"/>
      <c r="J179" s="5"/>
      <c r="K179" s="5">
        <v>214</v>
      </c>
      <c r="L179" s="5">
        <v>16</v>
      </c>
      <c r="M179" s="5">
        <v>3</v>
      </c>
      <c r="N179" s="5" t="s">
        <v>3</v>
      </c>
      <c r="O179" s="5">
        <v>2</v>
      </c>
      <c r="P179" s="5"/>
      <c r="Q179" s="5"/>
      <c r="R179" s="5"/>
      <c r="S179" s="5"/>
      <c r="T179" s="5"/>
      <c r="U179" s="5"/>
      <c r="V179" s="5"/>
      <c r="W179" s="5">
        <v>394076.73</v>
      </c>
      <c r="X179" s="5">
        <v>1</v>
      </c>
      <c r="Y179" s="5">
        <v>394076.73</v>
      </c>
      <c r="Z179" s="5"/>
      <c r="AA179" s="5"/>
      <c r="AB179" s="5"/>
    </row>
    <row r="180" spans="1:28" x14ac:dyDescent="0.2">
      <c r="A180" s="5">
        <v>50</v>
      </c>
      <c r="B180" s="5">
        <v>0</v>
      </c>
      <c r="C180" s="5">
        <v>0</v>
      </c>
      <c r="D180" s="5">
        <v>1</v>
      </c>
      <c r="E180" s="5">
        <v>215</v>
      </c>
      <c r="F180" s="5">
        <f>ROUND(Source!AT162,O180)</f>
        <v>31343.73</v>
      </c>
      <c r="G180" s="5" t="s">
        <v>90</v>
      </c>
      <c r="H180" s="5" t="s">
        <v>91</v>
      </c>
      <c r="I180" s="5"/>
      <c r="J180" s="5"/>
      <c r="K180" s="5">
        <v>215</v>
      </c>
      <c r="L180" s="5">
        <v>17</v>
      </c>
      <c r="M180" s="5">
        <v>3</v>
      </c>
      <c r="N180" s="5" t="s">
        <v>3</v>
      </c>
      <c r="O180" s="5">
        <v>2</v>
      </c>
      <c r="P180" s="5"/>
      <c r="Q180" s="5"/>
      <c r="R180" s="5"/>
      <c r="S180" s="5"/>
      <c r="T180" s="5"/>
      <c r="U180" s="5"/>
      <c r="V180" s="5"/>
      <c r="W180" s="5">
        <v>31343.73</v>
      </c>
      <c r="X180" s="5">
        <v>1</v>
      </c>
      <c r="Y180" s="5">
        <v>31343.73</v>
      </c>
      <c r="Z180" s="5"/>
      <c r="AA180" s="5"/>
      <c r="AB180" s="5"/>
    </row>
    <row r="181" spans="1:28" x14ac:dyDescent="0.2">
      <c r="A181" s="5">
        <v>50</v>
      </c>
      <c r="B181" s="5">
        <v>0</v>
      </c>
      <c r="C181" s="5">
        <v>0</v>
      </c>
      <c r="D181" s="5">
        <v>1</v>
      </c>
      <c r="E181" s="5">
        <v>217</v>
      </c>
      <c r="F181" s="5">
        <f>ROUND(Source!AU162,O181)</f>
        <v>0</v>
      </c>
      <c r="G181" s="5" t="s">
        <v>92</v>
      </c>
      <c r="H181" s="5" t="s">
        <v>93</v>
      </c>
      <c r="I181" s="5"/>
      <c r="J181" s="5"/>
      <c r="K181" s="5">
        <v>217</v>
      </c>
      <c r="L181" s="5">
        <v>18</v>
      </c>
      <c r="M181" s="5">
        <v>3</v>
      </c>
      <c r="N181" s="5" t="s">
        <v>3</v>
      </c>
      <c r="O181" s="5">
        <v>2</v>
      </c>
      <c r="P181" s="5"/>
      <c r="Q181" s="5"/>
      <c r="R181" s="5"/>
      <c r="S181" s="5"/>
      <c r="T181" s="5"/>
      <c r="U181" s="5"/>
      <c r="V181" s="5"/>
      <c r="W181" s="5">
        <v>0</v>
      </c>
      <c r="X181" s="5">
        <v>1</v>
      </c>
      <c r="Y181" s="5">
        <v>0</v>
      </c>
      <c r="Z181" s="5"/>
      <c r="AA181" s="5"/>
      <c r="AB181" s="5"/>
    </row>
    <row r="182" spans="1:28" x14ac:dyDescent="0.2">
      <c r="A182" s="5">
        <v>50</v>
      </c>
      <c r="B182" s="5">
        <v>0</v>
      </c>
      <c r="C182" s="5">
        <v>0</v>
      </c>
      <c r="D182" s="5">
        <v>1</v>
      </c>
      <c r="E182" s="5">
        <v>230</v>
      </c>
      <c r="F182" s="5">
        <f>ROUND(Source!BA162,O182)</f>
        <v>0</v>
      </c>
      <c r="G182" s="5" t="s">
        <v>94</v>
      </c>
      <c r="H182" s="5" t="s">
        <v>95</v>
      </c>
      <c r="I182" s="5"/>
      <c r="J182" s="5"/>
      <c r="K182" s="5">
        <v>230</v>
      </c>
      <c r="L182" s="5">
        <v>19</v>
      </c>
      <c r="M182" s="5">
        <v>3</v>
      </c>
      <c r="N182" s="5" t="s">
        <v>3</v>
      </c>
      <c r="O182" s="5">
        <v>2</v>
      </c>
      <c r="P182" s="5"/>
      <c r="Q182" s="5"/>
      <c r="R182" s="5"/>
      <c r="S182" s="5"/>
      <c r="T182" s="5"/>
      <c r="U182" s="5"/>
      <c r="V182" s="5"/>
      <c r="W182" s="5">
        <v>0</v>
      </c>
      <c r="X182" s="5">
        <v>1</v>
      </c>
      <c r="Y182" s="5">
        <v>0</v>
      </c>
      <c r="Z182" s="5"/>
      <c r="AA182" s="5"/>
      <c r="AB182" s="5"/>
    </row>
    <row r="183" spans="1:28" x14ac:dyDescent="0.2">
      <c r="A183" s="5">
        <v>50</v>
      </c>
      <c r="B183" s="5">
        <v>0</v>
      </c>
      <c r="C183" s="5">
        <v>0</v>
      </c>
      <c r="D183" s="5">
        <v>1</v>
      </c>
      <c r="E183" s="5">
        <v>206</v>
      </c>
      <c r="F183" s="5">
        <f>ROUND(Source!T162,O183)</f>
        <v>0</v>
      </c>
      <c r="G183" s="5" t="s">
        <v>96</v>
      </c>
      <c r="H183" s="5" t="s">
        <v>97</v>
      </c>
      <c r="I183" s="5"/>
      <c r="J183" s="5"/>
      <c r="K183" s="5">
        <v>206</v>
      </c>
      <c r="L183" s="5">
        <v>20</v>
      </c>
      <c r="M183" s="5">
        <v>3</v>
      </c>
      <c r="N183" s="5" t="s">
        <v>3</v>
      </c>
      <c r="O183" s="5">
        <v>2</v>
      </c>
      <c r="P183" s="5"/>
      <c r="Q183" s="5"/>
      <c r="R183" s="5"/>
      <c r="S183" s="5"/>
      <c r="T183" s="5"/>
      <c r="U183" s="5"/>
      <c r="V183" s="5"/>
      <c r="W183" s="5">
        <v>0</v>
      </c>
      <c r="X183" s="5">
        <v>1</v>
      </c>
      <c r="Y183" s="5">
        <v>0</v>
      </c>
      <c r="Z183" s="5"/>
      <c r="AA183" s="5"/>
      <c r="AB183" s="5"/>
    </row>
    <row r="184" spans="1:28" x14ac:dyDescent="0.2">
      <c r="A184" s="5">
        <v>50</v>
      </c>
      <c r="B184" s="5">
        <v>0</v>
      </c>
      <c r="C184" s="5">
        <v>0</v>
      </c>
      <c r="D184" s="5">
        <v>1</v>
      </c>
      <c r="E184" s="5">
        <v>207</v>
      </c>
      <c r="F184" s="5">
        <f>ROUND(Source!U162,O184)</f>
        <v>123.9438</v>
      </c>
      <c r="G184" s="5" t="s">
        <v>98</v>
      </c>
      <c r="H184" s="5" t="s">
        <v>99</v>
      </c>
      <c r="I184" s="5"/>
      <c r="J184" s="5"/>
      <c r="K184" s="5">
        <v>207</v>
      </c>
      <c r="L184" s="5">
        <v>21</v>
      </c>
      <c r="M184" s="5">
        <v>3</v>
      </c>
      <c r="N184" s="5" t="s">
        <v>3</v>
      </c>
      <c r="O184" s="5">
        <v>7</v>
      </c>
      <c r="P184" s="5"/>
      <c r="Q184" s="5"/>
      <c r="R184" s="5"/>
      <c r="S184" s="5"/>
      <c r="T184" s="5"/>
      <c r="U184" s="5"/>
      <c r="V184" s="5"/>
      <c r="W184" s="5">
        <v>123.9438</v>
      </c>
      <c r="X184" s="5">
        <v>1</v>
      </c>
      <c r="Y184" s="5">
        <v>123.9438</v>
      </c>
      <c r="Z184" s="5"/>
      <c r="AA184" s="5"/>
      <c r="AB184" s="5"/>
    </row>
    <row r="185" spans="1:28" x14ac:dyDescent="0.2">
      <c r="A185" s="5">
        <v>50</v>
      </c>
      <c r="B185" s="5">
        <v>0</v>
      </c>
      <c r="C185" s="5">
        <v>0</v>
      </c>
      <c r="D185" s="5">
        <v>1</v>
      </c>
      <c r="E185" s="5">
        <v>208</v>
      </c>
      <c r="F185" s="5">
        <f>ROUND(Source!V162,O185)</f>
        <v>26.642112399999998</v>
      </c>
      <c r="G185" s="5" t="s">
        <v>100</v>
      </c>
      <c r="H185" s="5" t="s">
        <v>101</v>
      </c>
      <c r="I185" s="5"/>
      <c r="J185" s="5"/>
      <c r="K185" s="5">
        <v>208</v>
      </c>
      <c r="L185" s="5">
        <v>22</v>
      </c>
      <c r="M185" s="5">
        <v>3</v>
      </c>
      <c r="N185" s="5" t="s">
        <v>3</v>
      </c>
      <c r="O185" s="5">
        <v>7</v>
      </c>
      <c r="P185" s="5"/>
      <c r="Q185" s="5"/>
      <c r="R185" s="5"/>
      <c r="S185" s="5"/>
      <c r="T185" s="5"/>
      <c r="U185" s="5"/>
      <c r="V185" s="5"/>
      <c r="W185" s="5">
        <v>26.642112399999998</v>
      </c>
      <c r="X185" s="5">
        <v>1</v>
      </c>
      <c r="Y185" s="5">
        <v>26.642112399999998</v>
      </c>
      <c r="Z185" s="5"/>
      <c r="AA185" s="5"/>
      <c r="AB185" s="5"/>
    </row>
    <row r="186" spans="1:28" x14ac:dyDescent="0.2">
      <c r="A186" s="5">
        <v>50</v>
      </c>
      <c r="B186" s="5">
        <v>0</v>
      </c>
      <c r="C186" s="5">
        <v>0</v>
      </c>
      <c r="D186" s="5">
        <v>1</v>
      </c>
      <c r="E186" s="5">
        <v>209</v>
      </c>
      <c r="F186" s="5">
        <f>ROUND(Source!W162,O186)</f>
        <v>0</v>
      </c>
      <c r="G186" s="5" t="s">
        <v>102</v>
      </c>
      <c r="H186" s="5" t="s">
        <v>103</v>
      </c>
      <c r="I186" s="5"/>
      <c r="J186" s="5"/>
      <c r="K186" s="5">
        <v>209</v>
      </c>
      <c r="L186" s="5">
        <v>23</v>
      </c>
      <c r="M186" s="5">
        <v>3</v>
      </c>
      <c r="N186" s="5" t="s">
        <v>3</v>
      </c>
      <c r="O186" s="5">
        <v>2</v>
      </c>
      <c r="P186" s="5"/>
      <c r="Q186" s="5"/>
      <c r="R186" s="5"/>
      <c r="S186" s="5"/>
      <c r="T186" s="5"/>
      <c r="U186" s="5"/>
      <c r="V186" s="5"/>
      <c r="W186" s="5">
        <v>0</v>
      </c>
      <c r="X186" s="5">
        <v>1</v>
      </c>
      <c r="Y186" s="5">
        <v>0</v>
      </c>
      <c r="Z186" s="5"/>
      <c r="AA186" s="5"/>
      <c r="AB186" s="5"/>
    </row>
    <row r="187" spans="1:28" x14ac:dyDescent="0.2">
      <c r="A187" s="5">
        <v>50</v>
      </c>
      <c r="B187" s="5">
        <v>0</v>
      </c>
      <c r="C187" s="5">
        <v>0</v>
      </c>
      <c r="D187" s="5">
        <v>1</v>
      </c>
      <c r="E187" s="5">
        <v>233</v>
      </c>
      <c r="F187" s="5">
        <f>ROUND(Source!BD162,O187)</f>
        <v>0</v>
      </c>
      <c r="G187" s="5" t="s">
        <v>104</v>
      </c>
      <c r="H187" s="5" t="s">
        <v>105</v>
      </c>
      <c r="I187" s="5"/>
      <c r="J187" s="5"/>
      <c r="K187" s="5">
        <v>233</v>
      </c>
      <c r="L187" s="5">
        <v>24</v>
      </c>
      <c r="M187" s="5">
        <v>3</v>
      </c>
      <c r="N187" s="5" t="s">
        <v>3</v>
      </c>
      <c r="O187" s="5">
        <v>2</v>
      </c>
      <c r="P187" s="5"/>
      <c r="Q187" s="5"/>
      <c r="R187" s="5"/>
      <c r="S187" s="5"/>
      <c r="T187" s="5"/>
      <c r="U187" s="5"/>
      <c r="V187" s="5"/>
      <c r="W187" s="5">
        <v>0</v>
      </c>
      <c r="X187" s="5">
        <v>1</v>
      </c>
      <c r="Y187" s="5">
        <v>0</v>
      </c>
      <c r="Z187" s="5"/>
      <c r="AA187" s="5"/>
      <c r="AB187" s="5"/>
    </row>
    <row r="188" spans="1:28" x14ac:dyDescent="0.2">
      <c r="A188" s="5">
        <v>50</v>
      </c>
      <c r="B188" s="5">
        <v>0</v>
      </c>
      <c r="C188" s="5">
        <v>0</v>
      </c>
      <c r="D188" s="5">
        <v>1</v>
      </c>
      <c r="E188" s="5">
        <v>0</v>
      </c>
      <c r="F188" s="5">
        <f>ROUND(Source!X162,O188)</f>
        <v>66116.72</v>
      </c>
      <c r="G188" s="5" t="s">
        <v>106</v>
      </c>
      <c r="H188" s="5" t="s">
        <v>107</v>
      </c>
      <c r="I188" s="5"/>
      <c r="J188" s="5"/>
      <c r="K188" s="5">
        <v>210</v>
      </c>
      <c r="L188" s="5">
        <v>25</v>
      </c>
      <c r="M188" s="5">
        <v>3</v>
      </c>
      <c r="N188" s="5" t="s">
        <v>3</v>
      </c>
      <c r="O188" s="5">
        <v>2</v>
      </c>
      <c r="P188" s="5"/>
      <c r="Q188" s="5"/>
      <c r="R188" s="5"/>
      <c r="S188" s="5"/>
      <c r="T188" s="5"/>
      <c r="U188" s="5"/>
      <c r="V188" s="5"/>
      <c r="W188" s="5">
        <v>66116.72</v>
      </c>
      <c r="X188" s="5">
        <v>1</v>
      </c>
      <c r="Y188" s="5">
        <v>66116.72</v>
      </c>
      <c r="Z188" s="5"/>
      <c r="AA188" s="5"/>
      <c r="AB188" s="5"/>
    </row>
    <row r="189" spans="1:28" x14ac:dyDescent="0.2">
      <c r="A189" s="5">
        <v>50</v>
      </c>
      <c r="B189" s="5">
        <v>0</v>
      </c>
      <c r="C189" s="5">
        <v>0</v>
      </c>
      <c r="D189" s="5">
        <v>1</v>
      </c>
      <c r="E189" s="5">
        <v>0</v>
      </c>
      <c r="F189" s="5">
        <f>ROUND(Source!Y162,O189)</f>
        <v>39251.550000000003</v>
      </c>
      <c r="G189" s="5" t="s">
        <v>108</v>
      </c>
      <c r="H189" s="5" t="s">
        <v>109</v>
      </c>
      <c r="I189" s="5"/>
      <c r="J189" s="5"/>
      <c r="K189" s="5">
        <v>211</v>
      </c>
      <c r="L189" s="5">
        <v>26</v>
      </c>
      <c r="M189" s="5">
        <v>3</v>
      </c>
      <c r="N189" s="5" t="s">
        <v>3</v>
      </c>
      <c r="O189" s="5">
        <v>2</v>
      </c>
      <c r="P189" s="5"/>
      <c r="Q189" s="5"/>
      <c r="R189" s="5"/>
      <c r="S189" s="5"/>
      <c r="T189" s="5"/>
      <c r="U189" s="5"/>
      <c r="V189" s="5"/>
      <c r="W189" s="5">
        <v>39251.550000000003</v>
      </c>
      <c r="X189" s="5">
        <v>1</v>
      </c>
      <c r="Y189" s="5">
        <v>39251.550000000003</v>
      </c>
      <c r="Z189" s="5"/>
      <c r="AA189" s="5"/>
      <c r="AB189" s="5"/>
    </row>
    <row r="190" spans="1:28" x14ac:dyDescent="0.2">
      <c r="A190" s="5">
        <v>50</v>
      </c>
      <c r="B190" s="5">
        <v>0</v>
      </c>
      <c r="C190" s="5">
        <v>0</v>
      </c>
      <c r="D190" s="5">
        <v>1</v>
      </c>
      <c r="E190" s="5">
        <v>224</v>
      </c>
      <c r="F190" s="5">
        <f>ROUND(Source!AR162,O190)</f>
        <v>425420.46</v>
      </c>
      <c r="G190" s="5" t="s">
        <v>110</v>
      </c>
      <c r="H190" s="5" t="s">
        <v>111</v>
      </c>
      <c r="I190" s="5"/>
      <c r="J190" s="5"/>
      <c r="K190" s="5">
        <v>224</v>
      </c>
      <c r="L190" s="5">
        <v>27</v>
      </c>
      <c r="M190" s="5">
        <v>3</v>
      </c>
      <c r="N190" s="5" t="s">
        <v>3</v>
      </c>
      <c r="O190" s="5">
        <v>2</v>
      </c>
      <c r="P190" s="5"/>
      <c r="Q190" s="5"/>
      <c r="R190" s="5"/>
      <c r="S190" s="5"/>
      <c r="T190" s="5"/>
      <c r="U190" s="5"/>
      <c r="V190" s="5"/>
      <c r="W190" s="5">
        <v>425420.45999999996</v>
      </c>
      <c r="X190" s="5">
        <v>1</v>
      </c>
      <c r="Y190" s="5">
        <v>425420.45999999996</v>
      </c>
      <c r="Z190" s="5"/>
      <c r="AA190" s="5"/>
      <c r="AB190" s="5"/>
    </row>
    <row r="191" spans="1:28" x14ac:dyDescent="0.2">
      <c r="A191" s="5">
        <v>50</v>
      </c>
      <c r="B191" s="5">
        <v>1</v>
      </c>
      <c r="C191" s="5">
        <v>0</v>
      </c>
      <c r="D191" s="5">
        <v>2</v>
      </c>
      <c r="E191" s="5">
        <v>201</v>
      </c>
      <c r="F191" s="5">
        <f>ROUND(ROUND(F164,0),O191)</f>
        <v>320052</v>
      </c>
      <c r="G191" s="5" t="s">
        <v>268</v>
      </c>
      <c r="H191" s="5" t="s">
        <v>269</v>
      </c>
      <c r="I191" s="5"/>
      <c r="J191" s="5"/>
      <c r="K191" s="5">
        <v>212</v>
      </c>
      <c r="L191" s="5">
        <v>28</v>
      </c>
      <c r="M191" s="5">
        <v>0</v>
      </c>
      <c r="N191" s="5" t="s">
        <v>3</v>
      </c>
      <c r="O191" s="5">
        <v>0</v>
      </c>
      <c r="P191" s="5"/>
      <c r="Q191" s="5"/>
      <c r="R191" s="5"/>
      <c r="S191" s="5"/>
      <c r="T191" s="5"/>
      <c r="U191" s="5"/>
      <c r="V191" s="5"/>
      <c r="W191" s="5">
        <v>320052</v>
      </c>
      <c r="X191" s="5">
        <v>1</v>
      </c>
      <c r="Y191" s="5">
        <v>320052</v>
      </c>
      <c r="Z191" s="5"/>
      <c r="AA191" s="5"/>
      <c r="AB191" s="5"/>
    </row>
    <row r="192" spans="1:28" x14ac:dyDescent="0.2">
      <c r="A192" s="5">
        <v>50</v>
      </c>
      <c r="B192" s="5">
        <v>1</v>
      </c>
      <c r="C192" s="5">
        <v>0</v>
      </c>
      <c r="D192" s="5">
        <v>2</v>
      </c>
      <c r="E192" s="5">
        <v>210</v>
      </c>
      <c r="F192" s="5">
        <f>ROUND(ROUND(F188,0),O192)</f>
        <v>66117</v>
      </c>
      <c r="G192" s="5" t="s">
        <v>270</v>
      </c>
      <c r="H192" s="5" t="s">
        <v>107</v>
      </c>
      <c r="I192" s="5"/>
      <c r="J192" s="5"/>
      <c r="K192" s="5">
        <v>212</v>
      </c>
      <c r="L192" s="5">
        <v>29</v>
      </c>
      <c r="M192" s="5">
        <v>0</v>
      </c>
      <c r="N192" s="5" t="s">
        <v>3</v>
      </c>
      <c r="O192" s="5">
        <v>0</v>
      </c>
      <c r="P192" s="5"/>
      <c r="Q192" s="5"/>
      <c r="R192" s="5"/>
      <c r="S192" s="5"/>
      <c r="T192" s="5"/>
      <c r="U192" s="5"/>
      <c r="V192" s="5"/>
      <c r="W192" s="5">
        <v>66117</v>
      </c>
      <c r="X192" s="5">
        <v>1</v>
      </c>
      <c r="Y192" s="5">
        <v>66117</v>
      </c>
      <c r="Z192" s="5"/>
      <c r="AA192" s="5"/>
      <c r="AB192" s="5"/>
    </row>
    <row r="193" spans="1:28" x14ac:dyDescent="0.2">
      <c r="A193" s="5">
        <v>50</v>
      </c>
      <c r="B193" s="5">
        <v>1</v>
      </c>
      <c r="C193" s="5">
        <v>0</v>
      </c>
      <c r="D193" s="5">
        <v>2</v>
      </c>
      <c r="E193" s="5">
        <v>211</v>
      </c>
      <c r="F193" s="5">
        <f>ROUND(ROUND(F189,0),O193)</f>
        <v>39252</v>
      </c>
      <c r="G193" s="5" t="s">
        <v>271</v>
      </c>
      <c r="H193" s="5" t="s">
        <v>109</v>
      </c>
      <c r="I193" s="5"/>
      <c r="J193" s="5"/>
      <c r="K193" s="5">
        <v>212</v>
      </c>
      <c r="L193" s="5">
        <v>30</v>
      </c>
      <c r="M193" s="5">
        <v>0</v>
      </c>
      <c r="N193" s="5" t="s">
        <v>3</v>
      </c>
      <c r="O193" s="5">
        <v>0</v>
      </c>
      <c r="P193" s="5"/>
      <c r="Q193" s="5"/>
      <c r="R193" s="5"/>
      <c r="S193" s="5"/>
      <c r="T193" s="5"/>
      <c r="U193" s="5"/>
      <c r="V193" s="5"/>
      <c r="W193" s="5">
        <v>39252</v>
      </c>
      <c r="X193" s="5">
        <v>1</v>
      </c>
      <c r="Y193" s="5">
        <v>39252</v>
      </c>
      <c r="Z193" s="5"/>
      <c r="AA193" s="5"/>
      <c r="AB193" s="5"/>
    </row>
    <row r="194" spans="1:28" x14ac:dyDescent="0.2">
      <c r="A194" s="5">
        <v>50</v>
      </c>
      <c r="B194" s="5">
        <v>1</v>
      </c>
      <c r="C194" s="5">
        <v>0</v>
      </c>
      <c r="D194" s="5">
        <v>2</v>
      </c>
      <c r="E194" s="5">
        <v>0</v>
      </c>
      <c r="F194" s="5">
        <f>ROUND(F191+F192+F193,O194)</f>
        <v>425421</v>
      </c>
      <c r="G194" s="5" t="s">
        <v>272</v>
      </c>
      <c r="H194" s="5" t="s">
        <v>273</v>
      </c>
      <c r="I194" s="5"/>
      <c r="J194" s="5"/>
      <c r="K194" s="5">
        <v>212</v>
      </c>
      <c r="L194" s="5">
        <v>31</v>
      </c>
      <c r="M194" s="5">
        <v>0</v>
      </c>
      <c r="N194" s="5" t="s">
        <v>3</v>
      </c>
      <c r="O194" s="5">
        <v>2</v>
      </c>
      <c r="P194" s="5"/>
      <c r="Q194" s="5"/>
      <c r="R194" s="5"/>
      <c r="S194" s="5"/>
      <c r="T194" s="5"/>
      <c r="U194" s="5"/>
      <c r="V194" s="5"/>
      <c r="W194" s="5">
        <v>425421</v>
      </c>
      <c r="X194" s="5">
        <v>1</v>
      </c>
      <c r="Y194" s="5">
        <v>425421</v>
      </c>
      <c r="Z194" s="5"/>
      <c r="AA194" s="5"/>
      <c r="AB194" s="5"/>
    </row>
    <row r="195" spans="1:28" x14ac:dyDescent="0.2">
      <c r="A195" s="5">
        <v>50</v>
      </c>
      <c r="B195" s="5">
        <v>1</v>
      </c>
      <c r="C195" s="5">
        <v>0</v>
      </c>
      <c r="D195" s="5">
        <v>2</v>
      </c>
      <c r="E195" s="5">
        <v>0</v>
      </c>
      <c r="F195" s="5">
        <f>ROUND(ROUND(F194*0.015,0),O195)</f>
        <v>6381</v>
      </c>
      <c r="G195" s="5" t="s">
        <v>274</v>
      </c>
      <c r="H195" s="5" t="s">
        <v>275</v>
      </c>
      <c r="I195" s="5"/>
      <c r="J195" s="5"/>
      <c r="K195" s="5">
        <v>212</v>
      </c>
      <c r="L195" s="5">
        <v>32</v>
      </c>
      <c r="M195" s="5">
        <v>0</v>
      </c>
      <c r="N195" s="5" t="s">
        <v>3</v>
      </c>
      <c r="O195" s="5">
        <v>0</v>
      </c>
      <c r="P195" s="5"/>
      <c r="Q195" s="5"/>
      <c r="R195" s="5"/>
      <c r="S195" s="5"/>
      <c r="T195" s="5"/>
      <c r="U195" s="5"/>
      <c r="V195" s="5"/>
      <c r="W195" s="5">
        <v>6381</v>
      </c>
      <c r="X195" s="5">
        <v>1</v>
      </c>
      <c r="Y195" s="5">
        <v>6381</v>
      </c>
      <c r="Z195" s="5"/>
      <c r="AA195" s="5"/>
      <c r="AB195" s="5"/>
    </row>
    <row r="196" spans="1:28" x14ac:dyDescent="0.2">
      <c r="A196" s="5">
        <v>50</v>
      </c>
      <c r="B196" s="5">
        <v>1</v>
      </c>
      <c r="C196" s="5">
        <v>0</v>
      </c>
      <c r="D196" s="5">
        <v>2</v>
      </c>
      <c r="E196" s="5">
        <v>0</v>
      </c>
      <c r="F196" s="5">
        <f>ROUND(F194+F195,O196)</f>
        <v>431802</v>
      </c>
      <c r="G196" s="5" t="s">
        <v>276</v>
      </c>
      <c r="H196" s="5" t="s">
        <v>273</v>
      </c>
      <c r="I196" s="5"/>
      <c r="J196" s="5"/>
      <c r="K196" s="5">
        <v>212</v>
      </c>
      <c r="L196" s="5">
        <v>33</v>
      </c>
      <c r="M196" s="5">
        <v>0</v>
      </c>
      <c r="N196" s="5" t="s">
        <v>3</v>
      </c>
      <c r="O196" s="5">
        <v>2</v>
      </c>
      <c r="P196" s="5"/>
      <c r="Q196" s="5"/>
      <c r="R196" s="5"/>
      <c r="S196" s="5"/>
      <c r="T196" s="5"/>
      <c r="U196" s="5"/>
      <c r="V196" s="5"/>
      <c r="W196" s="5">
        <v>431802</v>
      </c>
      <c r="X196" s="5">
        <v>1</v>
      </c>
      <c r="Y196" s="5">
        <v>431802</v>
      </c>
      <c r="Z196" s="5"/>
      <c r="AA196" s="5"/>
      <c r="AB196" s="5"/>
    </row>
    <row r="197" spans="1:28" x14ac:dyDescent="0.2">
      <c r="A197" s="5">
        <v>50</v>
      </c>
      <c r="B197" s="5">
        <v>1</v>
      </c>
      <c r="C197" s="5">
        <v>0</v>
      </c>
      <c r="D197" s="5">
        <v>2</v>
      </c>
      <c r="E197" s="5">
        <v>0</v>
      </c>
      <c r="F197" s="5">
        <f>ROUND(ROUND(F196*0.2,0),O197)</f>
        <v>86360</v>
      </c>
      <c r="G197" s="5" t="s">
        <v>277</v>
      </c>
      <c r="H197" s="5" t="s">
        <v>278</v>
      </c>
      <c r="I197" s="5"/>
      <c r="J197" s="5"/>
      <c r="K197" s="5">
        <v>212</v>
      </c>
      <c r="L197" s="5">
        <v>34</v>
      </c>
      <c r="M197" s="5">
        <v>0</v>
      </c>
      <c r="N197" s="5" t="s">
        <v>3</v>
      </c>
      <c r="O197" s="5">
        <v>0</v>
      </c>
      <c r="P197" s="5"/>
      <c r="Q197" s="5"/>
      <c r="R197" s="5"/>
      <c r="S197" s="5"/>
      <c r="T197" s="5"/>
      <c r="U197" s="5"/>
      <c r="V197" s="5"/>
      <c r="W197" s="5">
        <v>86360</v>
      </c>
      <c r="X197" s="5">
        <v>1</v>
      </c>
      <c r="Y197" s="5">
        <v>86360</v>
      </c>
      <c r="Z197" s="5"/>
      <c r="AA197" s="5"/>
      <c r="AB197" s="5"/>
    </row>
    <row r="198" spans="1:28" x14ac:dyDescent="0.2">
      <c r="A198" s="5">
        <v>50</v>
      </c>
      <c r="B198" s="5">
        <v>1</v>
      </c>
      <c r="C198" s="5">
        <v>0</v>
      </c>
      <c r="D198" s="5">
        <v>2</v>
      </c>
      <c r="E198" s="5">
        <v>213</v>
      </c>
      <c r="F198" s="5">
        <f>ROUND(F196+F197,O198)</f>
        <v>518162</v>
      </c>
      <c r="G198" s="5" t="s">
        <v>279</v>
      </c>
      <c r="H198" s="5" t="s">
        <v>110</v>
      </c>
      <c r="I198" s="5"/>
      <c r="J198" s="5"/>
      <c r="K198" s="5">
        <v>212</v>
      </c>
      <c r="L198" s="5">
        <v>35</v>
      </c>
      <c r="M198" s="5">
        <v>0</v>
      </c>
      <c r="N198" s="5" t="s">
        <v>3</v>
      </c>
      <c r="O198" s="5">
        <v>2</v>
      </c>
      <c r="P198" s="5"/>
      <c r="Q198" s="5"/>
      <c r="R198" s="5"/>
      <c r="S198" s="5"/>
      <c r="T198" s="5"/>
      <c r="U198" s="5"/>
      <c r="V198" s="5"/>
      <c r="W198" s="5">
        <v>518162</v>
      </c>
      <c r="X198" s="5">
        <v>1</v>
      </c>
      <c r="Y198" s="5">
        <v>518162</v>
      </c>
      <c r="Z198" s="5"/>
      <c r="AA198" s="5"/>
      <c r="AB198" s="5"/>
    </row>
    <row r="201" spans="1:28" x14ac:dyDescent="0.2">
      <c r="A201">
        <v>70</v>
      </c>
      <c r="B201">
        <v>1</v>
      </c>
      <c r="D201">
        <v>1</v>
      </c>
      <c r="E201" t="s">
        <v>280</v>
      </c>
      <c r="F201" t="s">
        <v>281</v>
      </c>
      <c r="G201">
        <v>1</v>
      </c>
      <c r="H201">
        <v>0</v>
      </c>
      <c r="I201" t="s">
        <v>3</v>
      </c>
      <c r="J201">
        <v>1</v>
      </c>
      <c r="K201">
        <v>0</v>
      </c>
      <c r="L201" t="s">
        <v>3</v>
      </c>
      <c r="M201" t="s">
        <v>3</v>
      </c>
      <c r="N201">
        <v>0</v>
      </c>
      <c r="P201" t="s">
        <v>282</v>
      </c>
    </row>
    <row r="202" spans="1:28" x14ac:dyDescent="0.2">
      <c r="A202">
        <v>70</v>
      </c>
      <c r="B202">
        <v>1</v>
      </c>
      <c r="D202">
        <v>2</v>
      </c>
      <c r="E202" t="s">
        <v>283</v>
      </c>
      <c r="F202" t="s">
        <v>284</v>
      </c>
      <c r="G202">
        <v>0</v>
      </c>
      <c r="H202">
        <v>0</v>
      </c>
      <c r="I202" t="s">
        <v>3</v>
      </c>
      <c r="J202">
        <v>1</v>
      </c>
      <c r="K202">
        <v>0</v>
      </c>
      <c r="L202" t="s">
        <v>3</v>
      </c>
      <c r="M202" t="s">
        <v>3</v>
      </c>
      <c r="N202">
        <v>0</v>
      </c>
      <c r="P202" t="s">
        <v>285</v>
      </c>
    </row>
    <row r="203" spans="1:28" x14ac:dyDescent="0.2">
      <c r="A203">
        <v>70</v>
      </c>
      <c r="B203">
        <v>1</v>
      </c>
      <c r="D203">
        <v>3</v>
      </c>
      <c r="E203" t="s">
        <v>286</v>
      </c>
      <c r="F203" t="s">
        <v>287</v>
      </c>
      <c r="G203">
        <v>0</v>
      </c>
      <c r="H203">
        <v>0</v>
      </c>
      <c r="I203" t="s">
        <v>3</v>
      </c>
      <c r="J203">
        <v>1</v>
      </c>
      <c r="K203">
        <v>0</v>
      </c>
      <c r="L203" t="s">
        <v>3</v>
      </c>
      <c r="M203" t="s">
        <v>3</v>
      </c>
      <c r="N203">
        <v>0</v>
      </c>
      <c r="P203" t="s">
        <v>288</v>
      </c>
    </row>
    <row r="204" spans="1:28" x14ac:dyDescent="0.2">
      <c r="A204">
        <v>70</v>
      </c>
      <c r="B204">
        <v>1</v>
      </c>
      <c r="D204">
        <v>4</v>
      </c>
      <c r="E204" t="s">
        <v>289</v>
      </c>
      <c r="F204" t="s">
        <v>290</v>
      </c>
      <c r="G204">
        <v>1</v>
      </c>
      <c r="H204">
        <v>0</v>
      </c>
      <c r="I204" t="s">
        <v>3</v>
      </c>
      <c r="J204">
        <v>2</v>
      </c>
      <c r="K204">
        <v>0</v>
      </c>
      <c r="L204" t="s">
        <v>3</v>
      </c>
      <c r="M204" t="s">
        <v>3</v>
      </c>
      <c r="N204">
        <v>0</v>
      </c>
      <c r="P204" t="s">
        <v>3</v>
      </c>
    </row>
    <row r="205" spans="1:28" x14ac:dyDescent="0.2">
      <c r="A205">
        <v>70</v>
      </c>
      <c r="B205">
        <v>1</v>
      </c>
      <c r="D205">
        <v>5</v>
      </c>
      <c r="E205" t="s">
        <v>291</v>
      </c>
      <c r="F205" t="s">
        <v>292</v>
      </c>
      <c r="G205">
        <v>0</v>
      </c>
      <c r="H205">
        <v>0</v>
      </c>
      <c r="I205" t="s">
        <v>3</v>
      </c>
      <c r="J205">
        <v>2</v>
      </c>
      <c r="K205">
        <v>0</v>
      </c>
      <c r="L205" t="s">
        <v>3</v>
      </c>
      <c r="M205" t="s">
        <v>3</v>
      </c>
      <c r="N205">
        <v>0</v>
      </c>
      <c r="P205" t="s">
        <v>3</v>
      </c>
    </row>
    <row r="206" spans="1:28" x14ac:dyDescent="0.2">
      <c r="A206">
        <v>70</v>
      </c>
      <c r="B206">
        <v>1</v>
      </c>
      <c r="D206">
        <v>6</v>
      </c>
      <c r="E206" t="s">
        <v>293</v>
      </c>
      <c r="F206" t="s">
        <v>294</v>
      </c>
      <c r="G206">
        <v>0</v>
      </c>
      <c r="H206">
        <v>0</v>
      </c>
      <c r="I206" t="s">
        <v>3</v>
      </c>
      <c r="J206">
        <v>2</v>
      </c>
      <c r="K206">
        <v>0</v>
      </c>
      <c r="L206" t="s">
        <v>3</v>
      </c>
      <c r="M206" t="s">
        <v>3</v>
      </c>
      <c r="N206">
        <v>0</v>
      </c>
      <c r="P206" t="s">
        <v>3</v>
      </c>
    </row>
    <row r="207" spans="1:28" x14ac:dyDescent="0.2">
      <c r="A207">
        <v>70</v>
      </c>
      <c r="B207">
        <v>1</v>
      </c>
      <c r="D207">
        <v>7</v>
      </c>
      <c r="E207" t="s">
        <v>295</v>
      </c>
      <c r="F207" t="s">
        <v>296</v>
      </c>
      <c r="G207">
        <v>0</v>
      </c>
      <c r="H207">
        <v>0</v>
      </c>
      <c r="I207" t="s">
        <v>297</v>
      </c>
      <c r="J207">
        <v>0</v>
      </c>
      <c r="K207">
        <v>0</v>
      </c>
      <c r="L207" t="s">
        <v>3</v>
      </c>
      <c r="M207" t="s">
        <v>3</v>
      </c>
      <c r="N207">
        <v>0</v>
      </c>
      <c r="P207" t="s">
        <v>298</v>
      </c>
    </row>
    <row r="208" spans="1:28" x14ac:dyDescent="0.2">
      <c r="A208">
        <v>70</v>
      </c>
      <c r="B208">
        <v>1</v>
      </c>
      <c r="D208">
        <v>8</v>
      </c>
      <c r="E208" t="s">
        <v>299</v>
      </c>
      <c r="F208" t="s">
        <v>300</v>
      </c>
      <c r="G208">
        <v>1</v>
      </c>
      <c r="H208">
        <v>0</v>
      </c>
      <c r="I208" t="s">
        <v>3</v>
      </c>
      <c r="J208">
        <v>5</v>
      </c>
      <c r="K208">
        <v>0</v>
      </c>
      <c r="L208" t="s">
        <v>3</v>
      </c>
      <c r="M208" t="s">
        <v>3</v>
      </c>
      <c r="N208">
        <v>0</v>
      </c>
      <c r="P208" t="s">
        <v>3</v>
      </c>
    </row>
    <row r="209" spans="1:16" x14ac:dyDescent="0.2">
      <c r="A209">
        <v>70</v>
      </c>
      <c r="B209">
        <v>1</v>
      </c>
      <c r="D209">
        <v>9</v>
      </c>
      <c r="E209" t="s">
        <v>301</v>
      </c>
      <c r="F209" t="s">
        <v>302</v>
      </c>
      <c r="G209">
        <v>0</v>
      </c>
      <c r="H209">
        <v>0</v>
      </c>
      <c r="I209" t="s">
        <v>3</v>
      </c>
      <c r="J209">
        <v>5</v>
      </c>
      <c r="K209">
        <v>0</v>
      </c>
      <c r="L209" t="s">
        <v>3</v>
      </c>
      <c r="M209" t="s">
        <v>3</v>
      </c>
      <c r="N209">
        <v>0</v>
      </c>
      <c r="P209" t="s">
        <v>303</v>
      </c>
    </row>
    <row r="210" spans="1:16" x14ac:dyDescent="0.2">
      <c r="A210">
        <v>70</v>
      </c>
      <c r="B210">
        <v>1</v>
      </c>
      <c r="D210">
        <v>10</v>
      </c>
      <c r="E210" t="s">
        <v>304</v>
      </c>
      <c r="F210" t="s">
        <v>305</v>
      </c>
      <c r="G210">
        <v>0</v>
      </c>
      <c r="H210">
        <v>0</v>
      </c>
      <c r="I210" t="s">
        <v>306</v>
      </c>
      <c r="J210">
        <v>5</v>
      </c>
      <c r="K210">
        <v>0</v>
      </c>
      <c r="L210" t="s">
        <v>3</v>
      </c>
      <c r="M210" t="s">
        <v>3</v>
      </c>
      <c r="N210">
        <v>0</v>
      </c>
      <c r="P210" t="s">
        <v>307</v>
      </c>
    </row>
    <row r="211" spans="1:16" x14ac:dyDescent="0.2">
      <c r="A211">
        <v>70</v>
      </c>
      <c r="B211">
        <v>1</v>
      </c>
      <c r="D211">
        <v>11</v>
      </c>
      <c r="E211" t="s">
        <v>308</v>
      </c>
      <c r="F211" t="s">
        <v>309</v>
      </c>
      <c r="G211">
        <v>0</v>
      </c>
      <c r="H211">
        <v>0</v>
      </c>
      <c r="I211" t="s">
        <v>310</v>
      </c>
      <c r="J211">
        <v>0</v>
      </c>
      <c r="K211">
        <v>0</v>
      </c>
      <c r="L211" t="s">
        <v>3</v>
      </c>
      <c r="M211" t="s">
        <v>3</v>
      </c>
      <c r="N211">
        <v>0</v>
      </c>
      <c r="P211" t="s">
        <v>311</v>
      </c>
    </row>
    <row r="212" spans="1:16" x14ac:dyDescent="0.2">
      <c r="A212">
        <v>70</v>
      </c>
      <c r="B212">
        <v>1</v>
      </c>
      <c r="D212">
        <v>12</v>
      </c>
      <c r="E212" t="s">
        <v>312</v>
      </c>
      <c r="F212" t="s">
        <v>313</v>
      </c>
      <c r="G212">
        <v>0</v>
      </c>
      <c r="H212">
        <v>0</v>
      </c>
      <c r="I212" t="s">
        <v>314</v>
      </c>
      <c r="J212">
        <v>0</v>
      </c>
      <c r="K212">
        <v>0</v>
      </c>
      <c r="L212" t="s">
        <v>3</v>
      </c>
      <c r="M212" t="s">
        <v>3</v>
      </c>
      <c r="N212">
        <v>0</v>
      </c>
      <c r="P212" t="s">
        <v>315</v>
      </c>
    </row>
    <row r="213" spans="1:16" x14ac:dyDescent="0.2">
      <c r="A213">
        <v>70</v>
      </c>
      <c r="B213">
        <v>1</v>
      </c>
      <c r="D213">
        <v>13</v>
      </c>
      <c r="E213" t="s">
        <v>316</v>
      </c>
      <c r="F213" t="s">
        <v>317</v>
      </c>
      <c r="G213">
        <v>0</v>
      </c>
      <c r="H213">
        <v>0</v>
      </c>
      <c r="I213" t="s">
        <v>318</v>
      </c>
      <c r="J213">
        <v>0</v>
      </c>
      <c r="K213">
        <v>0</v>
      </c>
      <c r="L213" t="s">
        <v>3</v>
      </c>
      <c r="M213" t="s">
        <v>3</v>
      </c>
      <c r="N213">
        <v>0</v>
      </c>
      <c r="P213" t="s">
        <v>319</v>
      </c>
    </row>
    <row r="214" spans="1:16" x14ac:dyDescent="0.2">
      <c r="A214">
        <v>70</v>
      </c>
      <c r="B214">
        <v>1</v>
      </c>
      <c r="D214">
        <v>14</v>
      </c>
      <c r="E214" t="s">
        <v>320</v>
      </c>
      <c r="F214" t="s">
        <v>321</v>
      </c>
      <c r="G214">
        <v>0</v>
      </c>
      <c r="H214">
        <v>0</v>
      </c>
      <c r="I214" t="s">
        <v>3</v>
      </c>
      <c r="J214">
        <v>0</v>
      </c>
      <c r="K214">
        <v>0</v>
      </c>
      <c r="L214" t="s">
        <v>3</v>
      </c>
      <c r="M214" t="s">
        <v>3</v>
      </c>
      <c r="N214">
        <v>0</v>
      </c>
      <c r="P214" t="s">
        <v>3</v>
      </c>
    </row>
    <row r="215" spans="1:16" x14ac:dyDescent="0.2">
      <c r="A215">
        <v>70</v>
      </c>
      <c r="B215">
        <v>1</v>
      </c>
      <c r="D215">
        <v>15</v>
      </c>
      <c r="E215" t="s">
        <v>322</v>
      </c>
      <c r="F215" t="s">
        <v>323</v>
      </c>
      <c r="G215">
        <v>0</v>
      </c>
      <c r="H215">
        <v>0</v>
      </c>
      <c r="I215" t="s">
        <v>3</v>
      </c>
      <c r="J215">
        <v>0</v>
      </c>
      <c r="K215">
        <v>0</v>
      </c>
      <c r="L215" t="s">
        <v>3</v>
      </c>
      <c r="M215" t="s">
        <v>3</v>
      </c>
      <c r="N215">
        <v>0</v>
      </c>
      <c r="P215" t="s">
        <v>324</v>
      </c>
    </row>
    <row r="216" spans="1:16" x14ac:dyDescent="0.2">
      <c r="A216">
        <v>70</v>
      </c>
      <c r="B216">
        <v>1</v>
      </c>
      <c r="D216">
        <v>16</v>
      </c>
      <c r="E216" t="s">
        <v>325</v>
      </c>
      <c r="F216" t="s">
        <v>326</v>
      </c>
      <c r="G216">
        <v>0</v>
      </c>
      <c r="H216">
        <v>0</v>
      </c>
      <c r="I216" t="s">
        <v>3</v>
      </c>
      <c r="J216">
        <v>3</v>
      </c>
      <c r="K216">
        <v>0</v>
      </c>
      <c r="L216" t="s">
        <v>3</v>
      </c>
      <c r="M216" t="s">
        <v>3</v>
      </c>
      <c r="N216">
        <v>0</v>
      </c>
      <c r="P216" t="s">
        <v>3</v>
      </c>
    </row>
    <row r="217" spans="1:16" x14ac:dyDescent="0.2">
      <c r="A217">
        <v>70</v>
      </c>
      <c r="B217">
        <v>1</v>
      </c>
      <c r="D217">
        <v>17</v>
      </c>
      <c r="E217" t="s">
        <v>327</v>
      </c>
      <c r="F217" t="s">
        <v>328</v>
      </c>
      <c r="G217">
        <v>1</v>
      </c>
      <c r="H217">
        <v>0</v>
      </c>
      <c r="I217" t="s">
        <v>3</v>
      </c>
      <c r="J217">
        <v>3</v>
      </c>
      <c r="K217">
        <v>0</v>
      </c>
      <c r="L217" t="s">
        <v>3</v>
      </c>
      <c r="M217" t="s">
        <v>3</v>
      </c>
      <c r="N217">
        <v>0</v>
      </c>
      <c r="P217" t="s">
        <v>3</v>
      </c>
    </row>
    <row r="218" spans="1:16" x14ac:dyDescent="0.2">
      <c r="A218">
        <v>70</v>
      </c>
      <c r="B218">
        <v>1</v>
      </c>
      <c r="D218">
        <v>1</v>
      </c>
      <c r="E218" t="s">
        <v>329</v>
      </c>
      <c r="F218" t="s">
        <v>330</v>
      </c>
      <c r="G218">
        <v>0.9</v>
      </c>
      <c r="H218">
        <v>1</v>
      </c>
      <c r="I218" t="s">
        <v>331</v>
      </c>
      <c r="J218">
        <v>0</v>
      </c>
      <c r="K218">
        <v>0</v>
      </c>
      <c r="L218" t="s">
        <v>3</v>
      </c>
      <c r="M218" t="s">
        <v>3</v>
      </c>
      <c r="N218">
        <v>0</v>
      </c>
      <c r="P218" t="s">
        <v>332</v>
      </c>
    </row>
    <row r="219" spans="1:16" x14ac:dyDescent="0.2">
      <c r="A219">
        <v>70</v>
      </c>
      <c r="B219">
        <v>1</v>
      </c>
      <c r="D219">
        <v>2</v>
      </c>
      <c r="E219" t="s">
        <v>333</v>
      </c>
      <c r="F219" t="s">
        <v>334</v>
      </c>
      <c r="G219">
        <v>0.85</v>
      </c>
      <c r="H219">
        <v>1</v>
      </c>
      <c r="I219" t="s">
        <v>335</v>
      </c>
      <c r="J219">
        <v>0</v>
      </c>
      <c r="K219">
        <v>0</v>
      </c>
      <c r="L219" t="s">
        <v>3</v>
      </c>
      <c r="M219" t="s">
        <v>3</v>
      </c>
      <c r="N219">
        <v>0</v>
      </c>
      <c r="P219" t="s">
        <v>336</v>
      </c>
    </row>
    <row r="220" spans="1:16" x14ac:dyDescent="0.2">
      <c r="A220">
        <v>70</v>
      </c>
      <c r="B220">
        <v>1</v>
      </c>
      <c r="D220">
        <v>3</v>
      </c>
      <c r="E220" t="s">
        <v>337</v>
      </c>
      <c r="F220" t="s">
        <v>338</v>
      </c>
      <c r="G220">
        <v>1.03</v>
      </c>
      <c r="H220">
        <v>0</v>
      </c>
      <c r="I220" t="s">
        <v>3</v>
      </c>
      <c r="J220">
        <v>0</v>
      </c>
      <c r="K220">
        <v>0</v>
      </c>
      <c r="L220" t="s">
        <v>3</v>
      </c>
      <c r="M220" t="s">
        <v>3</v>
      </c>
      <c r="N220">
        <v>0</v>
      </c>
      <c r="P220" t="s">
        <v>339</v>
      </c>
    </row>
    <row r="221" spans="1:16" x14ac:dyDescent="0.2">
      <c r="A221">
        <v>70</v>
      </c>
      <c r="B221">
        <v>1</v>
      </c>
      <c r="D221">
        <v>4</v>
      </c>
      <c r="E221" t="s">
        <v>340</v>
      </c>
      <c r="F221" t="s">
        <v>341</v>
      </c>
      <c r="G221">
        <v>1.1499999999999999</v>
      </c>
      <c r="H221">
        <v>0</v>
      </c>
      <c r="I221" t="s">
        <v>3</v>
      </c>
      <c r="J221">
        <v>0</v>
      </c>
      <c r="K221">
        <v>0</v>
      </c>
      <c r="L221" t="s">
        <v>3</v>
      </c>
      <c r="M221" t="s">
        <v>3</v>
      </c>
      <c r="N221">
        <v>0</v>
      </c>
      <c r="P221" t="s">
        <v>342</v>
      </c>
    </row>
    <row r="222" spans="1:16" x14ac:dyDescent="0.2">
      <c r="A222">
        <v>70</v>
      </c>
      <c r="B222">
        <v>1</v>
      </c>
      <c r="D222">
        <v>5</v>
      </c>
      <c r="E222" t="s">
        <v>343</v>
      </c>
      <c r="F222" t="s">
        <v>344</v>
      </c>
      <c r="G222">
        <v>7</v>
      </c>
      <c r="H222">
        <v>0</v>
      </c>
      <c r="I222" t="s">
        <v>3</v>
      </c>
      <c r="J222">
        <v>0</v>
      </c>
      <c r="K222">
        <v>0</v>
      </c>
      <c r="L222" t="s">
        <v>3</v>
      </c>
      <c r="M222" t="s">
        <v>3</v>
      </c>
      <c r="N222">
        <v>0</v>
      </c>
      <c r="P222" t="s">
        <v>3</v>
      </c>
    </row>
    <row r="223" spans="1:16" x14ac:dyDescent="0.2">
      <c r="A223">
        <v>70</v>
      </c>
      <c r="B223">
        <v>1</v>
      </c>
      <c r="D223">
        <v>6</v>
      </c>
      <c r="E223" t="s">
        <v>345</v>
      </c>
      <c r="F223" t="s">
        <v>3</v>
      </c>
      <c r="G223">
        <v>2</v>
      </c>
      <c r="H223">
        <v>0</v>
      </c>
      <c r="I223" t="s">
        <v>3</v>
      </c>
      <c r="J223">
        <v>0</v>
      </c>
      <c r="K223">
        <v>0</v>
      </c>
      <c r="L223" t="s">
        <v>3</v>
      </c>
      <c r="M223" t="s">
        <v>3</v>
      </c>
      <c r="N223">
        <v>0</v>
      </c>
      <c r="P223" t="s">
        <v>3</v>
      </c>
    </row>
    <row r="225" spans="1:50" x14ac:dyDescent="0.2">
      <c r="A225">
        <v>-1</v>
      </c>
    </row>
    <row r="227" spans="1:50" x14ac:dyDescent="0.2">
      <c r="A227" s="4">
        <v>75</v>
      </c>
      <c r="B227" s="4" t="s">
        <v>346</v>
      </c>
      <c r="C227" s="4">
        <v>2026</v>
      </c>
      <c r="D227" s="4">
        <v>0</v>
      </c>
      <c r="E227" s="4">
        <v>9</v>
      </c>
      <c r="F227" s="4">
        <v>1</v>
      </c>
      <c r="G227" s="4">
        <v>0</v>
      </c>
      <c r="H227" s="4">
        <v>1</v>
      </c>
      <c r="I227" s="4">
        <v>0</v>
      </c>
      <c r="J227" s="4">
        <v>3</v>
      </c>
      <c r="K227" s="4">
        <v>0</v>
      </c>
      <c r="L227" s="4">
        <v>0</v>
      </c>
      <c r="M227" s="4">
        <v>0</v>
      </c>
      <c r="N227" s="4">
        <v>73953415</v>
      </c>
      <c r="O227" s="4">
        <v>1</v>
      </c>
    </row>
    <row r="228" spans="1:50" x14ac:dyDescent="0.2">
      <c r="A228" s="6">
        <v>2</v>
      </c>
      <c r="B228" s="6" t="s">
        <v>347</v>
      </c>
      <c r="C228" s="6" t="s">
        <v>348</v>
      </c>
      <c r="D228" s="6">
        <v>0</v>
      </c>
      <c r="E228" s="6">
        <v>0</v>
      </c>
      <c r="F228" s="6">
        <v>0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>
        <v>73953416</v>
      </c>
    </row>
    <row r="229" spans="1:50" x14ac:dyDescent="0.2">
      <c r="A229" s="6">
        <v>1</v>
      </c>
      <c r="B229" s="6" t="s">
        <v>349</v>
      </c>
      <c r="C229" s="6" t="s">
        <v>350</v>
      </c>
      <c r="D229" s="6">
        <v>2026</v>
      </c>
      <c r="E229" s="6">
        <v>9</v>
      </c>
      <c r="F229" s="6">
        <v>1</v>
      </c>
      <c r="G229" s="6">
        <v>1</v>
      </c>
      <c r="H229" s="6">
        <v>0</v>
      </c>
      <c r="I229" s="6">
        <v>2</v>
      </c>
      <c r="J229" s="6">
        <v>1</v>
      </c>
      <c r="K229" s="6">
        <v>1</v>
      </c>
      <c r="L229" s="6">
        <v>1</v>
      </c>
      <c r="M229" s="6">
        <v>1</v>
      </c>
      <c r="N229" s="6">
        <v>1</v>
      </c>
      <c r="O229" s="6">
        <v>1</v>
      </c>
      <c r="P229" s="6">
        <v>1</v>
      </c>
      <c r="Q229" s="6">
        <v>1</v>
      </c>
      <c r="R229" s="6" t="s">
        <v>3</v>
      </c>
      <c r="S229" s="6" t="s">
        <v>3</v>
      </c>
      <c r="T229" s="6" t="s">
        <v>3</v>
      </c>
      <c r="U229" s="6" t="s">
        <v>3</v>
      </c>
      <c r="V229" s="6" t="s">
        <v>3</v>
      </c>
      <c r="W229" s="6" t="s">
        <v>3</v>
      </c>
      <c r="X229" s="6" t="s">
        <v>3</v>
      </c>
      <c r="Y229" s="6" t="s">
        <v>3</v>
      </c>
      <c r="Z229" s="6" t="s">
        <v>3</v>
      </c>
      <c r="AA229" s="6" t="s">
        <v>3</v>
      </c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>
        <v>73953417</v>
      </c>
      <c r="AO229" s="6" t="s">
        <v>351</v>
      </c>
      <c r="AP229" s="6" t="s">
        <v>352</v>
      </c>
      <c r="AQ229" s="6">
        <v>46258</v>
      </c>
      <c r="AR229" s="6">
        <v>423</v>
      </c>
      <c r="AS229" s="6" t="s">
        <v>353</v>
      </c>
      <c r="AT229" s="6" t="s">
        <v>354</v>
      </c>
      <c r="AU229" s="6" t="s">
        <v>352</v>
      </c>
      <c r="AV229" s="6">
        <v>46087</v>
      </c>
      <c r="AW229" s="6">
        <v>250</v>
      </c>
      <c r="AX229" s="6" t="s">
        <v>355</v>
      </c>
    </row>
    <row r="233" spans="1:50" x14ac:dyDescent="0.2">
      <c r="A233">
        <v>65</v>
      </c>
      <c r="C233">
        <v>1</v>
      </c>
      <c r="D233">
        <v>0</v>
      </c>
      <c r="E233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workbookViewId="0"/>
  </sheetViews>
  <sheetFormatPr defaultColWidth="9.140625" defaultRowHeight="12.75" x14ac:dyDescent="0.2"/>
  <cols>
    <col min="1" max="256" width="9.140625" style="2" customWidth="1"/>
    <col min="257" max="16384" width="9.140625" style="2"/>
  </cols>
  <sheetData>
    <row r="1" spans="1:133" x14ac:dyDescent="0.2">
      <c r="A1" s="2">
        <v>0</v>
      </c>
      <c r="B1" s="2" t="s">
        <v>0</v>
      </c>
      <c r="D1" s="2" t="s">
        <v>356</v>
      </c>
      <c r="F1" s="2">
        <v>0</v>
      </c>
      <c r="G1" s="2">
        <v>0</v>
      </c>
      <c r="H1" s="2">
        <v>0</v>
      </c>
      <c r="I1" s="2" t="s">
        <v>2</v>
      </c>
      <c r="J1" s="2" t="s">
        <v>3</v>
      </c>
      <c r="K1" s="2">
        <v>1</v>
      </c>
      <c r="L1" s="2">
        <v>28180</v>
      </c>
      <c r="M1" s="2">
        <v>10</v>
      </c>
      <c r="N1" s="2">
        <v>12</v>
      </c>
      <c r="O1" s="2">
        <v>1</v>
      </c>
      <c r="P1" s="2">
        <v>0</v>
      </c>
      <c r="Q1" s="2">
        <v>5</v>
      </c>
    </row>
    <row r="12" spans="1:133" x14ac:dyDescent="0.2">
      <c r="A12" s="7">
        <v>1</v>
      </c>
      <c r="B12" s="7">
        <v>59</v>
      </c>
      <c r="C12" s="7">
        <v>0</v>
      </c>
      <c r="D12" s="7"/>
      <c r="E12" s="7">
        <v>0</v>
      </c>
      <c r="F12" s="7" t="s">
        <v>4</v>
      </c>
      <c r="G12" s="7" t="s">
        <v>5</v>
      </c>
      <c r="H12" s="7" t="s">
        <v>3</v>
      </c>
      <c r="I12" s="7">
        <v>0</v>
      </c>
      <c r="J12" s="7" t="s">
        <v>3</v>
      </c>
      <c r="K12" s="7">
        <v>0</v>
      </c>
      <c r="L12" s="7">
        <v>0</v>
      </c>
      <c r="M12" s="7">
        <v>523</v>
      </c>
      <c r="N12" s="7"/>
      <c r="O12" s="7">
        <v>0</v>
      </c>
      <c r="P12" s="7">
        <v>0</v>
      </c>
      <c r="Q12" s="7">
        <v>7</v>
      </c>
      <c r="R12" s="7">
        <v>0</v>
      </c>
      <c r="S12" s="7"/>
      <c r="T12" s="7">
        <v>4</v>
      </c>
      <c r="U12" s="7" t="s">
        <v>3</v>
      </c>
      <c r="V12" s="7">
        <v>0</v>
      </c>
      <c r="W12" s="7" t="s">
        <v>3</v>
      </c>
      <c r="X12" s="7" t="s">
        <v>3</v>
      </c>
      <c r="Y12" s="7" t="s">
        <v>3</v>
      </c>
      <c r="Z12" s="7" t="s">
        <v>3</v>
      </c>
      <c r="AA12" s="7" t="s">
        <v>3</v>
      </c>
      <c r="AB12" s="7" t="s">
        <v>3</v>
      </c>
      <c r="AC12" s="7" t="s">
        <v>3</v>
      </c>
      <c r="AD12" s="7" t="s">
        <v>3</v>
      </c>
      <c r="AE12" s="7" t="s">
        <v>3</v>
      </c>
      <c r="AF12" s="7" t="s">
        <v>3</v>
      </c>
      <c r="AG12" s="7" t="s">
        <v>3</v>
      </c>
      <c r="AH12" s="7" t="s">
        <v>3</v>
      </c>
      <c r="AI12" s="7" t="s">
        <v>3</v>
      </c>
      <c r="AJ12" s="7" t="s">
        <v>3</v>
      </c>
      <c r="AK12" s="7"/>
      <c r="AL12" s="7" t="s">
        <v>3</v>
      </c>
      <c r="AM12" s="7" t="s">
        <v>3</v>
      </c>
      <c r="AN12" s="7" t="s">
        <v>3</v>
      </c>
      <c r="AO12" s="7"/>
      <c r="AP12" s="7" t="s">
        <v>3</v>
      </c>
      <c r="AQ12" s="7" t="s">
        <v>3</v>
      </c>
      <c r="AR12" s="7" t="s">
        <v>3</v>
      </c>
      <c r="AS12" s="7"/>
      <c r="AT12" s="7"/>
      <c r="AU12" s="7"/>
      <c r="AV12" s="7"/>
      <c r="AW12" s="7"/>
      <c r="AX12" s="7" t="s">
        <v>3</v>
      </c>
      <c r="AY12" s="7" t="s">
        <v>3</v>
      </c>
      <c r="AZ12" s="7" t="s">
        <v>3</v>
      </c>
      <c r="BA12" s="7"/>
      <c r="BB12" s="7">
        <v>0</v>
      </c>
      <c r="BC12" s="7"/>
      <c r="BD12" s="7"/>
      <c r="BE12" s="7"/>
      <c r="BF12" s="7"/>
      <c r="BG12" s="7"/>
      <c r="BH12" s="7" t="s">
        <v>6</v>
      </c>
      <c r="BI12" s="7" t="s">
        <v>7</v>
      </c>
      <c r="BJ12" s="7">
        <v>1</v>
      </c>
      <c r="BK12" s="7">
        <v>1</v>
      </c>
      <c r="BL12" s="7">
        <v>0</v>
      </c>
      <c r="BM12" s="7">
        <v>0</v>
      </c>
      <c r="BN12" s="7">
        <v>1</v>
      </c>
      <c r="BO12" s="7">
        <v>0</v>
      </c>
      <c r="BP12" s="7">
        <v>6</v>
      </c>
      <c r="BQ12" s="7">
        <v>2</v>
      </c>
      <c r="BR12" s="7">
        <v>1</v>
      </c>
      <c r="BS12" s="7">
        <v>1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 t="s">
        <v>8</v>
      </c>
      <c r="BZ12" s="7" t="s">
        <v>9</v>
      </c>
      <c r="CA12" s="7" t="s">
        <v>10</v>
      </c>
      <c r="CB12" s="7" t="s">
        <v>10</v>
      </c>
      <c r="CC12" s="7" t="s">
        <v>10</v>
      </c>
      <c r="CD12" s="7" t="s">
        <v>10</v>
      </c>
      <c r="CE12" s="7" t="s">
        <v>11</v>
      </c>
      <c r="CF12" s="7">
        <v>0</v>
      </c>
      <c r="CG12" s="7">
        <v>0</v>
      </c>
      <c r="CH12" s="7">
        <v>487096328</v>
      </c>
      <c r="CI12" s="7" t="s">
        <v>3</v>
      </c>
      <c r="CJ12" s="7" t="s">
        <v>3</v>
      </c>
      <c r="CK12" s="7">
        <v>19</v>
      </c>
      <c r="CL12" s="7"/>
      <c r="CM12" s="7"/>
      <c r="CN12" s="7"/>
      <c r="CO12" s="7"/>
      <c r="CP12" s="7"/>
      <c r="CQ12" s="7" t="s">
        <v>12</v>
      </c>
      <c r="CR12" s="7" t="s">
        <v>13</v>
      </c>
      <c r="CS12" s="7">
        <v>46248</v>
      </c>
      <c r="CT12" s="7">
        <v>570</v>
      </c>
      <c r="CU12" s="7">
        <v>19</v>
      </c>
      <c r="CV12" s="7" t="s">
        <v>589</v>
      </c>
      <c r="CW12" s="7"/>
      <c r="CX12" s="7"/>
      <c r="CY12" s="7">
        <v>0</v>
      </c>
      <c r="CZ12" s="7" t="s">
        <v>3</v>
      </c>
      <c r="DA12" s="7" t="s">
        <v>3</v>
      </c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>
        <v>0</v>
      </c>
    </row>
    <row r="14" spans="1:133" x14ac:dyDescent="0.2">
      <c r="A14" s="7">
        <v>22</v>
      </c>
      <c r="B14" s="7">
        <v>1</v>
      </c>
      <c r="C14" s="7">
        <v>0</v>
      </c>
      <c r="D14" s="7">
        <v>73953415</v>
      </c>
      <c r="E14" s="7">
        <v>0</v>
      </c>
      <c r="F14" s="7">
        <v>2</v>
      </c>
      <c r="G14" s="7">
        <v>1</v>
      </c>
      <c r="H14" s="7"/>
      <c r="I14" s="7"/>
      <c r="J14" s="7"/>
      <c r="K14" s="7"/>
      <c r="L14" s="7"/>
      <c r="M14" s="7"/>
      <c r="N14" s="7"/>
      <c r="O14" s="7"/>
    </row>
    <row r="16" spans="1:133" x14ac:dyDescent="0.2">
      <c r="A16" s="8">
        <v>3</v>
      </c>
      <c r="B16" s="8">
        <v>1</v>
      </c>
      <c r="C16" s="8" t="s">
        <v>14</v>
      </c>
      <c r="D16" s="8" t="s">
        <v>15</v>
      </c>
      <c r="E16" s="9">
        <f>ROUND((Source!F149)/1000,2)</f>
        <v>394.08</v>
      </c>
      <c r="F16" s="9">
        <f>ROUND((Source!F150)/1000,2)</f>
        <v>31.34</v>
      </c>
      <c r="G16" s="9">
        <f>ROUND((Source!F141)/1000,2)</f>
        <v>0</v>
      </c>
      <c r="H16" s="9">
        <f>ROUND((Source!F151)/1000+(Source!F152)/1000,2)</f>
        <v>0</v>
      </c>
      <c r="I16" s="9">
        <f>E16+F16+G16+H16</f>
        <v>425.41999999999996</v>
      </c>
      <c r="J16" s="9">
        <f>ROUND((Source!F147+Source!F146)/1000,2)</f>
        <v>59.2</v>
      </c>
      <c r="K16" s="9">
        <v>548.79</v>
      </c>
      <c r="L16" s="9">
        <v>0</v>
      </c>
      <c r="M16" s="9">
        <v>0</v>
      </c>
      <c r="N16" s="9">
        <f>I16+L16+M16</f>
        <v>425.41999999999996</v>
      </c>
      <c r="AI16" s="8">
        <v>0</v>
      </c>
      <c r="AJ16" s="8">
        <v>-1</v>
      </c>
      <c r="AK16" s="8" t="s">
        <v>3</v>
      </c>
      <c r="AL16" s="8" t="s">
        <v>3</v>
      </c>
      <c r="AM16" s="8" t="s">
        <v>3</v>
      </c>
      <c r="AN16" s="8">
        <v>0</v>
      </c>
      <c r="AO16" s="8" t="s">
        <v>3</v>
      </c>
      <c r="AP16" s="8" t="s">
        <v>3</v>
      </c>
      <c r="AT16" s="9">
        <v>320052.19</v>
      </c>
      <c r="AU16" s="9">
        <v>228739.22</v>
      </c>
      <c r="AV16" s="9">
        <v>0</v>
      </c>
      <c r="AW16" s="9">
        <v>0</v>
      </c>
      <c r="AX16" s="9">
        <v>0</v>
      </c>
      <c r="AY16" s="9">
        <v>32115.91</v>
      </c>
      <c r="AZ16" s="9">
        <v>12598.52</v>
      </c>
      <c r="BA16" s="9">
        <v>46598.540000000008</v>
      </c>
      <c r="BB16" s="9">
        <v>394076.73</v>
      </c>
      <c r="BC16" s="9">
        <v>31343.73</v>
      </c>
      <c r="BD16" s="9">
        <v>0</v>
      </c>
      <c r="BE16" s="9">
        <v>0</v>
      </c>
      <c r="BF16" s="9">
        <v>123.9438</v>
      </c>
      <c r="BG16" s="9">
        <v>26.642112399999998</v>
      </c>
      <c r="BH16" s="9">
        <v>0</v>
      </c>
      <c r="BI16" s="9">
        <v>66116.72</v>
      </c>
      <c r="BJ16" s="9">
        <v>39251.550000000003</v>
      </c>
      <c r="BK16" s="9">
        <v>425420.45999999996</v>
      </c>
    </row>
    <row r="18" spans="1:16" x14ac:dyDescent="0.2">
      <c r="A18" s="2">
        <v>51</v>
      </c>
      <c r="E18" s="2">
        <v>394.08</v>
      </c>
      <c r="F18" s="2">
        <v>31.34</v>
      </c>
      <c r="G18" s="2">
        <v>0</v>
      </c>
      <c r="H18" s="2">
        <v>0</v>
      </c>
      <c r="I18" s="2">
        <v>425.42</v>
      </c>
      <c r="J18" s="2">
        <v>59.2</v>
      </c>
      <c r="K18" s="2">
        <v>548.79</v>
      </c>
      <c r="L18" s="2">
        <v>0</v>
      </c>
      <c r="M18" s="2">
        <v>0</v>
      </c>
      <c r="N18" s="2">
        <v>425.42</v>
      </c>
    </row>
    <row r="20" spans="1:16" x14ac:dyDescent="0.2">
      <c r="A20" s="10">
        <v>50</v>
      </c>
      <c r="B20" s="10">
        <v>0</v>
      </c>
      <c r="C20" s="10">
        <v>0</v>
      </c>
      <c r="D20" s="10">
        <v>1</v>
      </c>
      <c r="E20" s="10">
        <v>0</v>
      </c>
      <c r="F20" s="10">
        <v>320052.19</v>
      </c>
      <c r="G20" s="10" t="s">
        <v>58</v>
      </c>
      <c r="H20" s="10" t="s">
        <v>59</v>
      </c>
      <c r="I20" s="10"/>
      <c r="J20" s="10"/>
      <c r="K20" s="10">
        <v>201</v>
      </c>
      <c r="L20" s="10">
        <v>1</v>
      </c>
      <c r="M20" s="10">
        <v>3</v>
      </c>
      <c r="N20" s="10" t="s">
        <v>3</v>
      </c>
      <c r="O20" s="10">
        <v>2</v>
      </c>
      <c r="P20" s="10"/>
    </row>
    <row r="21" spans="1:16" x14ac:dyDescent="0.2">
      <c r="A21" s="10">
        <v>50</v>
      </c>
      <c r="B21" s="10">
        <v>0</v>
      </c>
      <c r="C21" s="10">
        <v>0</v>
      </c>
      <c r="D21" s="10">
        <v>1</v>
      </c>
      <c r="E21" s="10">
        <v>202</v>
      </c>
      <c r="F21" s="10">
        <v>228739.22</v>
      </c>
      <c r="G21" s="10" t="s">
        <v>60</v>
      </c>
      <c r="H21" s="10" t="s">
        <v>61</v>
      </c>
      <c r="I21" s="10"/>
      <c r="J21" s="10"/>
      <c r="K21" s="10">
        <v>202</v>
      </c>
      <c r="L21" s="10">
        <v>2</v>
      </c>
      <c r="M21" s="10">
        <v>3</v>
      </c>
      <c r="N21" s="10" t="s">
        <v>3</v>
      </c>
      <c r="O21" s="10">
        <v>2</v>
      </c>
      <c r="P21" s="10"/>
    </row>
    <row r="22" spans="1:16" x14ac:dyDescent="0.2">
      <c r="A22" s="10">
        <v>50</v>
      </c>
      <c r="B22" s="10">
        <v>0</v>
      </c>
      <c r="C22" s="10">
        <v>0</v>
      </c>
      <c r="D22" s="10">
        <v>1</v>
      </c>
      <c r="E22" s="10">
        <v>222</v>
      </c>
      <c r="F22" s="10">
        <v>0</v>
      </c>
      <c r="G22" s="10" t="s">
        <v>62</v>
      </c>
      <c r="H22" s="10" t="s">
        <v>63</v>
      </c>
      <c r="I22" s="10"/>
      <c r="J22" s="10"/>
      <c r="K22" s="10">
        <v>222</v>
      </c>
      <c r="L22" s="10">
        <v>3</v>
      </c>
      <c r="M22" s="10">
        <v>3</v>
      </c>
      <c r="N22" s="10" t="s">
        <v>3</v>
      </c>
      <c r="O22" s="10">
        <v>2</v>
      </c>
      <c r="P22" s="10"/>
    </row>
    <row r="23" spans="1:16" x14ac:dyDescent="0.2">
      <c r="A23" s="10">
        <v>50</v>
      </c>
      <c r="B23" s="10">
        <v>0</v>
      </c>
      <c r="C23" s="10">
        <v>0</v>
      </c>
      <c r="D23" s="10">
        <v>1</v>
      </c>
      <c r="E23" s="10">
        <v>225</v>
      </c>
      <c r="F23" s="10">
        <v>228739.22</v>
      </c>
      <c r="G23" s="10" t="s">
        <v>64</v>
      </c>
      <c r="H23" s="10" t="s">
        <v>65</v>
      </c>
      <c r="I23" s="10"/>
      <c r="J23" s="10"/>
      <c r="K23" s="10">
        <v>225</v>
      </c>
      <c r="L23" s="10">
        <v>4</v>
      </c>
      <c r="M23" s="10">
        <v>3</v>
      </c>
      <c r="N23" s="10" t="s">
        <v>3</v>
      </c>
      <c r="O23" s="10">
        <v>2</v>
      </c>
      <c r="P23" s="10"/>
    </row>
    <row r="24" spans="1:16" x14ac:dyDescent="0.2">
      <c r="A24" s="10">
        <v>50</v>
      </c>
      <c r="B24" s="10">
        <v>0</v>
      </c>
      <c r="C24" s="10">
        <v>0</v>
      </c>
      <c r="D24" s="10">
        <v>1</v>
      </c>
      <c r="E24" s="10">
        <v>226</v>
      </c>
      <c r="F24" s="10">
        <v>228739.22</v>
      </c>
      <c r="G24" s="10" t="s">
        <v>66</v>
      </c>
      <c r="H24" s="10" t="s">
        <v>67</v>
      </c>
      <c r="I24" s="10"/>
      <c r="J24" s="10"/>
      <c r="K24" s="10">
        <v>226</v>
      </c>
      <c r="L24" s="10">
        <v>5</v>
      </c>
      <c r="M24" s="10">
        <v>3</v>
      </c>
      <c r="N24" s="10" t="s">
        <v>3</v>
      </c>
      <c r="O24" s="10">
        <v>2</v>
      </c>
      <c r="P24" s="10"/>
    </row>
    <row r="25" spans="1:16" x14ac:dyDescent="0.2">
      <c r="A25" s="10">
        <v>50</v>
      </c>
      <c r="B25" s="10">
        <v>0</v>
      </c>
      <c r="C25" s="10">
        <v>0</v>
      </c>
      <c r="D25" s="10">
        <v>1</v>
      </c>
      <c r="E25" s="10">
        <v>227</v>
      </c>
      <c r="F25" s="10">
        <v>0</v>
      </c>
      <c r="G25" s="10" t="s">
        <v>68</v>
      </c>
      <c r="H25" s="10" t="s">
        <v>69</v>
      </c>
      <c r="I25" s="10"/>
      <c r="J25" s="10"/>
      <c r="K25" s="10">
        <v>227</v>
      </c>
      <c r="L25" s="10">
        <v>6</v>
      </c>
      <c r="M25" s="10">
        <v>3</v>
      </c>
      <c r="N25" s="10" t="s">
        <v>3</v>
      </c>
      <c r="O25" s="10">
        <v>2</v>
      </c>
      <c r="P25" s="10"/>
    </row>
    <row r="26" spans="1:16" x14ac:dyDescent="0.2">
      <c r="A26" s="10">
        <v>50</v>
      </c>
      <c r="B26" s="10">
        <v>0</v>
      </c>
      <c r="C26" s="10">
        <v>0</v>
      </c>
      <c r="D26" s="10">
        <v>1</v>
      </c>
      <c r="E26" s="10">
        <v>228</v>
      </c>
      <c r="F26" s="10">
        <v>228739.22</v>
      </c>
      <c r="G26" s="10" t="s">
        <v>70</v>
      </c>
      <c r="H26" s="10" t="s">
        <v>71</v>
      </c>
      <c r="I26" s="10"/>
      <c r="J26" s="10"/>
      <c r="K26" s="10">
        <v>228</v>
      </c>
      <c r="L26" s="10">
        <v>7</v>
      </c>
      <c r="M26" s="10">
        <v>3</v>
      </c>
      <c r="N26" s="10" t="s">
        <v>3</v>
      </c>
      <c r="O26" s="10">
        <v>2</v>
      </c>
      <c r="P26" s="10"/>
    </row>
    <row r="27" spans="1:16" x14ac:dyDescent="0.2">
      <c r="A27" s="10">
        <v>50</v>
      </c>
      <c r="B27" s="10">
        <v>0</v>
      </c>
      <c r="C27" s="10">
        <v>0</v>
      </c>
      <c r="D27" s="10">
        <v>1</v>
      </c>
      <c r="E27" s="10">
        <v>216</v>
      </c>
      <c r="F27" s="10">
        <v>0</v>
      </c>
      <c r="G27" s="10" t="s">
        <v>72</v>
      </c>
      <c r="H27" s="10" t="s">
        <v>73</v>
      </c>
      <c r="I27" s="10"/>
      <c r="J27" s="10"/>
      <c r="K27" s="10">
        <v>216</v>
      </c>
      <c r="L27" s="10">
        <v>8</v>
      </c>
      <c r="M27" s="10">
        <v>3</v>
      </c>
      <c r="N27" s="10" t="s">
        <v>3</v>
      </c>
      <c r="O27" s="10">
        <v>2</v>
      </c>
      <c r="P27" s="10"/>
    </row>
    <row r="28" spans="1:16" x14ac:dyDescent="0.2">
      <c r="A28" s="10">
        <v>50</v>
      </c>
      <c r="B28" s="10">
        <v>0</v>
      </c>
      <c r="C28" s="10">
        <v>0</v>
      </c>
      <c r="D28" s="10">
        <v>1</v>
      </c>
      <c r="E28" s="10">
        <v>223</v>
      </c>
      <c r="F28" s="10">
        <v>0</v>
      </c>
      <c r="G28" s="10" t="s">
        <v>74</v>
      </c>
      <c r="H28" s="10" t="s">
        <v>75</v>
      </c>
      <c r="I28" s="10"/>
      <c r="J28" s="10"/>
      <c r="K28" s="10">
        <v>223</v>
      </c>
      <c r="L28" s="10">
        <v>9</v>
      </c>
      <c r="M28" s="10">
        <v>3</v>
      </c>
      <c r="N28" s="10" t="s">
        <v>3</v>
      </c>
      <c r="O28" s="10">
        <v>2</v>
      </c>
      <c r="P28" s="10"/>
    </row>
    <row r="29" spans="1:16" x14ac:dyDescent="0.2">
      <c r="A29" s="10">
        <v>50</v>
      </c>
      <c r="B29" s="10">
        <v>0</v>
      </c>
      <c r="C29" s="10">
        <v>0</v>
      </c>
      <c r="D29" s="10">
        <v>1</v>
      </c>
      <c r="E29" s="10">
        <v>229</v>
      </c>
      <c r="F29" s="10">
        <v>0</v>
      </c>
      <c r="G29" s="10" t="s">
        <v>76</v>
      </c>
      <c r="H29" s="10" t="s">
        <v>77</v>
      </c>
      <c r="I29" s="10"/>
      <c r="J29" s="10"/>
      <c r="K29" s="10">
        <v>229</v>
      </c>
      <c r="L29" s="10">
        <v>10</v>
      </c>
      <c r="M29" s="10">
        <v>3</v>
      </c>
      <c r="N29" s="10" t="s">
        <v>3</v>
      </c>
      <c r="O29" s="10">
        <v>2</v>
      </c>
      <c r="P29" s="10"/>
    </row>
    <row r="30" spans="1:16" x14ac:dyDescent="0.2">
      <c r="A30" s="10">
        <v>50</v>
      </c>
      <c r="B30" s="10">
        <v>0</v>
      </c>
      <c r="C30" s="10">
        <v>0</v>
      </c>
      <c r="D30" s="10">
        <v>1</v>
      </c>
      <c r="E30" s="10">
        <v>203</v>
      </c>
      <c r="F30" s="10">
        <v>32115.91</v>
      </c>
      <c r="G30" s="10" t="s">
        <v>78</v>
      </c>
      <c r="H30" s="10" t="s">
        <v>79</v>
      </c>
      <c r="I30" s="10"/>
      <c r="J30" s="10"/>
      <c r="K30" s="10">
        <v>203</v>
      </c>
      <c r="L30" s="10">
        <v>11</v>
      </c>
      <c r="M30" s="10">
        <v>3</v>
      </c>
      <c r="N30" s="10" t="s">
        <v>3</v>
      </c>
      <c r="O30" s="10">
        <v>2</v>
      </c>
      <c r="P30" s="10"/>
    </row>
    <row r="31" spans="1:16" x14ac:dyDescent="0.2">
      <c r="A31" s="10">
        <v>50</v>
      </c>
      <c r="B31" s="10">
        <v>0</v>
      </c>
      <c r="C31" s="10">
        <v>0</v>
      </c>
      <c r="D31" s="10">
        <v>1</v>
      </c>
      <c r="E31" s="10">
        <v>231</v>
      </c>
      <c r="F31" s="10">
        <v>0</v>
      </c>
      <c r="G31" s="10" t="s">
        <v>80</v>
      </c>
      <c r="H31" s="10" t="s">
        <v>81</v>
      </c>
      <c r="I31" s="10"/>
      <c r="J31" s="10"/>
      <c r="K31" s="10">
        <v>231</v>
      </c>
      <c r="L31" s="10">
        <v>12</v>
      </c>
      <c r="M31" s="10">
        <v>3</v>
      </c>
      <c r="N31" s="10" t="s">
        <v>3</v>
      </c>
      <c r="O31" s="10">
        <v>2</v>
      </c>
      <c r="P31" s="10"/>
    </row>
    <row r="32" spans="1:16" x14ac:dyDescent="0.2">
      <c r="A32" s="10">
        <v>50</v>
      </c>
      <c r="B32" s="10">
        <v>0</v>
      </c>
      <c r="C32" s="10">
        <v>0</v>
      </c>
      <c r="D32" s="10">
        <v>1</v>
      </c>
      <c r="E32" s="10">
        <v>204</v>
      </c>
      <c r="F32" s="10">
        <v>12598.519999999999</v>
      </c>
      <c r="G32" s="10" t="s">
        <v>82</v>
      </c>
      <c r="H32" s="10" t="s">
        <v>83</v>
      </c>
      <c r="I32" s="10"/>
      <c r="J32" s="10"/>
      <c r="K32" s="10">
        <v>204</v>
      </c>
      <c r="L32" s="10">
        <v>13</v>
      </c>
      <c r="M32" s="10">
        <v>3</v>
      </c>
      <c r="N32" s="10" t="s">
        <v>3</v>
      </c>
      <c r="O32" s="10">
        <v>2</v>
      </c>
      <c r="P32" s="10"/>
    </row>
    <row r="33" spans="1:16" x14ac:dyDescent="0.2">
      <c r="A33" s="10">
        <v>50</v>
      </c>
      <c r="B33" s="10">
        <v>0</v>
      </c>
      <c r="C33" s="10">
        <v>0</v>
      </c>
      <c r="D33" s="10">
        <v>1</v>
      </c>
      <c r="E33" s="10">
        <v>205</v>
      </c>
      <c r="F33" s="10">
        <v>46598.540000000008</v>
      </c>
      <c r="G33" s="10" t="s">
        <v>84</v>
      </c>
      <c r="H33" s="10" t="s">
        <v>85</v>
      </c>
      <c r="I33" s="10"/>
      <c r="J33" s="10"/>
      <c r="K33" s="10">
        <v>205</v>
      </c>
      <c r="L33" s="10">
        <v>14</v>
      </c>
      <c r="M33" s="10">
        <v>3</v>
      </c>
      <c r="N33" s="10" t="s">
        <v>3</v>
      </c>
      <c r="O33" s="10">
        <v>2</v>
      </c>
      <c r="P33" s="10"/>
    </row>
    <row r="34" spans="1:16" x14ac:dyDescent="0.2">
      <c r="A34" s="10">
        <v>50</v>
      </c>
      <c r="B34" s="10">
        <v>0</v>
      </c>
      <c r="C34" s="10">
        <v>0</v>
      </c>
      <c r="D34" s="10">
        <v>1</v>
      </c>
      <c r="E34" s="10">
        <v>232</v>
      </c>
      <c r="F34" s="10">
        <v>0</v>
      </c>
      <c r="G34" s="10" t="s">
        <v>86</v>
      </c>
      <c r="H34" s="10" t="s">
        <v>87</v>
      </c>
      <c r="I34" s="10"/>
      <c r="J34" s="10"/>
      <c r="K34" s="10">
        <v>232</v>
      </c>
      <c r="L34" s="10">
        <v>15</v>
      </c>
      <c r="M34" s="10">
        <v>3</v>
      </c>
      <c r="N34" s="10" t="s">
        <v>3</v>
      </c>
      <c r="O34" s="10">
        <v>2</v>
      </c>
      <c r="P34" s="10"/>
    </row>
    <row r="35" spans="1:16" x14ac:dyDescent="0.2">
      <c r="A35" s="10">
        <v>50</v>
      </c>
      <c r="B35" s="10">
        <v>0</v>
      </c>
      <c r="C35" s="10">
        <v>0</v>
      </c>
      <c r="D35" s="10">
        <v>1</v>
      </c>
      <c r="E35" s="10">
        <v>214</v>
      </c>
      <c r="F35" s="10">
        <v>394076.73</v>
      </c>
      <c r="G35" s="10" t="s">
        <v>88</v>
      </c>
      <c r="H35" s="10" t="s">
        <v>89</v>
      </c>
      <c r="I35" s="10"/>
      <c r="J35" s="10"/>
      <c r="K35" s="10">
        <v>214</v>
      </c>
      <c r="L35" s="10">
        <v>16</v>
      </c>
      <c r="M35" s="10">
        <v>3</v>
      </c>
      <c r="N35" s="10" t="s">
        <v>3</v>
      </c>
      <c r="O35" s="10">
        <v>2</v>
      </c>
      <c r="P35" s="10"/>
    </row>
    <row r="36" spans="1:16" x14ac:dyDescent="0.2">
      <c r="A36" s="10">
        <v>50</v>
      </c>
      <c r="B36" s="10">
        <v>0</v>
      </c>
      <c r="C36" s="10">
        <v>0</v>
      </c>
      <c r="D36" s="10">
        <v>1</v>
      </c>
      <c r="E36" s="10">
        <v>215</v>
      </c>
      <c r="F36" s="10">
        <v>31343.73</v>
      </c>
      <c r="G36" s="10" t="s">
        <v>90</v>
      </c>
      <c r="H36" s="10" t="s">
        <v>91</v>
      </c>
      <c r="I36" s="10"/>
      <c r="J36" s="10"/>
      <c r="K36" s="10">
        <v>215</v>
      </c>
      <c r="L36" s="10">
        <v>17</v>
      </c>
      <c r="M36" s="10">
        <v>3</v>
      </c>
      <c r="N36" s="10" t="s">
        <v>3</v>
      </c>
      <c r="O36" s="10">
        <v>2</v>
      </c>
      <c r="P36" s="10"/>
    </row>
    <row r="37" spans="1:16" x14ac:dyDescent="0.2">
      <c r="A37" s="10">
        <v>50</v>
      </c>
      <c r="B37" s="10">
        <v>0</v>
      </c>
      <c r="C37" s="10">
        <v>0</v>
      </c>
      <c r="D37" s="10">
        <v>1</v>
      </c>
      <c r="E37" s="10">
        <v>217</v>
      </c>
      <c r="F37" s="10">
        <v>0</v>
      </c>
      <c r="G37" s="10" t="s">
        <v>92</v>
      </c>
      <c r="H37" s="10" t="s">
        <v>93</v>
      </c>
      <c r="I37" s="10"/>
      <c r="J37" s="10"/>
      <c r="K37" s="10">
        <v>217</v>
      </c>
      <c r="L37" s="10">
        <v>18</v>
      </c>
      <c r="M37" s="10">
        <v>3</v>
      </c>
      <c r="N37" s="10" t="s">
        <v>3</v>
      </c>
      <c r="O37" s="10">
        <v>2</v>
      </c>
      <c r="P37" s="10"/>
    </row>
    <row r="38" spans="1:16" x14ac:dyDescent="0.2">
      <c r="A38" s="10">
        <v>50</v>
      </c>
      <c r="B38" s="10">
        <v>0</v>
      </c>
      <c r="C38" s="10">
        <v>0</v>
      </c>
      <c r="D38" s="10">
        <v>1</v>
      </c>
      <c r="E38" s="10">
        <v>230</v>
      </c>
      <c r="F38" s="10">
        <v>0</v>
      </c>
      <c r="G38" s="10" t="s">
        <v>94</v>
      </c>
      <c r="H38" s="10" t="s">
        <v>95</v>
      </c>
      <c r="I38" s="10"/>
      <c r="J38" s="10"/>
      <c r="K38" s="10">
        <v>230</v>
      </c>
      <c r="L38" s="10">
        <v>19</v>
      </c>
      <c r="M38" s="10">
        <v>3</v>
      </c>
      <c r="N38" s="10" t="s">
        <v>3</v>
      </c>
      <c r="O38" s="10">
        <v>2</v>
      </c>
      <c r="P38" s="10"/>
    </row>
    <row r="39" spans="1:16" x14ac:dyDescent="0.2">
      <c r="A39" s="10">
        <v>50</v>
      </c>
      <c r="B39" s="10">
        <v>0</v>
      </c>
      <c r="C39" s="10">
        <v>0</v>
      </c>
      <c r="D39" s="10">
        <v>1</v>
      </c>
      <c r="E39" s="10">
        <v>206</v>
      </c>
      <c r="F39" s="10">
        <v>0</v>
      </c>
      <c r="G39" s="10" t="s">
        <v>96</v>
      </c>
      <c r="H39" s="10" t="s">
        <v>97</v>
      </c>
      <c r="I39" s="10"/>
      <c r="J39" s="10"/>
      <c r="K39" s="10">
        <v>206</v>
      </c>
      <c r="L39" s="10">
        <v>20</v>
      </c>
      <c r="M39" s="10">
        <v>3</v>
      </c>
      <c r="N39" s="10" t="s">
        <v>3</v>
      </c>
      <c r="O39" s="10">
        <v>2</v>
      </c>
      <c r="P39" s="10"/>
    </row>
    <row r="40" spans="1:16" x14ac:dyDescent="0.2">
      <c r="A40" s="10">
        <v>50</v>
      </c>
      <c r="B40" s="10">
        <v>0</v>
      </c>
      <c r="C40" s="10">
        <v>0</v>
      </c>
      <c r="D40" s="10">
        <v>1</v>
      </c>
      <c r="E40" s="10">
        <v>207</v>
      </c>
      <c r="F40" s="10">
        <v>123.9438</v>
      </c>
      <c r="G40" s="10" t="s">
        <v>98</v>
      </c>
      <c r="H40" s="10" t="s">
        <v>99</v>
      </c>
      <c r="I40" s="10"/>
      <c r="J40" s="10"/>
      <c r="K40" s="10">
        <v>207</v>
      </c>
      <c r="L40" s="10">
        <v>21</v>
      </c>
      <c r="M40" s="10">
        <v>3</v>
      </c>
      <c r="N40" s="10" t="s">
        <v>3</v>
      </c>
      <c r="O40" s="10">
        <v>-1</v>
      </c>
      <c r="P40" s="10"/>
    </row>
    <row r="41" spans="1:16" x14ac:dyDescent="0.2">
      <c r="A41" s="10">
        <v>50</v>
      </c>
      <c r="B41" s="10">
        <v>0</v>
      </c>
      <c r="C41" s="10">
        <v>0</v>
      </c>
      <c r="D41" s="10">
        <v>1</v>
      </c>
      <c r="E41" s="10">
        <v>208</v>
      </c>
      <c r="F41" s="10">
        <v>26.642112399999998</v>
      </c>
      <c r="G41" s="10" t="s">
        <v>100</v>
      </c>
      <c r="H41" s="10" t="s">
        <v>101</v>
      </c>
      <c r="I41" s="10"/>
      <c r="J41" s="10"/>
      <c r="K41" s="10">
        <v>208</v>
      </c>
      <c r="L41" s="10">
        <v>22</v>
      </c>
      <c r="M41" s="10">
        <v>3</v>
      </c>
      <c r="N41" s="10" t="s">
        <v>3</v>
      </c>
      <c r="O41" s="10">
        <v>-1</v>
      </c>
      <c r="P41" s="10"/>
    </row>
    <row r="42" spans="1:16" x14ac:dyDescent="0.2">
      <c r="A42" s="10">
        <v>50</v>
      </c>
      <c r="B42" s="10">
        <v>0</v>
      </c>
      <c r="C42" s="10">
        <v>0</v>
      </c>
      <c r="D42" s="10">
        <v>1</v>
      </c>
      <c r="E42" s="10">
        <v>209</v>
      </c>
      <c r="F42" s="10">
        <v>0</v>
      </c>
      <c r="G42" s="10" t="s">
        <v>102</v>
      </c>
      <c r="H42" s="10" t="s">
        <v>103</v>
      </c>
      <c r="I42" s="10"/>
      <c r="J42" s="10"/>
      <c r="K42" s="10">
        <v>209</v>
      </c>
      <c r="L42" s="10">
        <v>23</v>
      </c>
      <c r="M42" s="10">
        <v>3</v>
      </c>
      <c r="N42" s="10" t="s">
        <v>3</v>
      </c>
      <c r="O42" s="10">
        <v>2</v>
      </c>
      <c r="P42" s="10"/>
    </row>
    <row r="43" spans="1:16" x14ac:dyDescent="0.2">
      <c r="A43" s="10">
        <v>50</v>
      </c>
      <c r="B43" s="10">
        <v>0</v>
      </c>
      <c r="C43" s="10">
        <v>0</v>
      </c>
      <c r="D43" s="10">
        <v>1</v>
      </c>
      <c r="E43" s="10">
        <v>233</v>
      </c>
      <c r="F43" s="10">
        <v>0</v>
      </c>
      <c r="G43" s="10" t="s">
        <v>104</v>
      </c>
      <c r="H43" s="10" t="s">
        <v>105</v>
      </c>
      <c r="I43" s="10"/>
      <c r="J43" s="10"/>
      <c r="K43" s="10">
        <v>233</v>
      </c>
      <c r="L43" s="10">
        <v>24</v>
      </c>
      <c r="M43" s="10">
        <v>3</v>
      </c>
      <c r="N43" s="10" t="s">
        <v>3</v>
      </c>
      <c r="O43" s="10">
        <v>2</v>
      </c>
      <c r="P43" s="10"/>
    </row>
    <row r="44" spans="1:16" x14ac:dyDescent="0.2">
      <c r="A44" s="10">
        <v>50</v>
      </c>
      <c r="B44" s="10">
        <v>0</v>
      </c>
      <c r="C44" s="10">
        <v>0</v>
      </c>
      <c r="D44" s="10">
        <v>1</v>
      </c>
      <c r="E44" s="10">
        <v>0</v>
      </c>
      <c r="F44" s="10">
        <v>66116.72</v>
      </c>
      <c r="G44" s="10" t="s">
        <v>106</v>
      </c>
      <c r="H44" s="10" t="s">
        <v>107</v>
      </c>
      <c r="I44" s="10"/>
      <c r="J44" s="10"/>
      <c r="K44" s="10">
        <v>210</v>
      </c>
      <c r="L44" s="10">
        <v>25</v>
      </c>
      <c r="M44" s="10">
        <v>3</v>
      </c>
      <c r="N44" s="10" t="s">
        <v>3</v>
      </c>
      <c r="O44" s="10">
        <v>2</v>
      </c>
      <c r="P44" s="10"/>
    </row>
    <row r="45" spans="1:16" x14ac:dyDescent="0.2">
      <c r="A45" s="10">
        <v>50</v>
      </c>
      <c r="B45" s="10">
        <v>0</v>
      </c>
      <c r="C45" s="10">
        <v>0</v>
      </c>
      <c r="D45" s="10">
        <v>1</v>
      </c>
      <c r="E45" s="10">
        <v>0</v>
      </c>
      <c r="F45" s="10">
        <v>39251.550000000003</v>
      </c>
      <c r="G45" s="10" t="s">
        <v>108</v>
      </c>
      <c r="H45" s="10" t="s">
        <v>109</v>
      </c>
      <c r="I45" s="10"/>
      <c r="J45" s="10"/>
      <c r="K45" s="10">
        <v>211</v>
      </c>
      <c r="L45" s="10">
        <v>26</v>
      </c>
      <c r="M45" s="10">
        <v>3</v>
      </c>
      <c r="N45" s="10" t="s">
        <v>3</v>
      </c>
      <c r="O45" s="10">
        <v>2</v>
      </c>
      <c r="P45" s="10"/>
    </row>
    <row r="46" spans="1:16" x14ac:dyDescent="0.2">
      <c r="A46" s="10">
        <v>50</v>
      </c>
      <c r="B46" s="10">
        <v>0</v>
      </c>
      <c r="C46" s="10">
        <v>0</v>
      </c>
      <c r="D46" s="10">
        <v>1</v>
      </c>
      <c r="E46" s="10">
        <v>224</v>
      </c>
      <c r="F46" s="10">
        <v>425420.45999999996</v>
      </c>
      <c r="G46" s="10" t="s">
        <v>110</v>
      </c>
      <c r="H46" s="10" t="s">
        <v>111</v>
      </c>
      <c r="I46" s="10"/>
      <c r="J46" s="10"/>
      <c r="K46" s="10">
        <v>224</v>
      </c>
      <c r="L46" s="10">
        <v>27</v>
      </c>
      <c r="M46" s="10">
        <v>3</v>
      </c>
      <c r="N46" s="10" t="s">
        <v>3</v>
      </c>
      <c r="O46" s="10">
        <v>2</v>
      </c>
      <c r="P46" s="10"/>
    </row>
    <row r="47" spans="1:16" x14ac:dyDescent="0.2">
      <c r="A47" s="10">
        <v>50</v>
      </c>
      <c r="B47" s="10">
        <v>1</v>
      </c>
      <c r="C47" s="10">
        <v>0</v>
      </c>
      <c r="D47" s="10">
        <v>2</v>
      </c>
      <c r="E47" s="10">
        <v>201</v>
      </c>
      <c r="F47" s="10">
        <v>320052</v>
      </c>
      <c r="G47" s="10" t="s">
        <v>268</v>
      </c>
      <c r="H47" s="10" t="s">
        <v>269</v>
      </c>
      <c r="I47" s="10"/>
      <c r="J47" s="10"/>
      <c r="K47" s="10">
        <v>212</v>
      </c>
      <c r="L47" s="10">
        <v>28</v>
      </c>
      <c r="M47" s="10">
        <v>0</v>
      </c>
      <c r="N47" s="10" t="s">
        <v>3</v>
      </c>
      <c r="O47" s="10">
        <v>0</v>
      </c>
      <c r="P47" s="10"/>
    </row>
    <row r="48" spans="1:16" x14ac:dyDescent="0.2">
      <c r="A48" s="10">
        <v>50</v>
      </c>
      <c r="B48" s="10">
        <v>1</v>
      </c>
      <c r="C48" s="10">
        <v>0</v>
      </c>
      <c r="D48" s="10">
        <v>2</v>
      </c>
      <c r="E48" s="10">
        <v>210</v>
      </c>
      <c r="F48" s="10">
        <v>66117</v>
      </c>
      <c r="G48" s="10" t="s">
        <v>270</v>
      </c>
      <c r="H48" s="10" t="s">
        <v>107</v>
      </c>
      <c r="I48" s="10"/>
      <c r="J48" s="10"/>
      <c r="K48" s="10">
        <v>212</v>
      </c>
      <c r="L48" s="10">
        <v>29</v>
      </c>
      <c r="M48" s="10">
        <v>0</v>
      </c>
      <c r="N48" s="10" t="s">
        <v>3</v>
      </c>
      <c r="O48" s="10">
        <v>0</v>
      </c>
      <c r="P48" s="10"/>
    </row>
    <row r="49" spans="1:50" x14ac:dyDescent="0.2">
      <c r="A49" s="10">
        <v>50</v>
      </c>
      <c r="B49" s="10">
        <v>1</v>
      </c>
      <c r="C49" s="10">
        <v>0</v>
      </c>
      <c r="D49" s="10">
        <v>2</v>
      </c>
      <c r="E49" s="10">
        <v>211</v>
      </c>
      <c r="F49" s="10">
        <v>39252</v>
      </c>
      <c r="G49" s="10" t="s">
        <v>271</v>
      </c>
      <c r="H49" s="10" t="s">
        <v>109</v>
      </c>
      <c r="I49" s="10"/>
      <c r="J49" s="10"/>
      <c r="K49" s="10">
        <v>212</v>
      </c>
      <c r="L49" s="10">
        <v>30</v>
      </c>
      <c r="M49" s="10">
        <v>0</v>
      </c>
      <c r="N49" s="10" t="s">
        <v>3</v>
      </c>
      <c r="O49" s="10">
        <v>0</v>
      </c>
      <c r="P49" s="10"/>
    </row>
    <row r="50" spans="1:50" x14ac:dyDescent="0.2">
      <c r="A50" s="10">
        <v>50</v>
      </c>
      <c r="B50" s="10">
        <v>1</v>
      </c>
      <c r="C50" s="10">
        <v>0</v>
      </c>
      <c r="D50" s="10">
        <v>2</v>
      </c>
      <c r="E50" s="10">
        <v>0</v>
      </c>
      <c r="F50" s="10">
        <v>425421</v>
      </c>
      <c r="G50" s="10" t="s">
        <v>272</v>
      </c>
      <c r="H50" s="10" t="s">
        <v>273</v>
      </c>
      <c r="I50" s="10"/>
      <c r="J50" s="10"/>
      <c r="K50" s="10">
        <v>212</v>
      </c>
      <c r="L50" s="10">
        <v>31</v>
      </c>
      <c r="M50" s="10">
        <v>0</v>
      </c>
      <c r="N50" s="10" t="s">
        <v>3</v>
      </c>
      <c r="O50" s="10">
        <v>2</v>
      </c>
      <c r="P50" s="10"/>
    </row>
    <row r="51" spans="1:50" x14ac:dyDescent="0.2">
      <c r="A51" s="10">
        <v>50</v>
      </c>
      <c r="B51" s="10">
        <v>1</v>
      </c>
      <c r="C51" s="10">
        <v>0</v>
      </c>
      <c r="D51" s="10">
        <v>2</v>
      </c>
      <c r="E51" s="10">
        <v>0</v>
      </c>
      <c r="F51" s="10">
        <v>6381</v>
      </c>
      <c r="G51" s="10" t="s">
        <v>274</v>
      </c>
      <c r="H51" s="10" t="s">
        <v>275</v>
      </c>
      <c r="I51" s="10"/>
      <c r="J51" s="10"/>
      <c r="K51" s="10">
        <v>212</v>
      </c>
      <c r="L51" s="10">
        <v>32</v>
      </c>
      <c r="M51" s="10">
        <v>0</v>
      </c>
      <c r="N51" s="10" t="s">
        <v>3</v>
      </c>
      <c r="O51" s="10">
        <v>0</v>
      </c>
      <c r="P51" s="10"/>
    </row>
    <row r="52" spans="1:50" x14ac:dyDescent="0.2">
      <c r="A52" s="10">
        <v>50</v>
      </c>
      <c r="B52" s="10">
        <v>1</v>
      </c>
      <c r="C52" s="10">
        <v>0</v>
      </c>
      <c r="D52" s="10">
        <v>2</v>
      </c>
      <c r="E52" s="10">
        <v>0</v>
      </c>
      <c r="F52" s="10">
        <v>431802</v>
      </c>
      <c r="G52" s="10" t="s">
        <v>276</v>
      </c>
      <c r="H52" s="10" t="s">
        <v>273</v>
      </c>
      <c r="I52" s="10"/>
      <c r="J52" s="10"/>
      <c r="K52" s="10">
        <v>212</v>
      </c>
      <c r="L52" s="10">
        <v>33</v>
      </c>
      <c r="M52" s="10">
        <v>0</v>
      </c>
      <c r="N52" s="10" t="s">
        <v>3</v>
      </c>
      <c r="O52" s="10">
        <v>2</v>
      </c>
      <c r="P52" s="10"/>
    </row>
    <row r="53" spans="1:50" x14ac:dyDescent="0.2">
      <c r="A53" s="10">
        <v>50</v>
      </c>
      <c r="B53" s="10">
        <v>1</v>
      </c>
      <c r="C53" s="10">
        <v>0</v>
      </c>
      <c r="D53" s="10">
        <v>2</v>
      </c>
      <c r="E53" s="10">
        <v>0</v>
      </c>
      <c r="F53" s="10">
        <v>86360</v>
      </c>
      <c r="G53" s="10" t="s">
        <v>277</v>
      </c>
      <c r="H53" s="10" t="s">
        <v>278</v>
      </c>
      <c r="I53" s="10"/>
      <c r="J53" s="10"/>
      <c r="K53" s="10">
        <v>212</v>
      </c>
      <c r="L53" s="10">
        <v>34</v>
      </c>
      <c r="M53" s="10">
        <v>0</v>
      </c>
      <c r="N53" s="10" t="s">
        <v>3</v>
      </c>
      <c r="O53" s="10">
        <v>0</v>
      </c>
      <c r="P53" s="10"/>
    </row>
    <row r="54" spans="1:50" x14ac:dyDescent="0.2">
      <c r="A54" s="10">
        <v>50</v>
      </c>
      <c r="B54" s="10">
        <v>1</v>
      </c>
      <c r="C54" s="10">
        <v>0</v>
      </c>
      <c r="D54" s="10">
        <v>2</v>
      </c>
      <c r="E54" s="10">
        <v>213</v>
      </c>
      <c r="F54" s="10">
        <v>518162</v>
      </c>
      <c r="G54" s="10" t="s">
        <v>279</v>
      </c>
      <c r="H54" s="10" t="s">
        <v>110</v>
      </c>
      <c r="I54" s="10"/>
      <c r="J54" s="10"/>
      <c r="K54" s="10">
        <v>212</v>
      </c>
      <c r="L54" s="10">
        <v>35</v>
      </c>
      <c r="M54" s="10">
        <v>0</v>
      </c>
      <c r="N54" s="10" t="s">
        <v>3</v>
      </c>
      <c r="O54" s="10">
        <v>2</v>
      </c>
      <c r="P54" s="10"/>
    </row>
    <row r="56" spans="1:50" x14ac:dyDescent="0.2">
      <c r="A56" s="2">
        <v>-1</v>
      </c>
    </row>
    <row r="59" spans="1:50" x14ac:dyDescent="0.2">
      <c r="A59" s="11">
        <v>75</v>
      </c>
      <c r="B59" s="11" t="s">
        <v>346</v>
      </c>
      <c r="C59" s="11">
        <v>2026</v>
      </c>
      <c r="D59" s="11">
        <v>0</v>
      </c>
      <c r="E59" s="11">
        <v>9</v>
      </c>
      <c r="F59" s="11">
        <v>1</v>
      </c>
      <c r="G59" s="11">
        <v>0</v>
      </c>
      <c r="H59" s="11">
        <v>1</v>
      </c>
      <c r="I59" s="11">
        <v>0</v>
      </c>
      <c r="J59" s="11">
        <v>3</v>
      </c>
      <c r="K59" s="11">
        <v>0</v>
      </c>
      <c r="L59" s="11">
        <v>0</v>
      </c>
      <c r="M59" s="11">
        <v>0</v>
      </c>
      <c r="N59" s="11">
        <v>73953415</v>
      </c>
      <c r="O59" s="11">
        <v>1</v>
      </c>
    </row>
    <row r="60" spans="1:50" x14ac:dyDescent="0.2">
      <c r="A60" s="12">
        <v>2</v>
      </c>
      <c r="B60" s="12" t="s">
        <v>347</v>
      </c>
      <c r="C60" s="12" t="s">
        <v>348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>
        <v>73953416</v>
      </c>
    </row>
    <row r="61" spans="1:50" x14ac:dyDescent="0.2">
      <c r="A61" s="12">
        <v>1</v>
      </c>
      <c r="B61" s="12" t="s">
        <v>349</v>
      </c>
      <c r="C61" s="12" t="s">
        <v>350</v>
      </c>
      <c r="D61" s="12">
        <v>2026</v>
      </c>
      <c r="E61" s="12">
        <v>9</v>
      </c>
      <c r="F61" s="12">
        <v>1</v>
      </c>
      <c r="G61" s="12">
        <v>1</v>
      </c>
      <c r="H61" s="12">
        <v>0</v>
      </c>
      <c r="I61" s="12">
        <v>2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 t="s">
        <v>3</v>
      </c>
      <c r="S61" s="12" t="s">
        <v>3</v>
      </c>
      <c r="T61" s="12" t="s">
        <v>3</v>
      </c>
      <c r="U61" s="12" t="s">
        <v>3</v>
      </c>
      <c r="V61" s="12" t="s">
        <v>3</v>
      </c>
      <c r="W61" s="12" t="s">
        <v>3</v>
      </c>
      <c r="X61" s="12" t="s">
        <v>3</v>
      </c>
      <c r="Y61" s="12" t="s">
        <v>3</v>
      </c>
      <c r="Z61" s="12" t="s">
        <v>3</v>
      </c>
      <c r="AA61" s="12" t="s">
        <v>3</v>
      </c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>
        <v>73953417</v>
      </c>
      <c r="AO61" s="12" t="s">
        <v>351</v>
      </c>
      <c r="AP61" s="12" t="s">
        <v>352</v>
      </c>
      <c r="AQ61" s="12">
        <v>46258</v>
      </c>
      <c r="AR61" s="12">
        <v>423</v>
      </c>
      <c r="AS61" s="12" t="s">
        <v>353</v>
      </c>
      <c r="AT61" s="12" t="s">
        <v>354</v>
      </c>
      <c r="AU61" s="12" t="s">
        <v>352</v>
      </c>
      <c r="AV61" s="12">
        <v>46087</v>
      </c>
      <c r="AW61" s="12">
        <v>250</v>
      </c>
      <c r="AX61" s="12" t="s">
        <v>355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33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ROW(Source!A28)</f>
        <v>28</v>
      </c>
      <c r="B1">
        <v>73953415</v>
      </c>
      <c r="C1">
        <v>73953712</v>
      </c>
      <c r="D1">
        <v>72518826</v>
      </c>
      <c r="E1">
        <v>119</v>
      </c>
      <c r="F1">
        <v>1</v>
      </c>
      <c r="G1">
        <v>1</v>
      </c>
      <c r="H1">
        <v>1</v>
      </c>
      <c r="I1" t="s">
        <v>357</v>
      </c>
      <c r="J1" t="s">
        <v>3</v>
      </c>
      <c r="K1" t="s">
        <v>358</v>
      </c>
      <c r="L1">
        <v>1191</v>
      </c>
      <c r="N1">
        <v>1013</v>
      </c>
      <c r="O1" t="s">
        <v>359</v>
      </c>
      <c r="P1" t="s">
        <v>359</v>
      </c>
      <c r="Q1">
        <v>1</v>
      </c>
      <c r="W1">
        <v>0</v>
      </c>
      <c r="X1">
        <v>-1417349443</v>
      </c>
      <c r="Y1">
        <f t="shared" ref="Y1:Y32" si="0">AT1</f>
        <v>25.5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1</v>
      </c>
      <c r="AJ1">
        <v>1</v>
      </c>
      <c r="AK1">
        <v>1</v>
      </c>
      <c r="AL1">
        <v>1</v>
      </c>
      <c r="AM1">
        <v>-2</v>
      </c>
      <c r="AN1">
        <v>0</v>
      </c>
      <c r="AO1">
        <v>0</v>
      </c>
      <c r="AP1">
        <v>1</v>
      </c>
      <c r="AQ1">
        <v>1</v>
      </c>
      <c r="AR1">
        <v>0</v>
      </c>
      <c r="AS1" t="s">
        <v>3</v>
      </c>
      <c r="AT1">
        <v>25.5</v>
      </c>
      <c r="AU1" t="s">
        <v>3</v>
      </c>
      <c r="AV1">
        <v>2</v>
      </c>
      <c r="AW1">
        <v>2</v>
      </c>
      <c r="AX1">
        <v>73953715</v>
      </c>
      <c r="AY1">
        <v>1</v>
      </c>
      <c r="AZ1">
        <v>0</v>
      </c>
      <c r="BA1">
        <v>1</v>
      </c>
      <c r="BB1">
        <v>1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V1">
        <v>0</v>
      </c>
      <c r="CW1">
        <v>0</v>
      </c>
      <c r="CX1">
        <f>ROUND(Y1*Source!I28,7)</f>
        <v>6.681</v>
      </c>
      <c r="CY1">
        <f>AD1</f>
        <v>0</v>
      </c>
      <c r="CZ1">
        <f>AH1</f>
        <v>0</v>
      </c>
      <c r="DA1">
        <f>AL1</f>
        <v>1</v>
      </c>
      <c r="DB1">
        <f t="shared" ref="DB1:DB32" si="1">ROUND(ROUND(AT1*CZ1,2),6)</f>
        <v>0</v>
      </c>
      <c r="DC1">
        <f t="shared" ref="DC1:DC32" si="2">ROUND(ROUND(AT1*AG1,2),6)</f>
        <v>0</v>
      </c>
      <c r="DD1" t="s">
        <v>3</v>
      </c>
      <c r="DE1" t="s">
        <v>3</v>
      </c>
      <c r="DF1">
        <f t="shared" ref="DF1:DF6" si="3">ROUND(ROUND(AE1,2)*CX1,2)</f>
        <v>0</v>
      </c>
      <c r="DG1">
        <f>ROUND(ROUND(AF1,2)*CX1,2)</f>
        <v>0</v>
      </c>
      <c r="DH1">
        <f t="shared" ref="DH1:DH32" si="4">ROUND(ROUND(AG1,2)*CX1,2)</f>
        <v>0</v>
      </c>
      <c r="DI1">
        <f t="shared" ref="DI1:DI32" si="5">ROUND(ROUND(AH1,2)*CX1,2)</f>
        <v>0</v>
      </c>
      <c r="DJ1">
        <f>DI1</f>
        <v>0</v>
      </c>
      <c r="DK1">
        <v>0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ROW(Source!A28)</f>
        <v>28</v>
      </c>
      <c r="B2">
        <v>73953415</v>
      </c>
      <c r="C2">
        <v>73953712</v>
      </c>
      <c r="D2">
        <v>72645652</v>
      </c>
      <c r="E2">
        <v>1</v>
      </c>
      <c r="F2">
        <v>1</v>
      </c>
      <c r="G2">
        <v>1</v>
      </c>
      <c r="H2">
        <v>2</v>
      </c>
      <c r="I2" t="s">
        <v>360</v>
      </c>
      <c r="J2" t="s">
        <v>361</v>
      </c>
      <c r="K2" t="s">
        <v>362</v>
      </c>
      <c r="L2">
        <v>1368</v>
      </c>
      <c r="N2">
        <v>1011</v>
      </c>
      <c r="O2" t="s">
        <v>363</v>
      </c>
      <c r="P2" t="s">
        <v>363</v>
      </c>
      <c r="Q2">
        <v>1</v>
      </c>
      <c r="W2">
        <v>0</v>
      </c>
      <c r="X2">
        <v>-1780628978</v>
      </c>
      <c r="Y2">
        <f t="shared" si="0"/>
        <v>25.5</v>
      </c>
      <c r="AA2">
        <v>0</v>
      </c>
      <c r="AB2">
        <v>1433.48</v>
      </c>
      <c r="AC2">
        <v>537.64</v>
      </c>
      <c r="AD2">
        <v>0</v>
      </c>
      <c r="AE2">
        <v>0</v>
      </c>
      <c r="AF2">
        <v>1054.03</v>
      </c>
      <c r="AG2">
        <v>537.64</v>
      </c>
      <c r="AH2">
        <v>0</v>
      </c>
      <c r="AI2">
        <v>1</v>
      </c>
      <c r="AJ2">
        <v>1.36</v>
      </c>
      <c r="AK2">
        <v>1</v>
      </c>
      <c r="AL2">
        <v>1</v>
      </c>
      <c r="AM2">
        <v>2</v>
      </c>
      <c r="AN2">
        <v>0</v>
      </c>
      <c r="AO2">
        <v>0</v>
      </c>
      <c r="AP2">
        <v>1</v>
      </c>
      <c r="AQ2">
        <v>1</v>
      </c>
      <c r="AR2">
        <v>0</v>
      </c>
      <c r="AS2" t="s">
        <v>3</v>
      </c>
      <c r="AT2">
        <v>25.5</v>
      </c>
      <c r="AU2" t="s">
        <v>3</v>
      </c>
      <c r="AV2">
        <v>1</v>
      </c>
      <c r="AW2">
        <v>2</v>
      </c>
      <c r="AX2">
        <v>73953716</v>
      </c>
      <c r="AY2">
        <v>1</v>
      </c>
      <c r="AZ2">
        <v>0</v>
      </c>
      <c r="BA2">
        <v>2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26877.764999999999</v>
      </c>
      <c r="BL2">
        <v>13709.82</v>
      </c>
      <c r="BM2">
        <v>0</v>
      </c>
      <c r="BN2">
        <v>0</v>
      </c>
      <c r="BO2">
        <v>25.5</v>
      </c>
      <c r="BP2">
        <v>1</v>
      </c>
      <c r="BQ2">
        <v>0</v>
      </c>
      <c r="BR2">
        <v>26877.764999999999</v>
      </c>
      <c r="BS2">
        <v>13709.82</v>
      </c>
      <c r="BT2">
        <v>0</v>
      </c>
      <c r="BU2">
        <v>0</v>
      </c>
      <c r="BV2">
        <v>25.5</v>
      </c>
      <c r="BW2">
        <v>1</v>
      </c>
      <c r="CV2">
        <v>0</v>
      </c>
      <c r="CW2">
        <f>ROUND(Y2*Source!I28*DO2,7)</f>
        <v>6.681</v>
      </c>
      <c r="CX2">
        <f>ROUND(Y2*Source!I28,7)</f>
        <v>6.681</v>
      </c>
      <c r="CY2">
        <f>AB2</f>
        <v>1433.48</v>
      </c>
      <c r="CZ2">
        <f>AF2</f>
        <v>1054.03</v>
      </c>
      <c r="DA2">
        <f>AJ2</f>
        <v>1.36</v>
      </c>
      <c r="DB2">
        <f t="shared" si="1"/>
        <v>26877.77</v>
      </c>
      <c r="DC2">
        <f t="shared" si="2"/>
        <v>13709.82</v>
      </c>
      <c r="DD2" t="s">
        <v>3</v>
      </c>
      <c r="DE2" t="s">
        <v>3</v>
      </c>
      <c r="DF2">
        <f t="shared" si="3"/>
        <v>0</v>
      </c>
      <c r="DG2">
        <f>ROUND(ROUND(AF2*AJ2,2)*CX2,2)</f>
        <v>9577.08</v>
      </c>
      <c r="DH2">
        <f t="shared" si="4"/>
        <v>3591.97</v>
      </c>
      <c r="DI2">
        <f t="shared" si="5"/>
        <v>0</v>
      </c>
      <c r="DJ2">
        <f>DG2+DH2</f>
        <v>13169.05</v>
      </c>
      <c r="DK2">
        <v>0</v>
      </c>
      <c r="DL2" t="s">
        <v>364</v>
      </c>
      <c r="DM2">
        <v>6</v>
      </c>
      <c r="DN2" t="s">
        <v>359</v>
      </c>
      <c r="DO2">
        <v>1</v>
      </c>
    </row>
    <row r="3" spans="1:119" x14ac:dyDescent="0.2">
      <c r="A3">
        <f>ROW(Source!A29)</f>
        <v>29</v>
      </c>
      <c r="B3">
        <v>73953415</v>
      </c>
      <c r="C3">
        <v>73953717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365</v>
      </c>
      <c r="J3" t="s">
        <v>3</v>
      </c>
      <c r="K3" t="s">
        <v>366</v>
      </c>
      <c r="L3">
        <v>1191</v>
      </c>
      <c r="N3">
        <v>1013</v>
      </c>
      <c r="O3" t="s">
        <v>359</v>
      </c>
      <c r="P3" t="s">
        <v>359</v>
      </c>
      <c r="Q3">
        <v>1</v>
      </c>
      <c r="W3">
        <v>0</v>
      </c>
      <c r="X3">
        <v>370475345</v>
      </c>
      <c r="Y3">
        <f t="shared" si="0"/>
        <v>154</v>
      </c>
      <c r="AA3">
        <v>0</v>
      </c>
      <c r="AB3">
        <v>0</v>
      </c>
      <c r="AC3">
        <v>0</v>
      </c>
      <c r="AD3">
        <v>325.57</v>
      </c>
      <c r="AE3">
        <v>0</v>
      </c>
      <c r="AF3">
        <v>0</v>
      </c>
      <c r="AG3">
        <v>0</v>
      </c>
      <c r="AH3">
        <v>325.57</v>
      </c>
      <c r="AI3">
        <v>1</v>
      </c>
      <c r="AJ3">
        <v>1</v>
      </c>
      <c r="AK3">
        <v>1</v>
      </c>
      <c r="AL3">
        <v>1</v>
      </c>
      <c r="AM3">
        <v>-2</v>
      </c>
      <c r="AN3">
        <v>0</v>
      </c>
      <c r="AO3">
        <v>0</v>
      </c>
      <c r="AP3">
        <v>1</v>
      </c>
      <c r="AQ3">
        <v>1</v>
      </c>
      <c r="AR3">
        <v>0</v>
      </c>
      <c r="AS3" t="s">
        <v>3</v>
      </c>
      <c r="AT3">
        <v>154</v>
      </c>
      <c r="AU3" t="s">
        <v>3</v>
      </c>
      <c r="AV3">
        <v>1</v>
      </c>
      <c r="AW3">
        <v>2</v>
      </c>
      <c r="AX3">
        <v>73953719</v>
      </c>
      <c r="AY3">
        <v>1</v>
      </c>
      <c r="AZ3">
        <v>0</v>
      </c>
      <c r="BA3">
        <v>3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50137.78</v>
      </c>
      <c r="BN3">
        <v>154</v>
      </c>
      <c r="BO3">
        <v>0</v>
      </c>
      <c r="BP3">
        <v>1</v>
      </c>
      <c r="BQ3">
        <v>0</v>
      </c>
      <c r="BR3">
        <v>0</v>
      </c>
      <c r="BS3">
        <v>0</v>
      </c>
      <c r="BT3">
        <v>50137.78</v>
      </c>
      <c r="BU3">
        <v>154</v>
      </c>
      <c r="BV3">
        <v>0</v>
      </c>
      <c r="BW3">
        <v>1</v>
      </c>
      <c r="CU3">
        <f>ROUND(AT3*Source!I29*AH3*AL3,2)</f>
        <v>4011.02</v>
      </c>
      <c r="CV3">
        <f>ROUND(Y3*Source!I29,7)</f>
        <v>12.32</v>
      </c>
      <c r="CW3">
        <v>0</v>
      </c>
      <c r="CX3">
        <f>ROUND(Y3*Source!I29,7)</f>
        <v>12.32</v>
      </c>
      <c r="CY3">
        <f>AD3</f>
        <v>325.57</v>
      </c>
      <c r="CZ3">
        <f>AH3</f>
        <v>325.57</v>
      </c>
      <c r="DA3">
        <f>AL3</f>
        <v>1</v>
      </c>
      <c r="DB3">
        <f t="shared" si="1"/>
        <v>50137.78</v>
      </c>
      <c r="DC3">
        <f t="shared" si="2"/>
        <v>0</v>
      </c>
      <c r="DD3" t="s">
        <v>3</v>
      </c>
      <c r="DE3" t="s">
        <v>3</v>
      </c>
      <c r="DF3">
        <f t="shared" si="3"/>
        <v>0</v>
      </c>
      <c r="DG3">
        <f t="shared" ref="DG3:DG8" si="6">ROUND(ROUND(AF3,2)*CX3,2)</f>
        <v>0</v>
      </c>
      <c r="DH3">
        <f t="shared" si="4"/>
        <v>0</v>
      </c>
      <c r="DI3">
        <f t="shared" si="5"/>
        <v>4011.02</v>
      </c>
      <c r="DJ3">
        <f>DI3</f>
        <v>4011.02</v>
      </c>
      <c r="DK3">
        <v>1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ROW(Source!A30)</f>
        <v>30</v>
      </c>
      <c r="B4">
        <v>73953415</v>
      </c>
      <c r="C4">
        <v>73953720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367</v>
      </c>
      <c r="J4" t="s">
        <v>3</v>
      </c>
      <c r="K4" t="s">
        <v>368</v>
      </c>
      <c r="L4">
        <v>1191</v>
      </c>
      <c r="N4">
        <v>1013</v>
      </c>
      <c r="O4" t="s">
        <v>359</v>
      </c>
      <c r="P4" t="s">
        <v>359</v>
      </c>
      <c r="Q4">
        <v>1</v>
      </c>
      <c r="W4">
        <v>0</v>
      </c>
      <c r="X4">
        <v>-1991603921</v>
      </c>
      <c r="Y4">
        <f t="shared" si="0"/>
        <v>10.199999999999999</v>
      </c>
      <c r="AA4">
        <v>0</v>
      </c>
      <c r="AB4">
        <v>0</v>
      </c>
      <c r="AC4">
        <v>0</v>
      </c>
      <c r="AD4">
        <v>340.51</v>
      </c>
      <c r="AE4">
        <v>0</v>
      </c>
      <c r="AF4">
        <v>0</v>
      </c>
      <c r="AG4">
        <v>0</v>
      </c>
      <c r="AH4">
        <v>340.51</v>
      </c>
      <c r="AI4">
        <v>1</v>
      </c>
      <c r="AJ4">
        <v>1</v>
      </c>
      <c r="AK4">
        <v>1</v>
      </c>
      <c r="AL4">
        <v>1</v>
      </c>
      <c r="AM4">
        <v>-2</v>
      </c>
      <c r="AN4">
        <v>0</v>
      </c>
      <c r="AO4">
        <v>0</v>
      </c>
      <c r="AP4">
        <v>1</v>
      </c>
      <c r="AQ4">
        <v>1</v>
      </c>
      <c r="AR4">
        <v>0</v>
      </c>
      <c r="AS4" t="s">
        <v>3</v>
      </c>
      <c r="AT4">
        <v>10.199999999999999</v>
      </c>
      <c r="AU4" t="s">
        <v>3</v>
      </c>
      <c r="AV4">
        <v>1</v>
      </c>
      <c r="AW4">
        <v>2</v>
      </c>
      <c r="AX4">
        <v>73954659</v>
      </c>
      <c r="AY4">
        <v>1</v>
      </c>
      <c r="AZ4">
        <v>0</v>
      </c>
      <c r="BA4">
        <v>4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3473.2019999999998</v>
      </c>
      <c r="BN4">
        <v>10.199999999999999</v>
      </c>
      <c r="BO4">
        <v>0</v>
      </c>
      <c r="BP4">
        <v>1</v>
      </c>
      <c r="BQ4">
        <v>0</v>
      </c>
      <c r="BR4">
        <v>0</v>
      </c>
      <c r="BS4">
        <v>0</v>
      </c>
      <c r="BT4">
        <v>3473.2019999999998</v>
      </c>
      <c r="BU4">
        <v>10.199999999999999</v>
      </c>
      <c r="BV4">
        <v>0</v>
      </c>
      <c r="BW4">
        <v>1</v>
      </c>
      <c r="CU4">
        <f>ROUND(AT4*Source!I30*AH4*AL4,2)</f>
        <v>11218.44</v>
      </c>
      <c r="CV4">
        <f>ROUND(Y4*Source!I30,7)</f>
        <v>32.945999999999998</v>
      </c>
      <c r="CW4">
        <v>0</v>
      </c>
      <c r="CX4">
        <f>ROUND(Y4*Source!I30,7)</f>
        <v>32.945999999999998</v>
      </c>
      <c r="CY4">
        <f>AD4</f>
        <v>340.51</v>
      </c>
      <c r="CZ4">
        <f>AH4</f>
        <v>340.51</v>
      </c>
      <c r="DA4">
        <f>AL4</f>
        <v>1</v>
      </c>
      <c r="DB4">
        <f t="shared" si="1"/>
        <v>3473.2</v>
      </c>
      <c r="DC4">
        <f t="shared" si="2"/>
        <v>0</v>
      </c>
      <c r="DD4" t="s">
        <v>3</v>
      </c>
      <c r="DE4" t="s">
        <v>3</v>
      </c>
      <c r="DF4">
        <f t="shared" si="3"/>
        <v>0</v>
      </c>
      <c r="DG4">
        <f t="shared" si="6"/>
        <v>0</v>
      </c>
      <c r="DH4">
        <f t="shared" si="4"/>
        <v>0</v>
      </c>
      <c r="DI4">
        <f t="shared" si="5"/>
        <v>11218.44</v>
      </c>
      <c r="DJ4">
        <f>DI4</f>
        <v>11218.44</v>
      </c>
      <c r="DK4">
        <v>1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ROW(Source!A30)</f>
        <v>30</v>
      </c>
      <c r="B5">
        <v>73953415</v>
      </c>
      <c r="C5">
        <v>73953720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357</v>
      </c>
      <c r="J5" t="s">
        <v>3</v>
      </c>
      <c r="K5" t="s">
        <v>358</v>
      </c>
      <c r="L5">
        <v>1191</v>
      </c>
      <c r="N5">
        <v>1013</v>
      </c>
      <c r="O5" t="s">
        <v>359</v>
      </c>
      <c r="P5" t="s">
        <v>359</v>
      </c>
      <c r="Q5">
        <v>1</v>
      </c>
      <c r="W5">
        <v>0</v>
      </c>
      <c r="X5">
        <v>-1417349443</v>
      </c>
      <c r="Y5">
        <f t="shared" si="0"/>
        <v>0.32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1</v>
      </c>
      <c r="AK5">
        <v>1</v>
      </c>
      <c r="AL5">
        <v>1</v>
      </c>
      <c r="AM5">
        <v>-2</v>
      </c>
      <c r="AN5">
        <v>0</v>
      </c>
      <c r="AO5">
        <v>0</v>
      </c>
      <c r="AP5">
        <v>1</v>
      </c>
      <c r="AQ5">
        <v>1</v>
      </c>
      <c r="AR5">
        <v>0</v>
      </c>
      <c r="AS5" t="s">
        <v>3</v>
      </c>
      <c r="AT5">
        <v>0.32</v>
      </c>
      <c r="AU5" t="s">
        <v>3</v>
      </c>
      <c r="AV5">
        <v>2</v>
      </c>
      <c r="AW5">
        <v>2</v>
      </c>
      <c r="AX5">
        <v>73954660</v>
      </c>
      <c r="AY5">
        <v>1</v>
      </c>
      <c r="AZ5">
        <v>0</v>
      </c>
      <c r="BA5">
        <v>5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CV5">
        <v>0</v>
      </c>
      <c r="CW5">
        <v>0</v>
      </c>
      <c r="CX5">
        <f>ROUND(Y5*Source!I30,7)</f>
        <v>1.0336000000000001</v>
      </c>
      <c r="CY5">
        <f>AD5</f>
        <v>0</v>
      </c>
      <c r="CZ5">
        <f>AH5</f>
        <v>0</v>
      </c>
      <c r="DA5">
        <f>AL5</f>
        <v>1</v>
      </c>
      <c r="DB5">
        <f t="shared" si="1"/>
        <v>0</v>
      </c>
      <c r="DC5">
        <f t="shared" si="2"/>
        <v>0</v>
      </c>
      <c r="DD5" t="s">
        <v>3</v>
      </c>
      <c r="DE5" t="s">
        <v>3</v>
      </c>
      <c r="DF5">
        <f t="shared" si="3"/>
        <v>0</v>
      </c>
      <c r="DG5">
        <f t="shared" si="6"/>
        <v>0</v>
      </c>
      <c r="DH5">
        <f t="shared" si="4"/>
        <v>0</v>
      </c>
      <c r="DI5">
        <f t="shared" si="5"/>
        <v>0</v>
      </c>
      <c r="DJ5">
        <f>DI5</f>
        <v>0</v>
      </c>
      <c r="DK5">
        <v>0</v>
      </c>
      <c r="DL5" t="s">
        <v>3</v>
      </c>
      <c r="DM5">
        <v>0</v>
      </c>
      <c r="DN5" t="s">
        <v>3</v>
      </c>
      <c r="DO5">
        <v>0</v>
      </c>
    </row>
    <row r="6" spans="1:119" x14ac:dyDescent="0.2">
      <c r="A6">
        <f>ROW(Source!A30)</f>
        <v>30</v>
      </c>
      <c r="B6">
        <v>73953415</v>
      </c>
      <c r="C6">
        <v>73953720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369</v>
      </c>
      <c r="J6" t="s">
        <v>370</v>
      </c>
      <c r="K6" t="s">
        <v>371</v>
      </c>
      <c r="L6">
        <v>1368</v>
      </c>
      <c r="N6">
        <v>1011</v>
      </c>
      <c r="O6" t="s">
        <v>363</v>
      </c>
      <c r="P6" t="s">
        <v>363</v>
      </c>
      <c r="Q6">
        <v>1</v>
      </c>
      <c r="W6">
        <v>0</v>
      </c>
      <c r="X6">
        <v>-1368259184</v>
      </c>
      <c r="Y6">
        <f t="shared" si="0"/>
        <v>0.32</v>
      </c>
      <c r="AA6">
        <v>0</v>
      </c>
      <c r="AB6">
        <v>1681.82</v>
      </c>
      <c r="AC6">
        <v>459.98</v>
      </c>
      <c r="AD6">
        <v>0</v>
      </c>
      <c r="AE6">
        <v>0</v>
      </c>
      <c r="AF6">
        <v>1681.82</v>
      </c>
      <c r="AG6">
        <v>459.98</v>
      </c>
      <c r="AH6">
        <v>0</v>
      </c>
      <c r="AI6">
        <v>1</v>
      </c>
      <c r="AJ6">
        <v>1</v>
      </c>
      <c r="AK6">
        <v>1</v>
      </c>
      <c r="AL6">
        <v>1</v>
      </c>
      <c r="AM6">
        <v>-2</v>
      </c>
      <c r="AN6">
        <v>0</v>
      </c>
      <c r="AO6">
        <v>0</v>
      </c>
      <c r="AP6">
        <v>1</v>
      </c>
      <c r="AQ6">
        <v>1</v>
      </c>
      <c r="AR6">
        <v>0</v>
      </c>
      <c r="AS6" t="s">
        <v>3</v>
      </c>
      <c r="AT6">
        <v>0.32</v>
      </c>
      <c r="AU6" t="s">
        <v>3</v>
      </c>
      <c r="AV6">
        <v>1</v>
      </c>
      <c r="AW6">
        <v>2</v>
      </c>
      <c r="AX6">
        <v>73954661</v>
      </c>
      <c r="AY6">
        <v>1</v>
      </c>
      <c r="AZ6">
        <v>0</v>
      </c>
      <c r="BA6">
        <v>6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538.18240000000003</v>
      </c>
      <c r="BL6">
        <v>147.1936</v>
      </c>
      <c r="BM6">
        <v>0</v>
      </c>
      <c r="BN6">
        <v>0</v>
      </c>
      <c r="BO6">
        <v>0.32</v>
      </c>
      <c r="BP6">
        <v>1</v>
      </c>
      <c r="BQ6">
        <v>0</v>
      </c>
      <c r="BR6">
        <v>538.18240000000003</v>
      </c>
      <c r="BS6">
        <v>147.1936</v>
      </c>
      <c r="BT6">
        <v>0</v>
      </c>
      <c r="BU6">
        <v>0</v>
      </c>
      <c r="BV6">
        <v>0.32</v>
      </c>
      <c r="BW6">
        <v>1</v>
      </c>
      <c r="CV6">
        <v>0</v>
      </c>
      <c r="CW6">
        <f>ROUND(Y6*Source!I30*DO6,7)</f>
        <v>1.0336000000000001</v>
      </c>
      <c r="CX6">
        <f>ROUND(Y6*Source!I30,7)</f>
        <v>1.0336000000000001</v>
      </c>
      <c r="CY6">
        <f>AB6</f>
        <v>1681.82</v>
      </c>
      <c r="CZ6">
        <f>AF6</f>
        <v>1681.82</v>
      </c>
      <c r="DA6">
        <f>AJ6</f>
        <v>1</v>
      </c>
      <c r="DB6">
        <f t="shared" si="1"/>
        <v>538.17999999999995</v>
      </c>
      <c r="DC6">
        <f t="shared" si="2"/>
        <v>147.19</v>
      </c>
      <c r="DD6" t="s">
        <v>3</v>
      </c>
      <c r="DE6" t="s">
        <v>3</v>
      </c>
      <c r="DF6">
        <f t="shared" si="3"/>
        <v>0</v>
      </c>
      <c r="DG6">
        <f t="shared" si="6"/>
        <v>1738.33</v>
      </c>
      <c r="DH6">
        <f t="shared" si="4"/>
        <v>475.44</v>
      </c>
      <c r="DI6">
        <f t="shared" si="5"/>
        <v>0</v>
      </c>
      <c r="DJ6">
        <f>DG6+DH6</f>
        <v>2213.77</v>
      </c>
      <c r="DK6">
        <v>1</v>
      </c>
      <c r="DL6" t="s">
        <v>372</v>
      </c>
      <c r="DM6">
        <v>5</v>
      </c>
      <c r="DN6" t="s">
        <v>359</v>
      </c>
      <c r="DO6">
        <v>1</v>
      </c>
    </row>
    <row r="7" spans="1:119" x14ac:dyDescent="0.2">
      <c r="A7">
        <f>ROW(Source!A30)</f>
        <v>30</v>
      </c>
      <c r="B7">
        <v>73953415</v>
      </c>
      <c r="C7">
        <v>73953720</v>
      </c>
      <c r="D7">
        <v>72594453</v>
      </c>
      <c r="E7">
        <v>1</v>
      </c>
      <c r="F7">
        <v>1</v>
      </c>
      <c r="G7">
        <v>1</v>
      </c>
      <c r="H7">
        <v>3</v>
      </c>
      <c r="I7" t="s">
        <v>46</v>
      </c>
      <c r="J7" t="s">
        <v>49</v>
      </c>
      <c r="K7" t="s">
        <v>47</v>
      </c>
      <c r="L7">
        <v>1339</v>
      </c>
      <c r="N7">
        <v>1007</v>
      </c>
      <c r="O7" t="s">
        <v>48</v>
      </c>
      <c r="P7" t="s">
        <v>48</v>
      </c>
      <c r="Q7">
        <v>1</v>
      </c>
      <c r="W7">
        <v>0</v>
      </c>
      <c r="X7">
        <v>-1170073795</v>
      </c>
      <c r="Y7">
        <f t="shared" si="0"/>
        <v>10</v>
      </c>
      <c r="AA7">
        <v>2048.11</v>
      </c>
      <c r="AB7">
        <v>0</v>
      </c>
      <c r="AC7">
        <v>0</v>
      </c>
      <c r="AD7">
        <v>0</v>
      </c>
      <c r="AE7">
        <v>573.70000000000005</v>
      </c>
      <c r="AF7">
        <v>0</v>
      </c>
      <c r="AG7">
        <v>0</v>
      </c>
      <c r="AH7">
        <v>0</v>
      </c>
      <c r="AI7">
        <v>3.57</v>
      </c>
      <c r="AJ7">
        <v>1</v>
      </c>
      <c r="AK7">
        <v>1</v>
      </c>
      <c r="AL7">
        <v>1</v>
      </c>
      <c r="AM7">
        <v>0</v>
      </c>
      <c r="AN7">
        <v>0</v>
      </c>
      <c r="AO7">
        <v>0</v>
      </c>
      <c r="AP7">
        <v>1</v>
      </c>
      <c r="AQ7">
        <v>0</v>
      </c>
      <c r="AR7">
        <v>0</v>
      </c>
      <c r="AS7" t="s">
        <v>3</v>
      </c>
      <c r="AT7">
        <v>10</v>
      </c>
      <c r="AU7" t="s">
        <v>3</v>
      </c>
      <c r="AV7">
        <v>0</v>
      </c>
      <c r="AW7">
        <v>1</v>
      </c>
      <c r="AX7">
        <v>-1</v>
      </c>
      <c r="AY7">
        <v>0</v>
      </c>
      <c r="AZ7">
        <v>0</v>
      </c>
      <c r="BA7" t="s">
        <v>3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CV7">
        <v>0</v>
      </c>
      <c r="CW7">
        <v>0</v>
      </c>
      <c r="CX7">
        <f>ROUND(Y7*Source!I30,7)</f>
        <v>32.299999999999997</v>
      </c>
      <c r="CY7">
        <f>AA7</f>
        <v>2048.11</v>
      </c>
      <c r="CZ7">
        <f>AE7</f>
        <v>573.70000000000005</v>
      </c>
      <c r="DA7">
        <f>AI7</f>
        <v>3.57</v>
      </c>
      <c r="DB7">
        <f t="shared" si="1"/>
        <v>5737</v>
      </c>
      <c r="DC7">
        <f t="shared" si="2"/>
        <v>0</v>
      </c>
      <c r="DD7" t="s">
        <v>3</v>
      </c>
      <c r="DE7" t="s">
        <v>3</v>
      </c>
      <c r="DF7">
        <f>ROUND(ROUND(AE7*AI7,2)*CX7,2)</f>
        <v>66153.95</v>
      </c>
      <c r="DG7">
        <f t="shared" si="6"/>
        <v>0</v>
      </c>
      <c r="DH7">
        <f t="shared" si="4"/>
        <v>0</v>
      </c>
      <c r="DI7">
        <f t="shared" si="5"/>
        <v>0</v>
      </c>
      <c r="DJ7">
        <f>DF7</f>
        <v>66153.95</v>
      </c>
      <c r="DK7">
        <v>0</v>
      </c>
      <c r="DL7" t="s">
        <v>3</v>
      </c>
      <c r="DM7">
        <v>0</v>
      </c>
      <c r="DN7" t="s">
        <v>3</v>
      </c>
      <c r="DO7">
        <v>0</v>
      </c>
    </row>
    <row r="8" spans="1:119" x14ac:dyDescent="0.2">
      <c r="A8">
        <f>ROW(Source!A32)</f>
        <v>32</v>
      </c>
      <c r="B8">
        <v>73953415</v>
      </c>
      <c r="C8">
        <v>73953729</v>
      </c>
      <c r="D8">
        <v>72518826</v>
      </c>
      <c r="E8">
        <v>119</v>
      </c>
      <c r="F8">
        <v>1</v>
      </c>
      <c r="G8">
        <v>1</v>
      </c>
      <c r="H8">
        <v>1</v>
      </c>
      <c r="I8" t="s">
        <v>357</v>
      </c>
      <c r="J8" t="s">
        <v>3</v>
      </c>
      <c r="K8" t="s">
        <v>358</v>
      </c>
      <c r="L8">
        <v>1191</v>
      </c>
      <c r="N8">
        <v>1013</v>
      </c>
      <c r="O8" t="s">
        <v>359</v>
      </c>
      <c r="P8" t="s">
        <v>359</v>
      </c>
      <c r="Q8">
        <v>1</v>
      </c>
      <c r="W8">
        <v>0</v>
      </c>
      <c r="X8">
        <v>-1417349443</v>
      </c>
      <c r="Y8">
        <f t="shared" si="0"/>
        <v>8.06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1</v>
      </c>
      <c r="AK8">
        <v>1</v>
      </c>
      <c r="AL8">
        <v>1</v>
      </c>
      <c r="AM8">
        <v>-2</v>
      </c>
      <c r="AN8">
        <v>0</v>
      </c>
      <c r="AO8">
        <v>0</v>
      </c>
      <c r="AP8">
        <v>1</v>
      </c>
      <c r="AQ8">
        <v>1</v>
      </c>
      <c r="AR8">
        <v>0</v>
      </c>
      <c r="AS8" t="s">
        <v>3</v>
      </c>
      <c r="AT8">
        <v>8.06</v>
      </c>
      <c r="AU8" t="s">
        <v>3</v>
      </c>
      <c r="AV8">
        <v>2</v>
      </c>
      <c r="AW8">
        <v>2</v>
      </c>
      <c r="AX8">
        <v>73953732</v>
      </c>
      <c r="AY8">
        <v>1</v>
      </c>
      <c r="AZ8">
        <v>0</v>
      </c>
      <c r="BA8">
        <v>8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CV8">
        <v>0</v>
      </c>
      <c r="CW8">
        <v>0</v>
      </c>
      <c r="CX8">
        <f>ROUND(Y8*Source!I32,7)</f>
        <v>1.79738</v>
      </c>
      <c r="CY8">
        <f>AD8</f>
        <v>0</v>
      </c>
      <c r="CZ8">
        <f>AH8</f>
        <v>0</v>
      </c>
      <c r="DA8">
        <f>AL8</f>
        <v>1</v>
      </c>
      <c r="DB8">
        <f t="shared" si="1"/>
        <v>0</v>
      </c>
      <c r="DC8">
        <f t="shared" si="2"/>
        <v>0</v>
      </c>
      <c r="DD8" t="s">
        <v>3</v>
      </c>
      <c r="DE8" t="s">
        <v>3</v>
      </c>
      <c r="DF8">
        <f t="shared" ref="DF8:DF22" si="7">ROUND(ROUND(AE8,2)*CX8,2)</f>
        <v>0</v>
      </c>
      <c r="DG8">
        <f t="shared" si="6"/>
        <v>0</v>
      </c>
      <c r="DH8">
        <f t="shared" si="4"/>
        <v>0</v>
      </c>
      <c r="DI8">
        <f t="shared" si="5"/>
        <v>0</v>
      </c>
      <c r="DJ8">
        <f>DI8</f>
        <v>0</v>
      </c>
      <c r="DK8">
        <v>0</v>
      </c>
      <c r="DL8" t="s">
        <v>3</v>
      </c>
      <c r="DM8">
        <v>0</v>
      </c>
      <c r="DN8" t="s">
        <v>3</v>
      </c>
      <c r="DO8">
        <v>0</v>
      </c>
    </row>
    <row r="9" spans="1:119" x14ac:dyDescent="0.2">
      <c r="A9">
        <f>ROW(Source!A32)</f>
        <v>32</v>
      </c>
      <c r="B9">
        <v>73953415</v>
      </c>
      <c r="C9">
        <v>73953729</v>
      </c>
      <c r="D9">
        <v>72645603</v>
      </c>
      <c r="E9">
        <v>1</v>
      </c>
      <c r="F9">
        <v>1</v>
      </c>
      <c r="G9">
        <v>1</v>
      </c>
      <c r="H9">
        <v>2</v>
      </c>
      <c r="I9" t="s">
        <v>373</v>
      </c>
      <c r="J9" t="s">
        <v>374</v>
      </c>
      <c r="K9" t="s">
        <v>375</v>
      </c>
      <c r="L9">
        <v>1368</v>
      </c>
      <c r="N9">
        <v>1011</v>
      </c>
      <c r="O9" t="s">
        <v>363</v>
      </c>
      <c r="P9" t="s">
        <v>363</v>
      </c>
      <c r="Q9">
        <v>1</v>
      </c>
      <c r="W9">
        <v>0</v>
      </c>
      <c r="X9">
        <v>540934821</v>
      </c>
      <c r="Y9">
        <f t="shared" si="0"/>
        <v>8.06</v>
      </c>
      <c r="AA9">
        <v>0</v>
      </c>
      <c r="AB9">
        <v>1167.71</v>
      </c>
      <c r="AC9">
        <v>459.98</v>
      </c>
      <c r="AD9">
        <v>0</v>
      </c>
      <c r="AE9">
        <v>0</v>
      </c>
      <c r="AF9">
        <v>828.16</v>
      </c>
      <c r="AG9">
        <v>459.98</v>
      </c>
      <c r="AH9">
        <v>0</v>
      </c>
      <c r="AI9">
        <v>1</v>
      </c>
      <c r="AJ9">
        <v>1.41</v>
      </c>
      <c r="AK9">
        <v>1</v>
      </c>
      <c r="AL9">
        <v>1</v>
      </c>
      <c r="AM9">
        <v>2</v>
      </c>
      <c r="AN9">
        <v>0</v>
      </c>
      <c r="AO9">
        <v>0</v>
      </c>
      <c r="AP9">
        <v>1</v>
      </c>
      <c r="AQ9">
        <v>1</v>
      </c>
      <c r="AR9">
        <v>0</v>
      </c>
      <c r="AS9" t="s">
        <v>3</v>
      </c>
      <c r="AT9">
        <v>8.06</v>
      </c>
      <c r="AU9" t="s">
        <v>3</v>
      </c>
      <c r="AV9">
        <v>1</v>
      </c>
      <c r="AW9">
        <v>2</v>
      </c>
      <c r="AX9">
        <v>73953733</v>
      </c>
      <c r="AY9">
        <v>1</v>
      </c>
      <c r="AZ9">
        <v>0</v>
      </c>
      <c r="BA9">
        <v>9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6674.9696000000004</v>
      </c>
      <c r="BL9">
        <v>3707.4388000000004</v>
      </c>
      <c r="BM9">
        <v>0</v>
      </c>
      <c r="BN9">
        <v>0</v>
      </c>
      <c r="BO9">
        <v>8.06</v>
      </c>
      <c r="BP9">
        <v>1</v>
      </c>
      <c r="BQ9">
        <v>0</v>
      </c>
      <c r="BR9">
        <v>6674.9696000000004</v>
      </c>
      <c r="BS9">
        <v>3707.4388000000004</v>
      </c>
      <c r="BT9">
        <v>0</v>
      </c>
      <c r="BU9">
        <v>0</v>
      </c>
      <c r="BV9">
        <v>8.06</v>
      </c>
      <c r="BW9">
        <v>1</v>
      </c>
      <c r="CV9">
        <v>0</v>
      </c>
      <c r="CW9">
        <f>ROUND(Y9*Source!I32*DO9,7)</f>
        <v>1.79738</v>
      </c>
      <c r="CX9">
        <f>ROUND(Y9*Source!I32,7)</f>
        <v>1.79738</v>
      </c>
      <c r="CY9">
        <f>AB9</f>
        <v>1167.71</v>
      </c>
      <c r="CZ9">
        <f>AF9</f>
        <v>828.16</v>
      </c>
      <c r="DA9">
        <f>AJ9</f>
        <v>1.41</v>
      </c>
      <c r="DB9">
        <f t="shared" si="1"/>
        <v>6674.97</v>
      </c>
      <c r="DC9">
        <f t="shared" si="2"/>
        <v>3707.44</v>
      </c>
      <c r="DD9" t="s">
        <v>3</v>
      </c>
      <c r="DE9" t="s">
        <v>3</v>
      </c>
      <c r="DF9">
        <f t="shared" si="7"/>
        <v>0</v>
      </c>
      <c r="DG9">
        <f>ROUND(ROUND(AF9*AJ9,2)*CX9,2)</f>
        <v>2098.8200000000002</v>
      </c>
      <c r="DH9">
        <f t="shared" si="4"/>
        <v>826.76</v>
      </c>
      <c r="DI9">
        <f t="shared" si="5"/>
        <v>0</v>
      </c>
      <c r="DJ9">
        <f>DG9+DH9</f>
        <v>2925.58</v>
      </c>
      <c r="DK9">
        <v>0</v>
      </c>
      <c r="DL9" t="s">
        <v>372</v>
      </c>
      <c r="DM9">
        <v>5</v>
      </c>
      <c r="DN9" t="s">
        <v>359</v>
      </c>
      <c r="DO9">
        <v>1</v>
      </c>
    </row>
    <row r="10" spans="1:119" x14ac:dyDescent="0.2">
      <c r="A10">
        <f>ROW(Source!A33)</f>
        <v>33</v>
      </c>
      <c r="B10">
        <v>73953415</v>
      </c>
      <c r="C10">
        <v>73953734</v>
      </c>
      <c r="D10">
        <v>72518582</v>
      </c>
      <c r="E10">
        <v>119</v>
      </c>
      <c r="F10">
        <v>1</v>
      </c>
      <c r="G10">
        <v>1</v>
      </c>
      <c r="H10">
        <v>1</v>
      </c>
      <c r="I10" t="s">
        <v>376</v>
      </c>
      <c r="J10" t="s">
        <v>3</v>
      </c>
      <c r="K10" t="s">
        <v>377</v>
      </c>
      <c r="L10">
        <v>1191</v>
      </c>
      <c r="N10">
        <v>1013</v>
      </c>
      <c r="O10" t="s">
        <v>359</v>
      </c>
      <c r="P10" t="s">
        <v>359</v>
      </c>
      <c r="Q10">
        <v>1</v>
      </c>
      <c r="W10">
        <v>0</v>
      </c>
      <c r="X10">
        <v>-267883188</v>
      </c>
      <c r="Y10">
        <f t="shared" si="0"/>
        <v>97.2</v>
      </c>
      <c r="AA10">
        <v>0</v>
      </c>
      <c r="AB10">
        <v>0</v>
      </c>
      <c r="AC10">
        <v>0</v>
      </c>
      <c r="AD10">
        <v>312.13</v>
      </c>
      <c r="AE10">
        <v>0</v>
      </c>
      <c r="AF10">
        <v>0</v>
      </c>
      <c r="AG10">
        <v>0</v>
      </c>
      <c r="AH10">
        <v>312.13</v>
      </c>
      <c r="AI10">
        <v>1</v>
      </c>
      <c r="AJ10">
        <v>1</v>
      </c>
      <c r="AK10">
        <v>1</v>
      </c>
      <c r="AL10">
        <v>1</v>
      </c>
      <c r="AM10">
        <v>-2</v>
      </c>
      <c r="AN10">
        <v>0</v>
      </c>
      <c r="AO10">
        <v>0</v>
      </c>
      <c r="AP10">
        <v>1</v>
      </c>
      <c r="AQ10">
        <v>1</v>
      </c>
      <c r="AR10">
        <v>0</v>
      </c>
      <c r="AS10" t="s">
        <v>3</v>
      </c>
      <c r="AT10">
        <v>97.2</v>
      </c>
      <c r="AU10" t="s">
        <v>3</v>
      </c>
      <c r="AV10">
        <v>1</v>
      </c>
      <c r="AW10">
        <v>2</v>
      </c>
      <c r="AX10">
        <v>73953736</v>
      </c>
      <c r="AY10">
        <v>1</v>
      </c>
      <c r="AZ10">
        <v>0</v>
      </c>
      <c r="BA10">
        <v>10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30339.036</v>
      </c>
      <c r="BN10">
        <v>97.2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30339.036</v>
      </c>
      <c r="BU10">
        <v>97.2</v>
      </c>
      <c r="BV10">
        <v>0</v>
      </c>
      <c r="BW10">
        <v>1</v>
      </c>
      <c r="CU10">
        <f>ROUND(AT10*Source!I33*AH10*AL10,2)</f>
        <v>2123.73</v>
      </c>
      <c r="CV10">
        <f>ROUND(Y10*Source!I33,7)</f>
        <v>6.8040000000000003</v>
      </c>
      <c r="CW10">
        <v>0</v>
      </c>
      <c r="CX10">
        <f>ROUND(Y10*Source!I33,7)</f>
        <v>6.8040000000000003</v>
      </c>
      <c r="CY10">
        <f>AD10</f>
        <v>312.13</v>
      </c>
      <c r="CZ10">
        <f>AH10</f>
        <v>312.13</v>
      </c>
      <c r="DA10">
        <f>AL10</f>
        <v>1</v>
      </c>
      <c r="DB10">
        <f t="shared" si="1"/>
        <v>30339.040000000001</v>
      </c>
      <c r="DC10">
        <f t="shared" si="2"/>
        <v>0</v>
      </c>
      <c r="DD10" t="s">
        <v>3</v>
      </c>
      <c r="DE10" t="s">
        <v>3</v>
      </c>
      <c r="DF10">
        <f t="shared" si="7"/>
        <v>0</v>
      </c>
      <c r="DG10">
        <f>ROUND(ROUND(AF10,2)*CX10,2)</f>
        <v>0</v>
      </c>
      <c r="DH10">
        <f t="shared" si="4"/>
        <v>0</v>
      </c>
      <c r="DI10">
        <f t="shared" si="5"/>
        <v>2123.73</v>
      </c>
      <c r="DJ10">
        <f>DI10</f>
        <v>2123.73</v>
      </c>
      <c r="DK10">
        <v>1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ROW(Source!A69)</f>
        <v>69</v>
      </c>
      <c r="B11">
        <v>73953415</v>
      </c>
      <c r="C11">
        <v>73953737</v>
      </c>
      <c r="D11">
        <v>72518673</v>
      </c>
      <c r="E11">
        <v>119</v>
      </c>
      <c r="F11">
        <v>1</v>
      </c>
      <c r="G11">
        <v>1</v>
      </c>
      <c r="H11">
        <v>1</v>
      </c>
      <c r="I11" t="s">
        <v>378</v>
      </c>
      <c r="J11" t="s">
        <v>3</v>
      </c>
      <c r="K11" t="s">
        <v>379</v>
      </c>
      <c r="L11">
        <v>1191</v>
      </c>
      <c r="N11">
        <v>1013</v>
      </c>
      <c r="O11" t="s">
        <v>359</v>
      </c>
      <c r="P11" t="s">
        <v>359</v>
      </c>
      <c r="Q11">
        <v>1</v>
      </c>
      <c r="W11">
        <v>0</v>
      </c>
      <c r="X11">
        <v>1521243167</v>
      </c>
      <c r="Y11">
        <f t="shared" si="0"/>
        <v>5.7</v>
      </c>
      <c r="AA11">
        <v>0</v>
      </c>
      <c r="AB11">
        <v>0</v>
      </c>
      <c r="AC11">
        <v>0</v>
      </c>
      <c r="AD11">
        <v>442.06</v>
      </c>
      <c r="AE11">
        <v>0</v>
      </c>
      <c r="AF11">
        <v>0</v>
      </c>
      <c r="AG11">
        <v>0</v>
      </c>
      <c r="AH11">
        <v>442.06</v>
      </c>
      <c r="AI11">
        <v>1</v>
      </c>
      <c r="AJ11">
        <v>1</v>
      </c>
      <c r="AK11">
        <v>1</v>
      </c>
      <c r="AL11">
        <v>1</v>
      </c>
      <c r="AM11">
        <v>-2</v>
      </c>
      <c r="AN11">
        <v>0</v>
      </c>
      <c r="AO11">
        <v>0</v>
      </c>
      <c r="AP11">
        <v>1</v>
      </c>
      <c r="AQ11">
        <v>1</v>
      </c>
      <c r="AR11">
        <v>0</v>
      </c>
      <c r="AS11" t="s">
        <v>3</v>
      </c>
      <c r="AT11">
        <v>5.7</v>
      </c>
      <c r="AU11" t="s">
        <v>3</v>
      </c>
      <c r="AV11">
        <v>1</v>
      </c>
      <c r="AW11">
        <v>2</v>
      </c>
      <c r="AX11">
        <v>73953742</v>
      </c>
      <c r="AY11">
        <v>1</v>
      </c>
      <c r="AZ11">
        <v>0</v>
      </c>
      <c r="BA11">
        <v>11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2519.7420000000002</v>
      </c>
      <c r="BN11">
        <v>5.7</v>
      </c>
      <c r="BO11">
        <v>0</v>
      </c>
      <c r="BP11">
        <v>1</v>
      </c>
      <c r="BQ11">
        <v>0</v>
      </c>
      <c r="BR11">
        <v>0</v>
      </c>
      <c r="BS11">
        <v>0</v>
      </c>
      <c r="BT11">
        <v>2519.7420000000002</v>
      </c>
      <c r="BU11">
        <v>5.7</v>
      </c>
      <c r="BV11">
        <v>0</v>
      </c>
      <c r="BW11">
        <v>1</v>
      </c>
      <c r="CU11">
        <f>ROUND(AT11*Source!I69*AH11*AL11,2)</f>
        <v>5543.43</v>
      </c>
      <c r="CV11">
        <f>ROUND(Y11*Source!I69,7)</f>
        <v>12.54</v>
      </c>
      <c r="CW11">
        <v>0</v>
      </c>
      <c r="CX11">
        <f>ROUND(Y11*Source!I69,7)</f>
        <v>12.54</v>
      </c>
      <c r="CY11">
        <f>AD11</f>
        <v>442.06</v>
      </c>
      <c r="CZ11">
        <f>AH11</f>
        <v>442.06</v>
      </c>
      <c r="DA11">
        <f>AL11</f>
        <v>1</v>
      </c>
      <c r="DB11">
        <f t="shared" si="1"/>
        <v>2519.7399999999998</v>
      </c>
      <c r="DC11">
        <f t="shared" si="2"/>
        <v>0</v>
      </c>
      <c r="DD11" t="s">
        <v>3</v>
      </c>
      <c r="DE11" t="s">
        <v>3</v>
      </c>
      <c r="DF11">
        <f t="shared" si="7"/>
        <v>0</v>
      </c>
      <c r="DG11">
        <f>ROUND(ROUND(AF11,2)*CX11,2)</f>
        <v>0</v>
      </c>
      <c r="DH11">
        <f t="shared" si="4"/>
        <v>0</v>
      </c>
      <c r="DI11">
        <f t="shared" si="5"/>
        <v>5543.43</v>
      </c>
      <c r="DJ11">
        <f>DI11</f>
        <v>5543.43</v>
      </c>
      <c r="DK11">
        <v>1</v>
      </c>
      <c r="DL11" t="s">
        <v>3</v>
      </c>
      <c r="DM11">
        <v>0</v>
      </c>
      <c r="DN11" t="s">
        <v>3</v>
      </c>
      <c r="DO11">
        <v>0</v>
      </c>
    </row>
    <row r="12" spans="1:119" x14ac:dyDescent="0.2">
      <c r="A12">
        <f>ROW(Source!A69)</f>
        <v>69</v>
      </c>
      <c r="B12">
        <v>73953415</v>
      </c>
      <c r="C12">
        <v>73953737</v>
      </c>
      <c r="D12">
        <v>72646149</v>
      </c>
      <c r="E12">
        <v>1</v>
      </c>
      <c r="F12">
        <v>1</v>
      </c>
      <c r="G12">
        <v>1</v>
      </c>
      <c r="H12">
        <v>2</v>
      </c>
      <c r="I12" t="s">
        <v>380</v>
      </c>
      <c r="J12" t="s">
        <v>381</v>
      </c>
      <c r="K12" t="s">
        <v>382</v>
      </c>
      <c r="L12">
        <v>1368</v>
      </c>
      <c r="N12">
        <v>1011</v>
      </c>
      <c r="O12" t="s">
        <v>363</v>
      </c>
      <c r="P12" t="s">
        <v>363</v>
      </c>
      <c r="Q12">
        <v>1</v>
      </c>
      <c r="W12">
        <v>0</v>
      </c>
      <c r="X12">
        <v>-322869027</v>
      </c>
      <c r="Y12">
        <f t="shared" si="0"/>
        <v>0.9</v>
      </c>
      <c r="AA12">
        <v>0</v>
      </c>
      <c r="AB12">
        <v>470.42</v>
      </c>
      <c r="AC12">
        <v>0</v>
      </c>
      <c r="AD12">
        <v>0</v>
      </c>
      <c r="AE12">
        <v>0</v>
      </c>
      <c r="AF12">
        <v>345.9</v>
      </c>
      <c r="AG12">
        <v>0</v>
      </c>
      <c r="AH12">
        <v>0</v>
      </c>
      <c r="AI12">
        <v>1</v>
      </c>
      <c r="AJ12">
        <v>1.36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1</v>
      </c>
      <c r="AQ12">
        <v>1</v>
      </c>
      <c r="AR12">
        <v>0</v>
      </c>
      <c r="AS12" t="s">
        <v>3</v>
      </c>
      <c r="AT12">
        <v>0.9</v>
      </c>
      <c r="AU12" t="s">
        <v>3</v>
      </c>
      <c r="AV12">
        <v>1</v>
      </c>
      <c r="AW12">
        <v>2</v>
      </c>
      <c r="AX12">
        <v>73953743</v>
      </c>
      <c r="AY12">
        <v>1</v>
      </c>
      <c r="AZ12">
        <v>0</v>
      </c>
      <c r="BA12">
        <v>12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311.31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311.31</v>
      </c>
      <c r="BS12">
        <v>0</v>
      </c>
      <c r="BT12">
        <v>0</v>
      </c>
      <c r="BU12">
        <v>0</v>
      </c>
      <c r="BV12">
        <v>0</v>
      </c>
      <c r="BW12">
        <v>1</v>
      </c>
      <c r="CV12">
        <v>0</v>
      </c>
      <c r="CW12">
        <f>ROUND(Y12*Source!I69*DO12,7)</f>
        <v>0</v>
      </c>
      <c r="CX12">
        <f>ROUND(Y12*Source!I69,7)</f>
        <v>1.98</v>
      </c>
      <c r="CY12">
        <f>AB12</f>
        <v>470.42</v>
      </c>
      <c r="CZ12">
        <f>AF12</f>
        <v>345.9</v>
      </c>
      <c r="DA12">
        <f>AJ12</f>
        <v>1.36</v>
      </c>
      <c r="DB12">
        <f t="shared" si="1"/>
        <v>311.31</v>
      </c>
      <c r="DC12">
        <f t="shared" si="2"/>
        <v>0</v>
      </c>
      <c r="DD12" t="s">
        <v>3</v>
      </c>
      <c r="DE12" t="s">
        <v>3</v>
      </c>
      <c r="DF12">
        <f t="shared" si="7"/>
        <v>0</v>
      </c>
      <c r="DG12">
        <f>ROUND(ROUND(AF12*AJ12,2)*CX12,2)</f>
        <v>931.43</v>
      </c>
      <c r="DH12">
        <f t="shared" si="4"/>
        <v>0</v>
      </c>
      <c r="DI12">
        <f t="shared" si="5"/>
        <v>0</v>
      </c>
      <c r="DJ12">
        <f>DG12+DH12</f>
        <v>931.43</v>
      </c>
      <c r="DK12">
        <v>0</v>
      </c>
      <c r="DL12" t="s">
        <v>3</v>
      </c>
      <c r="DM12">
        <v>0</v>
      </c>
      <c r="DN12" t="s">
        <v>3</v>
      </c>
      <c r="DO12">
        <v>0</v>
      </c>
    </row>
    <row r="13" spans="1:119" x14ac:dyDescent="0.2">
      <c r="A13">
        <f>ROW(Source!A69)</f>
        <v>69</v>
      </c>
      <c r="B13">
        <v>73953415</v>
      </c>
      <c r="C13">
        <v>73953737</v>
      </c>
      <c r="D13">
        <v>72646970</v>
      </c>
      <c r="E13">
        <v>1</v>
      </c>
      <c r="F13">
        <v>1</v>
      </c>
      <c r="G13">
        <v>1</v>
      </c>
      <c r="H13">
        <v>2</v>
      </c>
      <c r="I13" t="s">
        <v>383</v>
      </c>
      <c r="J13" t="s">
        <v>384</v>
      </c>
      <c r="K13" t="s">
        <v>385</v>
      </c>
      <c r="L13">
        <v>1368</v>
      </c>
      <c r="N13">
        <v>1011</v>
      </c>
      <c r="O13" t="s">
        <v>363</v>
      </c>
      <c r="P13" t="s">
        <v>363</v>
      </c>
      <c r="Q13">
        <v>1</v>
      </c>
      <c r="W13">
        <v>0</v>
      </c>
      <c r="X13">
        <v>-550484749</v>
      </c>
      <c r="Y13">
        <f t="shared" si="0"/>
        <v>0.48</v>
      </c>
      <c r="AA13">
        <v>0</v>
      </c>
      <c r="AB13">
        <v>48.02</v>
      </c>
      <c r="AC13">
        <v>0</v>
      </c>
      <c r="AD13">
        <v>0</v>
      </c>
      <c r="AE13">
        <v>0</v>
      </c>
      <c r="AF13">
        <v>27.13</v>
      </c>
      <c r="AG13">
        <v>0</v>
      </c>
      <c r="AH13">
        <v>0</v>
      </c>
      <c r="AI13">
        <v>1</v>
      </c>
      <c r="AJ13">
        <v>1.77</v>
      </c>
      <c r="AK13">
        <v>1</v>
      </c>
      <c r="AL13">
        <v>1</v>
      </c>
      <c r="AM13">
        <v>2</v>
      </c>
      <c r="AN13">
        <v>0</v>
      </c>
      <c r="AO13">
        <v>0</v>
      </c>
      <c r="AP13">
        <v>1</v>
      </c>
      <c r="AQ13">
        <v>1</v>
      </c>
      <c r="AR13">
        <v>0</v>
      </c>
      <c r="AS13" t="s">
        <v>3</v>
      </c>
      <c r="AT13">
        <v>0.48</v>
      </c>
      <c r="AU13" t="s">
        <v>3</v>
      </c>
      <c r="AV13">
        <v>1</v>
      </c>
      <c r="AW13">
        <v>2</v>
      </c>
      <c r="AX13">
        <v>73953744</v>
      </c>
      <c r="AY13">
        <v>1</v>
      </c>
      <c r="AZ13">
        <v>0</v>
      </c>
      <c r="BA13">
        <v>13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13.022399999999999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13.022399999999999</v>
      </c>
      <c r="BS13">
        <v>0</v>
      </c>
      <c r="BT13">
        <v>0</v>
      </c>
      <c r="BU13">
        <v>0</v>
      </c>
      <c r="BV13">
        <v>0</v>
      </c>
      <c r="BW13">
        <v>1</v>
      </c>
      <c r="CV13">
        <v>0</v>
      </c>
      <c r="CW13">
        <f>ROUND(Y13*Source!I69*DO13,7)</f>
        <v>0</v>
      </c>
      <c r="CX13">
        <f>ROUND(Y13*Source!I69,7)</f>
        <v>1.056</v>
      </c>
      <c r="CY13">
        <f>AB13</f>
        <v>48.02</v>
      </c>
      <c r="CZ13">
        <f>AF13</f>
        <v>27.13</v>
      </c>
      <c r="DA13">
        <f>AJ13</f>
        <v>1.77</v>
      </c>
      <c r="DB13">
        <f t="shared" si="1"/>
        <v>13.02</v>
      </c>
      <c r="DC13">
        <f t="shared" si="2"/>
        <v>0</v>
      </c>
      <c r="DD13" t="s">
        <v>3</v>
      </c>
      <c r="DE13" t="s">
        <v>3</v>
      </c>
      <c r="DF13">
        <f t="shared" si="7"/>
        <v>0</v>
      </c>
      <c r="DG13">
        <f>ROUND(ROUND(AF13*AJ13,2)*CX13,2)</f>
        <v>50.71</v>
      </c>
      <c r="DH13">
        <f t="shared" si="4"/>
        <v>0</v>
      </c>
      <c r="DI13">
        <f t="shared" si="5"/>
        <v>0</v>
      </c>
      <c r="DJ13">
        <f>DG13+DH13</f>
        <v>50.71</v>
      </c>
      <c r="DK13">
        <v>0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ROW(Source!A69)</f>
        <v>69</v>
      </c>
      <c r="B14">
        <v>73953415</v>
      </c>
      <c r="C14">
        <v>73953737</v>
      </c>
      <c r="D14">
        <v>72635017</v>
      </c>
      <c r="E14">
        <v>1</v>
      </c>
      <c r="F14">
        <v>1</v>
      </c>
      <c r="G14">
        <v>1</v>
      </c>
      <c r="H14">
        <v>3</v>
      </c>
      <c r="I14" t="s">
        <v>386</v>
      </c>
      <c r="J14" t="s">
        <v>387</v>
      </c>
      <c r="K14" t="s">
        <v>388</v>
      </c>
      <c r="L14">
        <v>1371</v>
      </c>
      <c r="N14">
        <v>1013</v>
      </c>
      <c r="O14" t="s">
        <v>130</v>
      </c>
      <c r="P14" t="s">
        <v>130</v>
      </c>
      <c r="Q14">
        <v>1</v>
      </c>
      <c r="W14">
        <v>0</v>
      </c>
      <c r="X14">
        <v>-1342207248</v>
      </c>
      <c r="Y14">
        <f t="shared" si="0"/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1</v>
      </c>
      <c r="AK14">
        <v>1</v>
      </c>
      <c r="AL14">
        <v>1</v>
      </c>
      <c r="AM14">
        <v>3</v>
      </c>
      <c r="AN14">
        <v>0</v>
      </c>
      <c r="AO14">
        <v>0</v>
      </c>
      <c r="AP14">
        <v>1</v>
      </c>
      <c r="AQ14">
        <v>1</v>
      </c>
      <c r="AR14">
        <v>0</v>
      </c>
      <c r="AS14" t="s">
        <v>3</v>
      </c>
      <c r="AT14">
        <v>0</v>
      </c>
      <c r="AU14" t="s">
        <v>3</v>
      </c>
      <c r="AV14">
        <v>0</v>
      </c>
      <c r="AW14">
        <v>2</v>
      </c>
      <c r="AX14">
        <v>73953746</v>
      </c>
      <c r="AY14">
        <v>2</v>
      </c>
      <c r="AZ14">
        <v>22528</v>
      </c>
      <c r="BA14">
        <v>15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CV14">
        <v>0</v>
      </c>
      <c r="CW14">
        <v>0</v>
      </c>
      <c r="CX14">
        <f>ROUND(Y14*Source!I69,7)</f>
        <v>0</v>
      </c>
      <c r="CY14">
        <f>AA14</f>
        <v>0</v>
      </c>
      <c r="CZ14">
        <f>AE14</f>
        <v>0</v>
      </c>
      <c r="DA14">
        <f>AI14</f>
        <v>1</v>
      </c>
      <c r="DB14">
        <f t="shared" si="1"/>
        <v>0</v>
      </c>
      <c r="DC14">
        <f t="shared" si="2"/>
        <v>0</v>
      </c>
      <c r="DD14" t="s">
        <v>3</v>
      </c>
      <c r="DE14" t="s">
        <v>3</v>
      </c>
      <c r="DF14">
        <f t="shared" si="7"/>
        <v>0</v>
      </c>
      <c r="DG14">
        <f>ROUND(ROUND(AF14,2)*CX14,2)</f>
        <v>0</v>
      </c>
      <c r="DH14">
        <f t="shared" si="4"/>
        <v>0</v>
      </c>
      <c r="DI14">
        <f t="shared" si="5"/>
        <v>0</v>
      </c>
      <c r="DJ14">
        <f>DF14</f>
        <v>0</v>
      </c>
      <c r="DK14">
        <v>2</v>
      </c>
      <c r="DL14" t="s">
        <v>3</v>
      </c>
      <c r="DM14">
        <v>0</v>
      </c>
      <c r="DN14" t="s">
        <v>3</v>
      </c>
      <c r="DO14">
        <v>0</v>
      </c>
    </row>
    <row r="15" spans="1:119" x14ac:dyDescent="0.2">
      <c r="A15">
        <f>ROW(Source!A72)</f>
        <v>72</v>
      </c>
      <c r="B15">
        <v>73953415</v>
      </c>
      <c r="C15">
        <v>73953751</v>
      </c>
      <c r="D15">
        <v>72518640</v>
      </c>
      <c r="E15">
        <v>119</v>
      </c>
      <c r="F15">
        <v>1</v>
      </c>
      <c r="G15">
        <v>1</v>
      </c>
      <c r="H15">
        <v>1</v>
      </c>
      <c r="I15" t="s">
        <v>389</v>
      </c>
      <c r="J15" t="s">
        <v>3</v>
      </c>
      <c r="K15" t="s">
        <v>390</v>
      </c>
      <c r="L15">
        <v>1191</v>
      </c>
      <c r="N15">
        <v>1013</v>
      </c>
      <c r="O15" t="s">
        <v>359</v>
      </c>
      <c r="P15" t="s">
        <v>359</v>
      </c>
      <c r="Q15">
        <v>1</v>
      </c>
      <c r="W15">
        <v>0</v>
      </c>
      <c r="X15">
        <v>-1461236815</v>
      </c>
      <c r="Y15">
        <f t="shared" si="0"/>
        <v>20.51</v>
      </c>
      <c r="AA15">
        <v>0</v>
      </c>
      <c r="AB15">
        <v>0</v>
      </c>
      <c r="AC15">
        <v>0</v>
      </c>
      <c r="AD15">
        <v>373.36</v>
      </c>
      <c r="AE15">
        <v>0</v>
      </c>
      <c r="AF15">
        <v>0</v>
      </c>
      <c r="AG15">
        <v>0</v>
      </c>
      <c r="AH15">
        <v>373.36</v>
      </c>
      <c r="AI15">
        <v>1</v>
      </c>
      <c r="AJ15">
        <v>1</v>
      </c>
      <c r="AK15">
        <v>1</v>
      </c>
      <c r="AL15">
        <v>1</v>
      </c>
      <c r="AM15">
        <v>-2</v>
      </c>
      <c r="AN15">
        <v>0</v>
      </c>
      <c r="AO15">
        <v>0</v>
      </c>
      <c r="AP15">
        <v>0</v>
      </c>
      <c r="AQ15">
        <v>1</v>
      </c>
      <c r="AR15">
        <v>0</v>
      </c>
      <c r="AS15" t="s">
        <v>3</v>
      </c>
      <c r="AT15">
        <v>20.51</v>
      </c>
      <c r="AU15" t="s">
        <v>3</v>
      </c>
      <c r="AV15">
        <v>1</v>
      </c>
      <c r="AW15">
        <v>2</v>
      </c>
      <c r="AX15">
        <v>73953767</v>
      </c>
      <c r="AY15">
        <v>1</v>
      </c>
      <c r="AZ15">
        <v>0</v>
      </c>
      <c r="BA15">
        <v>16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7657.6136000000006</v>
      </c>
      <c r="BN15">
        <v>20.51</v>
      </c>
      <c r="BO15">
        <v>0</v>
      </c>
      <c r="BP15">
        <v>1</v>
      </c>
      <c r="BQ15">
        <v>0</v>
      </c>
      <c r="BR15">
        <v>0</v>
      </c>
      <c r="BS15">
        <v>0</v>
      </c>
      <c r="BT15">
        <v>7657.6136000000006</v>
      </c>
      <c r="BU15">
        <v>20.51</v>
      </c>
      <c r="BV15">
        <v>0</v>
      </c>
      <c r="BW15">
        <v>1</v>
      </c>
      <c r="CU15">
        <f>ROUND(AT15*Source!I72*AH15*AL15,2)</f>
        <v>1301.79</v>
      </c>
      <c r="CV15">
        <f>ROUND(Y15*Source!I72,7)</f>
        <v>3.4866999999999999</v>
      </c>
      <c r="CW15">
        <v>0</v>
      </c>
      <c r="CX15">
        <f>ROUND(Y15*Source!I72,7)</f>
        <v>3.4866999999999999</v>
      </c>
      <c r="CY15">
        <f>AD15</f>
        <v>373.36</v>
      </c>
      <c r="CZ15">
        <f>AH15</f>
        <v>373.36</v>
      </c>
      <c r="DA15">
        <f>AL15</f>
        <v>1</v>
      </c>
      <c r="DB15">
        <f t="shared" si="1"/>
        <v>7657.61</v>
      </c>
      <c r="DC15">
        <f t="shared" si="2"/>
        <v>0</v>
      </c>
      <c r="DD15" t="s">
        <v>3</v>
      </c>
      <c r="DE15" t="s">
        <v>3</v>
      </c>
      <c r="DF15">
        <f t="shared" si="7"/>
        <v>0</v>
      </c>
      <c r="DG15">
        <f>ROUND(ROUND(AF15,2)*CX15,2)</f>
        <v>0</v>
      </c>
      <c r="DH15">
        <f t="shared" si="4"/>
        <v>0</v>
      </c>
      <c r="DI15">
        <f t="shared" si="5"/>
        <v>1301.79</v>
      </c>
      <c r="DJ15">
        <f>DI15</f>
        <v>1301.79</v>
      </c>
      <c r="DK15">
        <v>1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ROW(Source!A72)</f>
        <v>72</v>
      </c>
      <c r="B16">
        <v>73953415</v>
      </c>
      <c r="C16">
        <v>73953751</v>
      </c>
      <c r="D16">
        <v>72518826</v>
      </c>
      <c r="E16">
        <v>119</v>
      </c>
      <c r="F16">
        <v>1</v>
      </c>
      <c r="G16">
        <v>1</v>
      </c>
      <c r="H16">
        <v>1</v>
      </c>
      <c r="I16" t="s">
        <v>357</v>
      </c>
      <c r="J16" t="s">
        <v>3</v>
      </c>
      <c r="K16" t="s">
        <v>358</v>
      </c>
      <c r="L16">
        <v>1191</v>
      </c>
      <c r="N16">
        <v>1013</v>
      </c>
      <c r="O16" t="s">
        <v>359</v>
      </c>
      <c r="P16" t="s">
        <v>359</v>
      </c>
      <c r="Q16">
        <v>1</v>
      </c>
      <c r="W16">
        <v>0</v>
      </c>
      <c r="X16">
        <v>-1417349443</v>
      </c>
      <c r="Y16">
        <f t="shared" si="0"/>
        <v>11.96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1</v>
      </c>
      <c r="AM16">
        <v>-2</v>
      </c>
      <c r="AN16">
        <v>0</v>
      </c>
      <c r="AO16">
        <v>0</v>
      </c>
      <c r="AP16">
        <v>0</v>
      </c>
      <c r="AQ16">
        <v>1</v>
      </c>
      <c r="AR16">
        <v>0</v>
      </c>
      <c r="AS16" t="s">
        <v>3</v>
      </c>
      <c r="AT16">
        <v>11.96</v>
      </c>
      <c r="AU16" t="s">
        <v>3</v>
      </c>
      <c r="AV16">
        <v>2</v>
      </c>
      <c r="AW16">
        <v>2</v>
      </c>
      <c r="AX16">
        <v>73953768</v>
      </c>
      <c r="AY16">
        <v>1</v>
      </c>
      <c r="AZ16">
        <v>0</v>
      </c>
      <c r="BA16">
        <v>17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CV16">
        <v>0</v>
      </c>
      <c r="CW16">
        <v>0</v>
      </c>
      <c r="CX16">
        <f>ROUND(Y16*Source!I72,7)</f>
        <v>2.0331999999999999</v>
      </c>
      <c r="CY16">
        <f>AD16</f>
        <v>0</v>
      </c>
      <c r="CZ16">
        <f>AH16</f>
        <v>0</v>
      </c>
      <c r="DA16">
        <f>AL16</f>
        <v>1</v>
      </c>
      <c r="DB16">
        <f t="shared" si="1"/>
        <v>0</v>
      </c>
      <c r="DC16">
        <f t="shared" si="2"/>
        <v>0</v>
      </c>
      <c r="DD16" t="s">
        <v>3</v>
      </c>
      <c r="DE16" t="s">
        <v>3</v>
      </c>
      <c r="DF16">
        <f t="shared" si="7"/>
        <v>0</v>
      </c>
      <c r="DG16">
        <f>ROUND(ROUND(AF16,2)*CX16,2)</f>
        <v>0</v>
      </c>
      <c r="DH16">
        <f t="shared" si="4"/>
        <v>0</v>
      </c>
      <c r="DI16">
        <f t="shared" si="5"/>
        <v>0</v>
      </c>
      <c r="DJ16">
        <f>DI16</f>
        <v>0</v>
      </c>
      <c r="DK16">
        <v>0</v>
      </c>
      <c r="DL16" t="s">
        <v>3</v>
      </c>
      <c r="DM16">
        <v>0</v>
      </c>
      <c r="DN16" t="s">
        <v>3</v>
      </c>
      <c r="DO16">
        <v>0</v>
      </c>
    </row>
    <row r="17" spans="1:119" x14ac:dyDescent="0.2">
      <c r="A17">
        <f>ROW(Source!A72)</f>
        <v>72</v>
      </c>
      <c r="B17">
        <v>73953415</v>
      </c>
      <c r="C17">
        <v>73953751</v>
      </c>
      <c r="D17">
        <v>72646682</v>
      </c>
      <c r="E17">
        <v>1</v>
      </c>
      <c r="F17">
        <v>1</v>
      </c>
      <c r="G17">
        <v>1</v>
      </c>
      <c r="H17">
        <v>2</v>
      </c>
      <c r="I17" t="s">
        <v>391</v>
      </c>
      <c r="J17" t="s">
        <v>392</v>
      </c>
      <c r="K17" t="s">
        <v>393</v>
      </c>
      <c r="L17">
        <v>1368</v>
      </c>
      <c r="N17">
        <v>1011</v>
      </c>
      <c r="O17" t="s">
        <v>363</v>
      </c>
      <c r="P17" t="s">
        <v>363</v>
      </c>
      <c r="Q17">
        <v>1</v>
      </c>
      <c r="W17">
        <v>0</v>
      </c>
      <c r="X17">
        <v>-733090258</v>
      </c>
      <c r="Y17">
        <f t="shared" si="0"/>
        <v>11.44</v>
      </c>
      <c r="AA17">
        <v>0</v>
      </c>
      <c r="AB17">
        <v>1172.93</v>
      </c>
      <c r="AC17">
        <v>459.98</v>
      </c>
      <c r="AD17">
        <v>0</v>
      </c>
      <c r="AE17">
        <v>0</v>
      </c>
      <c r="AF17">
        <v>994.01</v>
      </c>
      <c r="AG17">
        <v>459.98</v>
      </c>
      <c r="AH17">
        <v>0</v>
      </c>
      <c r="AI17">
        <v>1</v>
      </c>
      <c r="AJ17">
        <v>1.18</v>
      </c>
      <c r="AK17">
        <v>1</v>
      </c>
      <c r="AL17">
        <v>1</v>
      </c>
      <c r="AM17">
        <v>2</v>
      </c>
      <c r="AN17">
        <v>0</v>
      </c>
      <c r="AO17">
        <v>0</v>
      </c>
      <c r="AP17">
        <v>0</v>
      </c>
      <c r="AQ17">
        <v>1</v>
      </c>
      <c r="AR17">
        <v>0</v>
      </c>
      <c r="AS17" t="s">
        <v>3</v>
      </c>
      <c r="AT17">
        <v>11.44</v>
      </c>
      <c r="AU17" t="s">
        <v>3</v>
      </c>
      <c r="AV17">
        <v>1</v>
      </c>
      <c r="AW17">
        <v>2</v>
      </c>
      <c r="AX17">
        <v>73953769</v>
      </c>
      <c r="AY17">
        <v>1</v>
      </c>
      <c r="AZ17">
        <v>0</v>
      </c>
      <c r="BA17">
        <v>18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11371.474399999999</v>
      </c>
      <c r="BL17">
        <v>5262.1711999999998</v>
      </c>
      <c r="BM17">
        <v>0</v>
      </c>
      <c r="BN17">
        <v>0</v>
      </c>
      <c r="BO17">
        <v>11.44</v>
      </c>
      <c r="BP17">
        <v>1</v>
      </c>
      <c r="BQ17">
        <v>0</v>
      </c>
      <c r="BR17">
        <v>11371.474399999999</v>
      </c>
      <c r="BS17">
        <v>5262.1711999999998</v>
      </c>
      <c r="BT17">
        <v>0</v>
      </c>
      <c r="BU17">
        <v>0</v>
      </c>
      <c r="BV17">
        <v>11.44</v>
      </c>
      <c r="BW17">
        <v>1</v>
      </c>
      <c r="CV17">
        <v>0</v>
      </c>
      <c r="CW17">
        <f>ROUND(Y17*Source!I72*DO17,7)</f>
        <v>1.9448000000000001</v>
      </c>
      <c r="CX17">
        <f>ROUND(Y17*Source!I72,7)</f>
        <v>1.9448000000000001</v>
      </c>
      <c r="CY17">
        <f>AB17</f>
        <v>1172.93</v>
      </c>
      <c r="CZ17">
        <f>AF17</f>
        <v>994.01</v>
      </c>
      <c r="DA17">
        <f>AJ17</f>
        <v>1.18</v>
      </c>
      <c r="DB17">
        <f t="shared" si="1"/>
        <v>11371.47</v>
      </c>
      <c r="DC17">
        <f t="shared" si="2"/>
        <v>5262.17</v>
      </c>
      <c r="DD17" t="s">
        <v>3</v>
      </c>
      <c r="DE17" t="s">
        <v>3</v>
      </c>
      <c r="DF17">
        <f t="shared" si="7"/>
        <v>0</v>
      </c>
      <c r="DG17">
        <f>ROUND(ROUND(AF17*AJ17,2)*CX17,2)</f>
        <v>2281.11</v>
      </c>
      <c r="DH17">
        <f t="shared" si="4"/>
        <v>894.57</v>
      </c>
      <c r="DI17">
        <f t="shared" si="5"/>
        <v>0</v>
      </c>
      <c r="DJ17">
        <f>DG17+DH17</f>
        <v>3175.6800000000003</v>
      </c>
      <c r="DK17">
        <v>0</v>
      </c>
      <c r="DL17" t="s">
        <v>372</v>
      </c>
      <c r="DM17">
        <v>5</v>
      </c>
      <c r="DN17" t="s">
        <v>359</v>
      </c>
      <c r="DO17">
        <v>1</v>
      </c>
    </row>
    <row r="18" spans="1:119" x14ac:dyDescent="0.2">
      <c r="A18">
        <f>ROW(Source!A72)</f>
        <v>72</v>
      </c>
      <c r="B18">
        <v>73953415</v>
      </c>
      <c r="C18">
        <v>73953751</v>
      </c>
      <c r="D18">
        <v>72647129</v>
      </c>
      <c r="E18">
        <v>1</v>
      </c>
      <c r="F18">
        <v>1</v>
      </c>
      <c r="G18">
        <v>1</v>
      </c>
      <c r="H18">
        <v>2</v>
      </c>
      <c r="I18" t="s">
        <v>394</v>
      </c>
      <c r="J18" t="s">
        <v>395</v>
      </c>
      <c r="K18" t="s">
        <v>396</v>
      </c>
      <c r="L18">
        <v>1368</v>
      </c>
      <c r="N18">
        <v>1011</v>
      </c>
      <c r="O18" t="s">
        <v>363</v>
      </c>
      <c r="P18" t="s">
        <v>363</v>
      </c>
      <c r="Q18">
        <v>1</v>
      </c>
      <c r="W18">
        <v>0</v>
      </c>
      <c r="X18">
        <v>1678177714</v>
      </c>
      <c r="Y18">
        <f t="shared" si="0"/>
        <v>2.0699999999999998</v>
      </c>
      <c r="AA18">
        <v>0</v>
      </c>
      <c r="AB18">
        <v>43.87</v>
      </c>
      <c r="AC18">
        <v>0</v>
      </c>
      <c r="AD18">
        <v>0</v>
      </c>
      <c r="AE18">
        <v>0</v>
      </c>
      <c r="AF18">
        <v>43.87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1</v>
      </c>
      <c r="AM18">
        <v>-2</v>
      </c>
      <c r="AN18">
        <v>0</v>
      </c>
      <c r="AO18">
        <v>0</v>
      </c>
      <c r="AP18">
        <v>0</v>
      </c>
      <c r="AQ18">
        <v>1</v>
      </c>
      <c r="AR18">
        <v>0</v>
      </c>
      <c r="AS18" t="s">
        <v>3</v>
      </c>
      <c r="AT18">
        <v>2.0699999999999998</v>
      </c>
      <c r="AU18" t="s">
        <v>3</v>
      </c>
      <c r="AV18">
        <v>1</v>
      </c>
      <c r="AW18">
        <v>2</v>
      </c>
      <c r="AX18">
        <v>73953770</v>
      </c>
      <c r="AY18">
        <v>1</v>
      </c>
      <c r="AZ18">
        <v>0</v>
      </c>
      <c r="BA18">
        <v>19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90.81089999999999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90.81089999999999</v>
      </c>
      <c r="BS18">
        <v>0</v>
      </c>
      <c r="BT18">
        <v>0</v>
      </c>
      <c r="BU18">
        <v>0</v>
      </c>
      <c r="BV18">
        <v>0</v>
      </c>
      <c r="BW18">
        <v>1</v>
      </c>
      <c r="CV18">
        <v>0</v>
      </c>
      <c r="CW18">
        <f>ROUND(Y18*Source!I72*DO18,7)</f>
        <v>0</v>
      </c>
      <c r="CX18">
        <f>ROUND(Y18*Source!I72,7)</f>
        <v>0.35189999999999999</v>
      </c>
      <c r="CY18">
        <f>AB18</f>
        <v>43.87</v>
      </c>
      <c r="CZ18">
        <f>AF18</f>
        <v>43.87</v>
      </c>
      <c r="DA18">
        <f>AJ18</f>
        <v>1</v>
      </c>
      <c r="DB18">
        <f t="shared" si="1"/>
        <v>90.81</v>
      </c>
      <c r="DC18">
        <f t="shared" si="2"/>
        <v>0</v>
      </c>
      <c r="DD18" t="s">
        <v>3</v>
      </c>
      <c r="DE18" t="s">
        <v>3</v>
      </c>
      <c r="DF18">
        <f t="shared" si="7"/>
        <v>0</v>
      </c>
      <c r="DG18">
        <f>ROUND(ROUND(AF18,2)*CX18,2)</f>
        <v>15.44</v>
      </c>
      <c r="DH18">
        <f t="shared" si="4"/>
        <v>0</v>
      </c>
      <c r="DI18">
        <f t="shared" si="5"/>
        <v>0</v>
      </c>
      <c r="DJ18">
        <f>DG18+DH18</f>
        <v>15.44</v>
      </c>
      <c r="DK18">
        <v>1</v>
      </c>
      <c r="DL18" t="s">
        <v>3</v>
      </c>
      <c r="DM18">
        <v>0</v>
      </c>
      <c r="DN18" t="s">
        <v>3</v>
      </c>
      <c r="DO18">
        <v>0</v>
      </c>
    </row>
    <row r="19" spans="1:119" x14ac:dyDescent="0.2">
      <c r="A19">
        <f>ROW(Source!A72)</f>
        <v>72</v>
      </c>
      <c r="B19">
        <v>73953415</v>
      </c>
      <c r="C19">
        <v>73953751</v>
      </c>
      <c r="D19">
        <v>72647141</v>
      </c>
      <c r="E19">
        <v>1</v>
      </c>
      <c r="F19">
        <v>1</v>
      </c>
      <c r="G19">
        <v>1</v>
      </c>
      <c r="H19">
        <v>2</v>
      </c>
      <c r="I19" t="s">
        <v>397</v>
      </c>
      <c r="J19" t="s">
        <v>398</v>
      </c>
      <c r="K19" t="s">
        <v>399</v>
      </c>
      <c r="L19">
        <v>1368</v>
      </c>
      <c r="N19">
        <v>1011</v>
      </c>
      <c r="O19" t="s">
        <v>363</v>
      </c>
      <c r="P19" t="s">
        <v>363</v>
      </c>
      <c r="Q19">
        <v>1</v>
      </c>
      <c r="W19">
        <v>0</v>
      </c>
      <c r="X19">
        <v>-2130331961</v>
      </c>
      <c r="Y19">
        <f t="shared" si="0"/>
        <v>0.52</v>
      </c>
      <c r="AA19">
        <v>0</v>
      </c>
      <c r="AB19">
        <v>417.12</v>
      </c>
      <c r="AC19">
        <v>400.24</v>
      </c>
      <c r="AD19">
        <v>0</v>
      </c>
      <c r="AE19">
        <v>0</v>
      </c>
      <c r="AF19">
        <v>417.12</v>
      </c>
      <c r="AG19">
        <v>400.24</v>
      </c>
      <c r="AH19">
        <v>0</v>
      </c>
      <c r="AI19">
        <v>1</v>
      </c>
      <c r="AJ19">
        <v>1</v>
      </c>
      <c r="AK19">
        <v>1</v>
      </c>
      <c r="AL19">
        <v>1</v>
      </c>
      <c r="AM19">
        <v>-2</v>
      </c>
      <c r="AN19">
        <v>0</v>
      </c>
      <c r="AO19">
        <v>0</v>
      </c>
      <c r="AP19">
        <v>0</v>
      </c>
      <c r="AQ19">
        <v>1</v>
      </c>
      <c r="AR19">
        <v>0</v>
      </c>
      <c r="AS19" t="s">
        <v>3</v>
      </c>
      <c r="AT19">
        <v>0.52</v>
      </c>
      <c r="AU19" t="s">
        <v>3</v>
      </c>
      <c r="AV19">
        <v>1</v>
      </c>
      <c r="AW19">
        <v>2</v>
      </c>
      <c r="AX19">
        <v>73953771</v>
      </c>
      <c r="AY19">
        <v>1</v>
      </c>
      <c r="AZ19">
        <v>0</v>
      </c>
      <c r="BA19">
        <v>20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216.9024</v>
      </c>
      <c r="BL19">
        <v>208.12480000000002</v>
      </c>
      <c r="BM19">
        <v>0</v>
      </c>
      <c r="BN19">
        <v>0</v>
      </c>
      <c r="BO19">
        <v>0.52</v>
      </c>
      <c r="BP19">
        <v>1</v>
      </c>
      <c r="BQ19">
        <v>0</v>
      </c>
      <c r="BR19">
        <v>216.9024</v>
      </c>
      <c r="BS19">
        <v>208.12480000000002</v>
      </c>
      <c r="BT19">
        <v>0</v>
      </c>
      <c r="BU19">
        <v>0</v>
      </c>
      <c r="BV19">
        <v>0.52</v>
      </c>
      <c r="BW19">
        <v>1</v>
      </c>
      <c r="CV19">
        <v>0</v>
      </c>
      <c r="CW19">
        <f>ROUND(Y19*Source!I72*DO19,7)</f>
        <v>8.8400000000000006E-2</v>
      </c>
      <c r="CX19">
        <f>ROUND(Y19*Source!I72,7)</f>
        <v>8.8400000000000006E-2</v>
      </c>
      <c r="CY19">
        <f>AB19</f>
        <v>417.12</v>
      </c>
      <c r="CZ19">
        <f>AF19</f>
        <v>417.12</v>
      </c>
      <c r="DA19">
        <f>AJ19</f>
        <v>1</v>
      </c>
      <c r="DB19">
        <f t="shared" si="1"/>
        <v>216.9</v>
      </c>
      <c r="DC19">
        <f t="shared" si="2"/>
        <v>208.12</v>
      </c>
      <c r="DD19" t="s">
        <v>3</v>
      </c>
      <c r="DE19" t="s">
        <v>3</v>
      </c>
      <c r="DF19">
        <f t="shared" si="7"/>
        <v>0</v>
      </c>
      <c r="DG19">
        <f>ROUND(ROUND(AF19,2)*CX19,2)</f>
        <v>36.869999999999997</v>
      </c>
      <c r="DH19">
        <f t="shared" si="4"/>
        <v>35.380000000000003</v>
      </c>
      <c r="DI19">
        <f t="shared" si="5"/>
        <v>0</v>
      </c>
      <c r="DJ19">
        <f>DG19+DH19</f>
        <v>72.25</v>
      </c>
      <c r="DK19">
        <v>1</v>
      </c>
      <c r="DL19" t="s">
        <v>400</v>
      </c>
      <c r="DM19">
        <v>4</v>
      </c>
      <c r="DN19" t="s">
        <v>359</v>
      </c>
      <c r="DO19">
        <v>1</v>
      </c>
    </row>
    <row r="20" spans="1:119" x14ac:dyDescent="0.2">
      <c r="A20">
        <f>ROW(Source!A72)</f>
        <v>72</v>
      </c>
      <c r="B20">
        <v>73953415</v>
      </c>
      <c r="C20">
        <v>73953751</v>
      </c>
      <c r="D20">
        <v>72647493</v>
      </c>
      <c r="E20">
        <v>1</v>
      </c>
      <c r="F20">
        <v>1</v>
      </c>
      <c r="G20">
        <v>1</v>
      </c>
      <c r="H20">
        <v>2</v>
      </c>
      <c r="I20" t="s">
        <v>401</v>
      </c>
      <c r="J20" t="s">
        <v>402</v>
      </c>
      <c r="K20" t="s">
        <v>403</v>
      </c>
      <c r="L20">
        <v>1368</v>
      </c>
      <c r="N20">
        <v>1011</v>
      </c>
      <c r="O20" t="s">
        <v>363</v>
      </c>
      <c r="P20" t="s">
        <v>363</v>
      </c>
      <c r="Q20">
        <v>1</v>
      </c>
      <c r="W20">
        <v>0</v>
      </c>
      <c r="X20">
        <v>571220797</v>
      </c>
      <c r="Y20">
        <f t="shared" si="0"/>
        <v>0.52</v>
      </c>
      <c r="AA20">
        <v>0</v>
      </c>
      <c r="AB20">
        <v>6.69</v>
      </c>
      <c r="AC20">
        <v>0</v>
      </c>
      <c r="AD20">
        <v>0</v>
      </c>
      <c r="AE20">
        <v>0</v>
      </c>
      <c r="AF20">
        <v>4.5199999999999996</v>
      </c>
      <c r="AG20">
        <v>0</v>
      </c>
      <c r="AH20">
        <v>0</v>
      </c>
      <c r="AI20">
        <v>1</v>
      </c>
      <c r="AJ20">
        <v>1.48</v>
      </c>
      <c r="AK20">
        <v>1</v>
      </c>
      <c r="AL20">
        <v>1</v>
      </c>
      <c r="AM20">
        <v>2</v>
      </c>
      <c r="AN20">
        <v>0</v>
      </c>
      <c r="AO20">
        <v>0</v>
      </c>
      <c r="AP20">
        <v>0</v>
      </c>
      <c r="AQ20">
        <v>1</v>
      </c>
      <c r="AR20">
        <v>0</v>
      </c>
      <c r="AS20" t="s">
        <v>3</v>
      </c>
      <c r="AT20">
        <v>0.52</v>
      </c>
      <c r="AU20" t="s">
        <v>3</v>
      </c>
      <c r="AV20">
        <v>1</v>
      </c>
      <c r="AW20">
        <v>2</v>
      </c>
      <c r="AX20">
        <v>73953772</v>
      </c>
      <c r="AY20">
        <v>1</v>
      </c>
      <c r="AZ20">
        <v>0</v>
      </c>
      <c r="BA20">
        <v>21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2.3504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0</v>
      </c>
      <c r="BR20">
        <v>2.3504</v>
      </c>
      <c r="BS20">
        <v>0</v>
      </c>
      <c r="BT20">
        <v>0</v>
      </c>
      <c r="BU20">
        <v>0</v>
      </c>
      <c r="BV20">
        <v>0</v>
      </c>
      <c r="BW20">
        <v>1</v>
      </c>
      <c r="CV20">
        <v>0</v>
      </c>
      <c r="CW20">
        <f>ROUND(Y20*Source!I72*DO20,7)</f>
        <v>0</v>
      </c>
      <c r="CX20">
        <f>ROUND(Y20*Source!I72,7)</f>
        <v>8.8400000000000006E-2</v>
      </c>
      <c r="CY20">
        <f>AB20</f>
        <v>6.69</v>
      </c>
      <c r="CZ20">
        <f>AF20</f>
        <v>4.5199999999999996</v>
      </c>
      <c r="DA20">
        <f>AJ20</f>
        <v>1.48</v>
      </c>
      <c r="DB20">
        <f t="shared" si="1"/>
        <v>2.35</v>
      </c>
      <c r="DC20">
        <f t="shared" si="2"/>
        <v>0</v>
      </c>
      <c r="DD20" t="s">
        <v>3</v>
      </c>
      <c r="DE20" t="s">
        <v>3</v>
      </c>
      <c r="DF20">
        <f t="shared" si="7"/>
        <v>0</v>
      </c>
      <c r="DG20">
        <f>ROUND(ROUND(AF20*AJ20,2)*CX20,2)</f>
        <v>0.59</v>
      </c>
      <c r="DH20">
        <f t="shared" si="4"/>
        <v>0</v>
      </c>
      <c r="DI20">
        <f t="shared" si="5"/>
        <v>0</v>
      </c>
      <c r="DJ20">
        <f>DG20+DH20</f>
        <v>0.59</v>
      </c>
      <c r="DK20">
        <v>0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ROW(Source!A72)</f>
        <v>72</v>
      </c>
      <c r="B21">
        <v>73953415</v>
      </c>
      <c r="C21">
        <v>73953751</v>
      </c>
      <c r="D21">
        <v>72591353</v>
      </c>
      <c r="E21">
        <v>1</v>
      </c>
      <c r="F21">
        <v>1</v>
      </c>
      <c r="G21">
        <v>1</v>
      </c>
      <c r="H21">
        <v>3</v>
      </c>
      <c r="I21" t="s">
        <v>404</v>
      </c>
      <c r="J21" t="s">
        <v>405</v>
      </c>
      <c r="K21" t="s">
        <v>406</v>
      </c>
      <c r="L21">
        <v>1383</v>
      </c>
      <c r="N21">
        <v>1013</v>
      </c>
      <c r="O21" t="s">
        <v>407</v>
      </c>
      <c r="P21" t="s">
        <v>407</v>
      </c>
      <c r="Q21">
        <v>1</v>
      </c>
      <c r="W21">
        <v>0</v>
      </c>
      <c r="X21">
        <v>86017057</v>
      </c>
      <c r="Y21">
        <f t="shared" si="0"/>
        <v>1.3859999999999999</v>
      </c>
      <c r="AA21">
        <v>9.5500000000000007</v>
      </c>
      <c r="AB21">
        <v>0</v>
      </c>
      <c r="AC21">
        <v>0</v>
      </c>
      <c r="AD21">
        <v>0</v>
      </c>
      <c r="AE21">
        <v>9.5500000000000007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1</v>
      </c>
      <c r="AL21">
        <v>1</v>
      </c>
      <c r="AM21">
        <v>-2</v>
      </c>
      <c r="AN21">
        <v>0</v>
      </c>
      <c r="AO21">
        <v>0</v>
      </c>
      <c r="AP21">
        <v>0</v>
      </c>
      <c r="AQ21">
        <v>1</v>
      </c>
      <c r="AR21">
        <v>0</v>
      </c>
      <c r="AS21" t="s">
        <v>3</v>
      </c>
      <c r="AT21">
        <v>1.3859999999999999</v>
      </c>
      <c r="AU21" t="s">
        <v>3</v>
      </c>
      <c r="AV21">
        <v>0</v>
      </c>
      <c r="AW21">
        <v>2</v>
      </c>
      <c r="AX21">
        <v>73953773</v>
      </c>
      <c r="AY21">
        <v>1</v>
      </c>
      <c r="AZ21">
        <v>0</v>
      </c>
      <c r="BA21">
        <v>22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13.2363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13.2363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CV21">
        <v>0</v>
      </c>
      <c r="CW21">
        <v>0</v>
      </c>
      <c r="CX21">
        <f>ROUND(Y21*Source!I72,7)</f>
        <v>0.23562</v>
      </c>
      <c r="CY21">
        <f t="shared" ref="CY21:CY29" si="8">AA21</f>
        <v>9.5500000000000007</v>
      </c>
      <c r="CZ21">
        <f t="shared" ref="CZ21:CZ29" si="9">AE21</f>
        <v>9.5500000000000007</v>
      </c>
      <c r="DA21">
        <f t="shared" ref="DA21:DA29" si="10">AI21</f>
        <v>1</v>
      </c>
      <c r="DB21">
        <f t="shared" si="1"/>
        <v>13.24</v>
      </c>
      <c r="DC21">
        <f t="shared" si="2"/>
        <v>0</v>
      </c>
      <c r="DD21" t="s">
        <v>3</v>
      </c>
      <c r="DE21" t="s">
        <v>3</v>
      </c>
      <c r="DF21">
        <f t="shared" si="7"/>
        <v>2.25</v>
      </c>
      <c r="DG21">
        <f t="shared" ref="DG21:DG31" si="11">ROUND(ROUND(AF21,2)*CX21,2)</f>
        <v>0</v>
      </c>
      <c r="DH21">
        <f t="shared" si="4"/>
        <v>0</v>
      </c>
      <c r="DI21">
        <f t="shared" si="5"/>
        <v>0</v>
      </c>
      <c r="DJ21">
        <f t="shared" ref="DJ21:DJ29" si="12">DF21</f>
        <v>2.25</v>
      </c>
      <c r="DK21">
        <v>1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ROW(Source!A72)</f>
        <v>72</v>
      </c>
      <c r="B22">
        <v>73953415</v>
      </c>
      <c r="C22">
        <v>73953751</v>
      </c>
      <c r="D22">
        <v>72592092</v>
      </c>
      <c r="E22">
        <v>1</v>
      </c>
      <c r="F22">
        <v>1</v>
      </c>
      <c r="G22">
        <v>1</v>
      </c>
      <c r="H22">
        <v>3</v>
      </c>
      <c r="I22" t="s">
        <v>408</v>
      </c>
      <c r="J22" t="s">
        <v>409</v>
      </c>
      <c r="K22" t="s">
        <v>410</v>
      </c>
      <c r="L22">
        <v>1346</v>
      </c>
      <c r="N22">
        <v>1009</v>
      </c>
      <c r="O22" t="s">
        <v>411</v>
      </c>
      <c r="P22" t="s">
        <v>411</v>
      </c>
      <c r="Q22">
        <v>1</v>
      </c>
      <c r="W22">
        <v>0</v>
      </c>
      <c r="X22">
        <v>743240341</v>
      </c>
      <c r="Y22">
        <f t="shared" si="0"/>
        <v>0.7</v>
      </c>
      <c r="AA22">
        <v>131.85</v>
      </c>
      <c r="AB22">
        <v>0</v>
      </c>
      <c r="AC22">
        <v>0</v>
      </c>
      <c r="AD22">
        <v>0</v>
      </c>
      <c r="AE22">
        <v>131.85</v>
      </c>
      <c r="AF22">
        <v>0</v>
      </c>
      <c r="AG22">
        <v>0</v>
      </c>
      <c r="AH22">
        <v>0</v>
      </c>
      <c r="AI22">
        <v>1</v>
      </c>
      <c r="AJ22">
        <v>1</v>
      </c>
      <c r="AK22">
        <v>1</v>
      </c>
      <c r="AL22">
        <v>1</v>
      </c>
      <c r="AM22">
        <v>-2</v>
      </c>
      <c r="AN22">
        <v>0</v>
      </c>
      <c r="AO22">
        <v>0</v>
      </c>
      <c r="AP22">
        <v>0</v>
      </c>
      <c r="AQ22">
        <v>1</v>
      </c>
      <c r="AR22">
        <v>0</v>
      </c>
      <c r="AS22" t="s">
        <v>3</v>
      </c>
      <c r="AT22">
        <v>0.7</v>
      </c>
      <c r="AU22" t="s">
        <v>3</v>
      </c>
      <c r="AV22">
        <v>0</v>
      </c>
      <c r="AW22">
        <v>2</v>
      </c>
      <c r="AX22">
        <v>73953774</v>
      </c>
      <c r="AY22">
        <v>1</v>
      </c>
      <c r="AZ22">
        <v>0</v>
      </c>
      <c r="BA22">
        <v>23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92.294999999999987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92.294999999999987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CV22">
        <v>0</v>
      </c>
      <c r="CW22">
        <v>0</v>
      </c>
      <c r="CX22">
        <f>ROUND(Y22*Source!I72,7)</f>
        <v>0.11899999999999999</v>
      </c>
      <c r="CY22">
        <f t="shared" si="8"/>
        <v>131.85</v>
      </c>
      <c r="CZ22">
        <f t="shared" si="9"/>
        <v>131.85</v>
      </c>
      <c r="DA22">
        <f t="shared" si="10"/>
        <v>1</v>
      </c>
      <c r="DB22">
        <f t="shared" si="1"/>
        <v>92.3</v>
      </c>
      <c r="DC22">
        <f t="shared" si="2"/>
        <v>0</v>
      </c>
      <c r="DD22" t="s">
        <v>3</v>
      </c>
      <c r="DE22" t="s">
        <v>3</v>
      </c>
      <c r="DF22">
        <f t="shared" si="7"/>
        <v>15.69</v>
      </c>
      <c r="DG22">
        <f t="shared" si="11"/>
        <v>0</v>
      </c>
      <c r="DH22">
        <f t="shared" si="4"/>
        <v>0</v>
      </c>
      <c r="DI22">
        <f t="shared" si="5"/>
        <v>0</v>
      </c>
      <c r="DJ22">
        <f t="shared" si="12"/>
        <v>15.69</v>
      </c>
      <c r="DK22">
        <v>1</v>
      </c>
      <c r="DL22" t="s">
        <v>3</v>
      </c>
      <c r="DM22">
        <v>0</v>
      </c>
      <c r="DN22" t="s">
        <v>3</v>
      </c>
      <c r="DO22">
        <v>0</v>
      </c>
    </row>
    <row r="23" spans="1:119" x14ac:dyDescent="0.2">
      <c r="A23">
        <f>ROW(Source!A72)</f>
        <v>72</v>
      </c>
      <c r="B23">
        <v>73953415</v>
      </c>
      <c r="C23">
        <v>73953751</v>
      </c>
      <c r="D23">
        <v>72592880</v>
      </c>
      <c r="E23">
        <v>1</v>
      </c>
      <c r="F23">
        <v>1</v>
      </c>
      <c r="G23">
        <v>1</v>
      </c>
      <c r="H23">
        <v>3</v>
      </c>
      <c r="I23" t="s">
        <v>412</v>
      </c>
      <c r="J23" t="s">
        <v>413</v>
      </c>
      <c r="K23" t="s">
        <v>414</v>
      </c>
      <c r="L23">
        <v>1348</v>
      </c>
      <c r="N23">
        <v>1009</v>
      </c>
      <c r="O23" t="s">
        <v>248</v>
      </c>
      <c r="P23" t="s">
        <v>248</v>
      </c>
      <c r="Q23">
        <v>1000</v>
      </c>
      <c r="W23">
        <v>0</v>
      </c>
      <c r="X23">
        <v>-338788761</v>
      </c>
      <c r="Y23">
        <f t="shared" si="0"/>
        <v>4.0000000000000002E-4</v>
      </c>
      <c r="AA23">
        <v>122599.58</v>
      </c>
      <c r="AB23">
        <v>0</v>
      </c>
      <c r="AC23">
        <v>0</v>
      </c>
      <c r="AD23">
        <v>0</v>
      </c>
      <c r="AE23">
        <v>108495.2</v>
      </c>
      <c r="AF23">
        <v>0</v>
      </c>
      <c r="AG23">
        <v>0</v>
      </c>
      <c r="AH23">
        <v>0</v>
      </c>
      <c r="AI23">
        <v>1.1299999999999999</v>
      </c>
      <c r="AJ23">
        <v>1</v>
      </c>
      <c r="AK23">
        <v>1</v>
      </c>
      <c r="AL23">
        <v>1</v>
      </c>
      <c r="AM23">
        <v>2</v>
      </c>
      <c r="AN23">
        <v>0</v>
      </c>
      <c r="AO23">
        <v>0</v>
      </c>
      <c r="AP23">
        <v>0</v>
      </c>
      <c r="AQ23">
        <v>1</v>
      </c>
      <c r="AR23">
        <v>0</v>
      </c>
      <c r="AS23" t="s">
        <v>3</v>
      </c>
      <c r="AT23">
        <v>4.0000000000000002E-4</v>
      </c>
      <c r="AU23" t="s">
        <v>3</v>
      </c>
      <c r="AV23">
        <v>0</v>
      </c>
      <c r="AW23">
        <v>2</v>
      </c>
      <c r="AX23">
        <v>73953775</v>
      </c>
      <c r="AY23">
        <v>1</v>
      </c>
      <c r="AZ23">
        <v>0</v>
      </c>
      <c r="BA23">
        <v>24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43.39808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43.39808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CV23">
        <v>0</v>
      </c>
      <c r="CW23">
        <v>0</v>
      </c>
      <c r="CX23">
        <f>ROUND(Y23*Source!I72,7)</f>
        <v>6.7999999999999999E-5</v>
      </c>
      <c r="CY23">
        <f t="shared" si="8"/>
        <v>122599.58</v>
      </c>
      <c r="CZ23">
        <f t="shared" si="9"/>
        <v>108495.2</v>
      </c>
      <c r="DA23">
        <f t="shared" si="10"/>
        <v>1.1299999999999999</v>
      </c>
      <c r="DB23">
        <f t="shared" si="1"/>
        <v>43.4</v>
      </c>
      <c r="DC23">
        <f t="shared" si="2"/>
        <v>0</v>
      </c>
      <c r="DD23" t="s">
        <v>3</v>
      </c>
      <c r="DE23" t="s">
        <v>3</v>
      </c>
      <c r="DF23">
        <f t="shared" ref="DF23:DF28" si="13">ROUND(ROUND(AE23*AI23,2)*CX23,2)</f>
        <v>8.34</v>
      </c>
      <c r="DG23">
        <f t="shared" si="11"/>
        <v>0</v>
      </c>
      <c r="DH23">
        <f t="shared" si="4"/>
        <v>0</v>
      </c>
      <c r="DI23">
        <f t="shared" si="5"/>
        <v>0</v>
      </c>
      <c r="DJ23">
        <f t="shared" si="12"/>
        <v>8.34</v>
      </c>
      <c r="DK23">
        <v>0</v>
      </c>
      <c r="DL23" t="s">
        <v>3</v>
      </c>
      <c r="DM23">
        <v>0</v>
      </c>
      <c r="DN23" t="s">
        <v>3</v>
      </c>
      <c r="DO23">
        <v>0</v>
      </c>
    </row>
    <row r="24" spans="1:119" x14ac:dyDescent="0.2">
      <c r="A24">
        <f>ROW(Source!A72)</f>
        <v>72</v>
      </c>
      <c r="B24">
        <v>73953415</v>
      </c>
      <c r="C24">
        <v>73953751</v>
      </c>
      <c r="D24">
        <v>72598246</v>
      </c>
      <c r="E24">
        <v>1</v>
      </c>
      <c r="F24">
        <v>1</v>
      </c>
      <c r="G24">
        <v>1</v>
      </c>
      <c r="H24">
        <v>3</v>
      </c>
      <c r="I24" t="s">
        <v>415</v>
      </c>
      <c r="J24" t="s">
        <v>416</v>
      </c>
      <c r="K24" t="s">
        <v>417</v>
      </c>
      <c r="L24">
        <v>1346</v>
      </c>
      <c r="N24">
        <v>1009</v>
      </c>
      <c r="O24" t="s">
        <v>411</v>
      </c>
      <c r="P24" t="s">
        <v>411</v>
      </c>
      <c r="Q24">
        <v>1</v>
      </c>
      <c r="W24">
        <v>0</v>
      </c>
      <c r="X24">
        <v>-225116568</v>
      </c>
      <c r="Y24">
        <f t="shared" si="0"/>
        <v>1</v>
      </c>
      <c r="AA24">
        <v>63.71</v>
      </c>
      <c r="AB24">
        <v>0</v>
      </c>
      <c r="AC24">
        <v>0</v>
      </c>
      <c r="AD24">
        <v>0</v>
      </c>
      <c r="AE24">
        <v>44.55</v>
      </c>
      <c r="AF24">
        <v>0</v>
      </c>
      <c r="AG24">
        <v>0</v>
      </c>
      <c r="AH24">
        <v>0</v>
      </c>
      <c r="AI24">
        <v>1.43</v>
      </c>
      <c r="AJ24">
        <v>1</v>
      </c>
      <c r="AK24">
        <v>1</v>
      </c>
      <c r="AL24">
        <v>1</v>
      </c>
      <c r="AM24">
        <v>2</v>
      </c>
      <c r="AN24">
        <v>0</v>
      </c>
      <c r="AO24">
        <v>0</v>
      </c>
      <c r="AP24">
        <v>0</v>
      </c>
      <c r="AQ24">
        <v>1</v>
      </c>
      <c r="AR24">
        <v>0</v>
      </c>
      <c r="AS24" t="s">
        <v>3</v>
      </c>
      <c r="AT24">
        <v>1</v>
      </c>
      <c r="AU24" t="s">
        <v>3</v>
      </c>
      <c r="AV24">
        <v>0</v>
      </c>
      <c r="AW24">
        <v>2</v>
      </c>
      <c r="AX24">
        <v>73953776</v>
      </c>
      <c r="AY24">
        <v>1</v>
      </c>
      <c r="AZ24">
        <v>0</v>
      </c>
      <c r="BA24">
        <v>25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44.55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</v>
      </c>
      <c r="BQ24">
        <v>44.55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</v>
      </c>
      <c r="CV24">
        <v>0</v>
      </c>
      <c r="CW24">
        <v>0</v>
      </c>
      <c r="CX24">
        <f>ROUND(Y24*Source!I72,7)</f>
        <v>0.17</v>
      </c>
      <c r="CY24">
        <f t="shared" si="8"/>
        <v>63.71</v>
      </c>
      <c r="CZ24">
        <f t="shared" si="9"/>
        <v>44.55</v>
      </c>
      <c r="DA24">
        <f t="shared" si="10"/>
        <v>1.43</v>
      </c>
      <c r="DB24">
        <f t="shared" si="1"/>
        <v>44.55</v>
      </c>
      <c r="DC24">
        <f t="shared" si="2"/>
        <v>0</v>
      </c>
      <c r="DD24" t="s">
        <v>3</v>
      </c>
      <c r="DE24" t="s">
        <v>3</v>
      </c>
      <c r="DF24">
        <f t="shared" si="13"/>
        <v>10.83</v>
      </c>
      <c r="DG24">
        <f t="shared" si="11"/>
        <v>0</v>
      </c>
      <c r="DH24">
        <f t="shared" si="4"/>
        <v>0</v>
      </c>
      <c r="DI24">
        <f t="shared" si="5"/>
        <v>0</v>
      </c>
      <c r="DJ24">
        <f t="shared" si="12"/>
        <v>10.83</v>
      </c>
      <c r="DK24">
        <v>0</v>
      </c>
      <c r="DL24" t="s">
        <v>3</v>
      </c>
      <c r="DM24">
        <v>0</v>
      </c>
      <c r="DN24" t="s">
        <v>3</v>
      </c>
      <c r="DO24">
        <v>0</v>
      </c>
    </row>
    <row r="25" spans="1:119" x14ac:dyDescent="0.2">
      <c r="A25">
        <f>ROW(Source!A72)</f>
        <v>72</v>
      </c>
      <c r="B25">
        <v>73953415</v>
      </c>
      <c r="C25">
        <v>73953751</v>
      </c>
      <c r="D25">
        <v>72610535</v>
      </c>
      <c r="E25">
        <v>1</v>
      </c>
      <c r="F25">
        <v>1</v>
      </c>
      <c r="G25">
        <v>1</v>
      </c>
      <c r="H25">
        <v>3</v>
      </c>
      <c r="I25" t="s">
        <v>418</v>
      </c>
      <c r="J25" t="s">
        <v>419</v>
      </c>
      <c r="K25" t="s">
        <v>420</v>
      </c>
      <c r="L25">
        <v>1348</v>
      </c>
      <c r="N25">
        <v>1009</v>
      </c>
      <c r="O25" t="s">
        <v>248</v>
      </c>
      <c r="P25" t="s">
        <v>248</v>
      </c>
      <c r="Q25">
        <v>1000</v>
      </c>
      <c r="W25">
        <v>0</v>
      </c>
      <c r="X25">
        <v>2036013562</v>
      </c>
      <c r="Y25">
        <f t="shared" si="0"/>
        <v>1.4E-3</v>
      </c>
      <c r="AA25">
        <v>104956.62</v>
      </c>
      <c r="AB25">
        <v>0</v>
      </c>
      <c r="AC25">
        <v>0</v>
      </c>
      <c r="AD25">
        <v>0</v>
      </c>
      <c r="AE25">
        <v>74437.320000000007</v>
      </c>
      <c r="AF25">
        <v>0</v>
      </c>
      <c r="AG25">
        <v>0</v>
      </c>
      <c r="AH25">
        <v>0</v>
      </c>
      <c r="AI25">
        <v>1.41</v>
      </c>
      <c r="AJ25">
        <v>1</v>
      </c>
      <c r="AK25">
        <v>1</v>
      </c>
      <c r="AL25">
        <v>1</v>
      </c>
      <c r="AM25">
        <v>2</v>
      </c>
      <c r="AN25">
        <v>0</v>
      </c>
      <c r="AO25">
        <v>0</v>
      </c>
      <c r="AP25">
        <v>0</v>
      </c>
      <c r="AQ25">
        <v>1</v>
      </c>
      <c r="AR25">
        <v>0</v>
      </c>
      <c r="AS25" t="s">
        <v>3</v>
      </c>
      <c r="AT25">
        <v>1.4E-3</v>
      </c>
      <c r="AU25" t="s">
        <v>3</v>
      </c>
      <c r="AV25">
        <v>0</v>
      </c>
      <c r="AW25">
        <v>2</v>
      </c>
      <c r="AX25">
        <v>73953777</v>
      </c>
      <c r="AY25">
        <v>1</v>
      </c>
      <c r="AZ25">
        <v>0</v>
      </c>
      <c r="BA25">
        <v>26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104.212248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104.212248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CV25">
        <v>0</v>
      </c>
      <c r="CW25">
        <v>0</v>
      </c>
      <c r="CX25">
        <f>ROUND(Y25*Source!I72,7)</f>
        <v>2.3800000000000001E-4</v>
      </c>
      <c r="CY25">
        <f t="shared" si="8"/>
        <v>104956.62</v>
      </c>
      <c r="CZ25">
        <f t="shared" si="9"/>
        <v>74437.320000000007</v>
      </c>
      <c r="DA25">
        <f t="shared" si="10"/>
        <v>1.41</v>
      </c>
      <c r="DB25">
        <f t="shared" si="1"/>
        <v>104.21</v>
      </c>
      <c r="DC25">
        <f t="shared" si="2"/>
        <v>0</v>
      </c>
      <c r="DD25" t="s">
        <v>3</v>
      </c>
      <c r="DE25" t="s">
        <v>3</v>
      </c>
      <c r="DF25">
        <f t="shared" si="13"/>
        <v>24.98</v>
      </c>
      <c r="DG25">
        <f t="shared" si="11"/>
        <v>0</v>
      </c>
      <c r="DH25">
        <f t="shared" si="4"/>
        <v>0</v>
      </c>
      <c r="DI25">
        <f t="shared" si="5"/>
        <v>0</v>
      </c>
      <c r="DJ25">
        <f t="shared" si="12"/>
        <v>24.98</v>
      </c>
      <c r="DK25">
        <v>0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ROW(Source!A72)</f>
        <v>72</v>
      </c>
      <c r="B26">
        <v>73953415</v>
      </c>
      <c r="C26">
        <v>73953751</v>
      </c>
      <c r="D26">
        <v>72610660</v>
      </c>
      <c r="E26">
        <v>1</v>
      </c>
      <c r="F26">
        <v>1</v>
      </c>
      <c r="G26">
        <v>1</v>
      </c>
      <c r="H26">
        <v>3</v>
      </c>
      <c r="I26" t="s">
        <v>421</v>
      </c>
      <c r="J26" t="s">
        <v>422</v>
      </c>
      <c r="K26" t="s">
        <v>423</v>
      </c>
      <c r="L26">
        <v>1348</v>
      </c>
      <c r="N26">
        <v>1009</v>
      </c>
      <c r="O26" t="s">
        <v>248</v>
      </c>
      <c r="P26" t="s">
        <v>248</v>
      </c>
      <c r="Q26">
        <v>1000</v>
      </c>
      <c r="W26">
        <v>0</v>
      </c>
      <c r="X26">
        <v>-1956910026</v>
      </c>
      <c r="Y26">
        <f t="shared" si="0"/>
        <v>3.5999999999999999E-3</v>
      </c>
      <c r="AA26">
        <v>346815.83</v>
      </c>
      <c r="AB26">
        <v>0</v>
      </c>
      <c r="AC26">
        <v>0</v>
      </c>
      <c r="AD26">
        <v>0</v>
      </c>
      <c r="AE26">
        <v>260763.78</v>
      </c>
      <c r="AF26">
        <v>0</v>
      </c>
      <c r="AG26">
        <v>0</v>
      </c>
      <c r="AH26">
        <v>0</v>
      </c>
      <c r="AI26">
        <v>1.33</v>
      </c>
      <c r="AJ26">
        <v>1</v>
      </c>
      <c r="AK26">
        <v>1</v>
      </c>
      <c r="AL26">
        <v>1</v>
      </c>
      <c r="AM26">
        <v>2</v>
      </c>
      <c r="AN26">
        <v>0</v>
      </c>
      <c r="AO26">
        <v>0</v>
      </c>
      <c r="AP26">
        <v>0</v>
      </c>
      <c r="AQ26">
        <v>1</v>
      </c>
      <c r="AR26">
        <v>0</v>
      </c>
      <c r="AS26" t="s">
        <v>3</v>
      </c>
      <c r="AT26">
        <v>3.5999999999999999E-3</v>
      </c>
      <c r="AU26" t="s">
        <v>3</v>
      </c>
      <c r="AV26">
        <v>0</v>
      </c>
      <c r="AW26">
        <v>2</v>
      </c>
      <c r="AX26">
        <v>73953778</v>
      </c>
      <c r="AY26">
        <v>1</v>
      </c>
      <c r="AZ26">
        <v>0</v>
      </c>
      <c r="BA26">
        <v>27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938.74960799999997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938.74960799999997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CV26">
        <v>0</v>
      </c>
      <c r="CW26">
        <v>0</v>
      </c>
      <c r="CX26">
        <f>ROUND(Y26*Source!I72,7)</f>
        <v>6.1200000000000002E-4</v>
      </c>
      <c r="CY26">
        <f t="shared" si="8"/>
        <v>346815.83</v>
      </c>
      <c r="CZ26">
        <f t="shared" si="9"/>
        <v>260763.78</v>
      </c>
      <c r="DA26">
        <f t="shared" si="10"/>
        <v>1.33</v>
      </c>
      <c r="DB26">
        <f t="shared" si="1"/>
        <v>938.75</v>
      </c>
      <c r="DC26">
        <f t="shared" si="2"/>
        <v>0</v>
      </c>
      <c r="DD26" t="s">
        <v>3</v>
      </c>
      <c r="DE26" t="s">
        <v>3</v>
      </c>
      <c r="DF26">
        <f t="shared" si="13"/>
        <v>212.25</v>
      </c>
      <c r="DG26">
        <f t="shared" si="11"/>
        <v>0</v>
      </c>
      <c r="DH26">
        <f t="shared" si="4"/>
        <v>0</v>
      </c>
      <c r="DI26">
        <f t="shared" si="5"/>
        <v>0</v>
      </c>
      <c r="DJ26">
        <f t="shared" si="12"/>
        <v>212.25</v>
      </c>
      <c r="DK26">
        <v>0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ROW(Source!A72)</f>
        <v>72</v>
      </c>
      <c r="B27">
        <v>73953415</v>
      </c>
      <c r="C27">
        <v>73953751</v>
      </c>
      <c r="D27">
        <v>72610910</v>
      </c>
      <c r="E27">
        <v>1</v>
      </c>
      <c r="F27">
        <v>1</v>
      </c>
      <c r="G27">
        <v>1</v>
      </c>
      <c r="H27">
        <v>3</v>
      </c>
      <c r="I27" t="s">
        <v>424</v>
      </c>
      <c r="J27" t="s">
        <v>425</v>
      </c>
      <c r="K27" t="s">
        <v>426</v>
      </c>
      <c r="L27">
        <v>1348</v>
      </c>
      <c r="N27">
        <v>1009</v>
      </c>
      <c r="O27" t="s">
        <v>248</v>
      </c>
      <c r="P27" t="s">
        <v>248</v>
      </c>
      <c r="Q27">
        <v>1000</v>
      </c>
      <c r="W27">
        <v>0</v>
      </c>
      <c r="X27">
        <v>-1562225454</v>
      </c>
      <c r="Y27">
        <f t="shared" si="0"/>
        <v>2.2000000000000001E-4</v>
      </c>
      <c r="AA27">
        <v>127487.86</v>
      </c>
      <c r="AB27">
        <v>0</v>
      </c>
      <c r="AC27">
        <v>0</v>
      </c>
      <c r="AD27">
        <v>0</v>
      </c>
      <c r="AE27">
        <v>75885.63</v>
      </c>
      <c r="AF27">
        <v>0</v>
      </c>
      <c r="AG27">
        <v>0</v>
      </c>
      <c r="AH27">
        <v>0</v>
      </c>
      <c r="AI27">
        <v>1.68</v>
      </c>
      <c r="AJ27">
        <v>1</v>
      </c>
      <c r="AK27">
        <v>1</v>
      </c>
      <c r="AL27">
        <v>1</v>
      </c>
      <c r="AM27">
        <v>2</v>
      </c>
      <c r="AN27">
        <v>0</v>
      </c>
      <c r="AO27">
        <v>0</v>
      </c>
      <c r="AP27">
        <v>0</v>
      </c>
      <c r="AQ27">
        <v>1</v>
      </c>
      <c r="AR27">
        <v>0</v>
      </c>
      <c r="AS27" t="s">
        <v>3</v>
      </c>
      <c r="AT27">
        <v>2.2000000000000001E-4</v>
      </c>
      <c r="AU27" t="s">
        <v>3</v>
      </c>
      <c r="AV27">
        <v>0</v>
      </c>
      <c r="AW27">
        <v>2</v>
      </c>
      <c r="AX27">
        <v>73953779</v>
      </c>
      <c r="AY27">
        <v>1</v>
      </c>
      <c r="AZ27">
        <v>0</v>
      </c>
      <c r="BA27">
        <v>28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16.694838600000001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16.694838600000001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CV27">
        <v>0</v>
      </c>
      <c r="CW27">
        <v>0</v>
      </c>
      <c r="CX27">
        <f>ROUND(Y27*Source!I72,7)</f>
        <v>3.7400000000000001E-5</v>
      </c>
      <c r="CY27">
        <f t="shared" si="8"/>
        <v>127487.86</v>
      </c>
      <c r="CZ27">
        <f t="shared" si="9"/>
        <v>75885.63</v>
      </c>
      <c r="DA27">
        <f t="shared" si="10"/>
        <v>1.68</v>
      </c>
      <c r="DB27">
        <f t="shared" si="1"/>
        <v>16.690000000000001</v>
      </c>
      <c r="DC27">
        <f t="shared" si="2"/>
        <v>0</v>
      </c>
      <c r="DD27" t="s">
        <v>3</v>
      </c>
      <c r="DE27" t="s">
        <v>3</v>
      </c>
      <c r="DF27">
        <f t="shared" si="13"/>
        <v>4.7699999999999996</v>
      </c>
      <c r="DG27">
        <f t="shared" si="11"/>
        <v>0</v>
      </c>
      <c r="DH27">
        <f t="shared" si="4"/>
        <v>0</v>
      </c>
      <c r="DI27">
        <f t="shared" si="5"/>
        <v>0</v>
      </c>
      <c r="DJ27">
        <f t="shared" si="12"/>
        <v>4.7699999999999996</v>
      </c>
      <c r="DK27">
        <v>0</v>
      </c>
      <c r="DL27" t="s">
        <v>3</v>
      </c>
      <c r="DM27">
        <v>0</v>
      </c>
      <c r="DN27" t="s">
        <v>3</v>
      </c>
      <c r="DO27">
        <v>0</v>
      </c>
    </row>
    <row r="28" spans="1:119" x14ac:dyDescent="0.2">
      <c r="A28">
        <f>ROW(Source!A72)</f>
        <v>72</v>
      </c>
      <c r="B28">
        <v>73953415</v>
      </c>
      <c r="C28">
        <v>73953751</v>
      </c>
      <c r="D28">
        <v>72610937</v>
      </c>
      <c r="E28">
        <v>1</v>
      </c>
      <c r="F28">
        <v>1</v>
      </c>
      <c r="G28">
        <v>1</v>
      </c>
      <c r="H28">
        <v>3</v>
      </c>
      <c r="I28" t="s">
        <v>427</v>
      </c>
      <c r="J28" t="s">
        <v>428</v>
      </c>
      <c r="K28" t="s">
        <v>429</v>
      </c>
      <c r="L28">
        <v>1348</v>
      </c>
      <c r="N28">
        <v>1009</v>
      </c>
      <c r="O28" t="s">
        <v>248</v>
      </c>
      <c r="P28" t="s">
        <v>248</v>
      </c>
      <c r="Q28">
        <v>1000</v>
      </c>
      <c r="W28">
        <v>0</v>
      </c>
      <c r="X28">
        <v>-1048603184</v>
      </c>
      <c r="Y28">
        <f t="shared" si="0"/>
        <v>1.6999999999999999E-3</v>
      </c>
      <c r="AA28">
        <v>165524.44</v>
      </c>
      <c r="AB28">
        <v>0</v>
      </c>
      <c r="AC28">
        <v>0</v>
      </c>
      <c r="AD28">
        <v>0</v>
      </c>
      <c r="AE28">
        <v>98526.45</v>
      </c>
      <c r="AF28">
        <v>0</v>
      </c>
      <c r="AG28">
        <v>0</v>
      </c>
      <c r="AH28">
        <v>0</v>
      </c>
      <c r="AI28">
        <v>1.68</v>
      </c>
      <c r="AJ28">
        <v>1</v>
      </c>
      <c r="AK28">
        <v>1</v>
      </c>
      <c r="AL28">
        <v>1</v>
      </c>
      <c r="AM28">
        <v>2</v>
      </c>
      <c r="AN28">
        <v>0</v>
      </c>
      <c r="AO28">
        <v>0</v>
      </c>
      <c r="AP28">
        <v>0</v>
      </c>
      <c r="AQ28">
        <v>1</v>
      </c>
      <c r="AR28">
        <v>0</v>
      </c>
      <c r="AS28" t="s">
        <v>3</v>
      </c>
      <c r="AT28">
        <v>1.6999999999999999E-3</v>
      </c>
      <c r="AU28" t="s">
        <v>3</v>
      </c>
      <c r="AV28">
        <v>0</v>
      </c>
      <c r="AW28">
        <v>2</v>
      </c>
      <c r="AX28">
        <v>73953780</v>
      </c>
      <c r="AY28">
        <v>1</v>
      </c>
      <c r="AZ28">
        <v>0</v>
      </c>
      <c r="BA28">
        <v>29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167.49496499999998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167.49496499999998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CV28">
        <v>0</v>
      </c>
      <c r="CW28">
        <v>0</v>
      </c>
      <c r="CX28">
        <f>ROUND(Y28*Source!I72,7)</f>
        <v>2.8899999999999998E-4</v>
      </c>
      <c r="CY28">
        <f t="shared" si="8"/>
        <v>165524.44</v>
      </c>
      <c r="CZ28">
        <f t="shared" si="9"/>
        <v>98526.45</v>
      </c>
      <c r="DA28">
        <f t="shared" si="10"/>
        <v>1.68</v>
      </c>
      <c r="DB28">
        <f t="shared" si="1"/>
        <v>167.49</v>
      </c>
      <c r="DC28">
        <f t="shared" si="2"/>
        <v>0</v>
      </c>
      <c r="DD28" t="s">
        <v>3</v>
      </c>
      <c r="DE28" t="s">
        <v>3</v>
      </c>
      <c r="DF28">
        <f t="shared" si="13"/>
        <v>47.84</v>
      </c>
      <c r="DG28">
        <f t="shared" si="11"/>
        <v>0</v>
      </c>
      <c r="DH28">
        <f t="shared" si="4"/>
        <v>0</v>
      </c>
      <c r="DI28">
        <f t="shared" si="5"/>
        <v>0</v>
      </c>
      <c r="DJ28">
        <f t="shared" si="12"/>
        <v>47.84</v>
      </c>
      <c r="DK28">
        <v>0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ROW(Source!A72)</f>
        <v>72</v>
      </c>
      <c r="B29">
        <v>73953415</v>
      </c>
      <c r="C29">
        <v>73953751</v>
      </c>
      <c r="D29">
        <v>72629460</v>
      </c>
      <c r="E29">
        <v>1</v>
      </c>
      <c r="F29">
        <v>1</v>
      </c>
      <c r="G29">
        <v>1</v>
      </c>
      <c r="H29">
        <v>3</v>
      </c>
      <c r="I29" t="s">
        <v>137</v>
      </c>
      <c r="J29" t="s">
        <v>139</v>
      </c>
      <c r="K29" t="s">
        <v>138</v>
      </c>
      <c r="L29">
        <v>1301</v>
      </c>
      <c r="N29">
        <v>1003</v>
      </c>
      <c r="O29" t="s">
        <v>122</v>
      </c>
      <c r="P29" t="s">
        <v>122</v>
      </c>
      <c r="Q29">
        <v>1</v>
      </c>
      <c r="W29">
        <v>0</v>
      </c>
      <c r="X29">
        <v>918212004</v>
      </c>
      <c r="Y29">
        <f t="shared" si="0"/>
        <v>100</v>
      </c>
      <c r="AA29">
        <v>201.05</v>
      </c>
      <c r="AB29">
        <v>0</v>
      </c>
      <c r="AC29">
        <v>0</v>
      </c>
      <c r="AD29">
        <v>0</v>
      </c>
      <c r="AE29">
        <v>201.05</v>
      </c>
      <c r="AF29">
        <v>0</v>
      </c>
      <c r="AG29">
        <v>0</v>
      </c>
      <c r="AH29">
        <v>0</v>
      </c>
      <c r="AI29">
        <v>1</v>
      </c>
      <c r="AJ29">
        <v>1</v>
      </c>
      <c r="AK29">
        <v>1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 t="s">
        <v>3</v>
      </c>
      <c r="AT29">
        <v>100</v>
      </c>
      <c r="AU29" t="s">
        <v>3</v>
      </c>
      <c r="AV29">
        <v>0</v>
      </c>
      <c r="AW29">
        <v>1</v>
      </c>
      <c r="AX29">
        <v>-1</v>
      </c>
      <c r="AY29">
        <v>0</v>
      </c>
      <c r="AZ29">
        <v>0</v>
      </c>
      <c r="BA29" t="s">
        <v>3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CV29">
        <v>0</v>
      </c>
      <c r="CW29">
        <v>0</v>
      </c>
      <c r="CX29">
        <f>ROUND(Y29*Source!I72,7)</f>
        <v>17</v>
      </c>
      <c r="CY29">
        <f t="shared" si="8"/>
        <v>201.05</v>
      </c>
      <c r="CZ29">
        <f t="shared" si="9"/>
        <v>201.05</v>
      </c>
      <c r="DA29">
        <f t="shared" si="10"/>
        <v>1</v>
      </c>
      <c r="DB29">
        <f t="shared" si="1"/>
        <v>20105</v>
      </c>
      <c r="DC29">
        <f t="shared" si="2"/>
        <v>0</v>
      </c>
      <c r="DD29" t="s">
        <v>3</v>
      </c>
      <c r="DE29" t="s">
        <v>3</v>
      </c>
      <c r="DF29">
        <f t="shared" ref="DF29:DF40" si="14">ROUND(ROUND(AE29,2)*CX29,2)</f>
        <v>3417.85</v>
      </c>
      <c r="DG29">
        <f t="shared" si="11"/>
        <v>0</v>
      </c>
      <c r="DH29">
        <f t="shared" si="4"/>
        <v>0</v>
      </c>
      <c r="DI29">
        <f t="shared" si="5"/>
        <v>0</v>
      </c>
      <c r="DJ29">
        <f t="shared" si="12"/>
        <v>3417.85</v>
      </c>
      <c r="DK29">
        <v>1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ROW(Source!A74)</f>
        <v>74</v>
      </c>
      <c r="B30">
        <v>73953415</v>
      </c>
      <c r="C30">
        <v>73954637</v>
      </c>
      <c r="D30">
        <v>72518648</v>
      </c>
      <c r="E30">
        <v>119</v>
      </c>
      <c r="F30">
        <v>1</v>
      </c>
      <c r="G30">
        <v>1</v>
      </c>
      <c r="H30">
        <v>1</v>
      </c>
      <c r="I30" t="s">
        <v>430</v>
      </c>
      <c r="J30" t="s">
        <v>3</v>
      </c>
      <c r="K30" t="s">
        <v>431</v>
      </c>
      <c r="L30">
        <v>1191</v>
      </c>
      <c r="N30">
        <v>1013</v>
      </c>
      <c r="O30" t="s">
        <v>359</v>
      </c>
      <c r="P30" t="s">
        <v>359</v>
      </c>
      <c r="Q30">
        <v>1</v>
      </c>
      <c r="W30">
        <v>0</v>
      </c>
      <c r="X30">
        <v>44848675</v>
      </c>
      <c r="Y30">
        <f t="shared" si="0"/>
        <v>16.41</v>
      </c>
      <c r="AA30">
        <v>0</v>
      </c>
      <c r="AB30">
        <v>0</v>
      </c>
      <c r="AC30">
        <v>0</v>
      </c>
      <c r="AD30">
        <v>391.28</v>
      </c>
      <c r="AE30">
        <v>0</v>
      </c>
      <c r="AF30">
        <v>0</v>
      </c>
      <c r="AG30">
        <v>0</v>
      </c>
      <c r="AH30">
        <v>391.28</v>
      </c>
      <c r="AI30">
        <v>1</v>
      </c>
      <c r="AJ30">
        <v>1</v>
      </c>
      <c r="AK30">
        <v>1</v>
      </c>
      <c r="AL30">
        <v>1</v>
      </c>
      <c r="AM30">
        <v>-2</v>
      </c>
      <c r="AN30">
        <v>0</v>
      </c>
      <c r="AO30">
        <v>0</v>
      </c>
      <c r="AP30">
        <v>0</v>
      </c>
      <c r="AQ30">
        <v>1</v>
      </c>
      <c r="AR30">
        <v>0</v>
      </c>
      <c r="AS30" t="s">
        <v>3</v>
      </c>
      <c r="AT30">
        <v>16.41</v>
      </c>
      <c r="AU30" t="s">
        <v>3</v>
      </c>
      <c r="AV30">
        <v>1</v>
      </c>
      <c r="AW30">
        <v>2</v>
      </c>
      <c r="AX30">
        <v>73954638</v>
      </c>
      <c r="AY30">
        <v>1</v>
      </c>
      <c r="AZ30">
        <v>0</v>
      </c>
      <c r="BA30">
        <v>31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6420.9047999999993</v>
      </c>
      <c r="BN30">
        <v>16.41</v>
      </c>
      <c r="BO30">
        <v>0</v>
      </c>
      <c r="BP30">
        <v>1</v>
      </c>
      <c r="BQ30">
        <v>0</v>
      </c>
      <c r="BR30">
        <v>0</v>
      </c>
      <c r="BS30">
        <v>0</v>
      </c>
      <c r="BT30">
        <v>6420.9047999999993</v>
      </c>
      <c r="BU30">
        <v>16.41</v>
      </c>
      <c r="BV30">
        <v>0</v>
      </c>
      <c r="BW30">
        <v>1</v>
      </c>
      <c r="CU30">
        <f>ROUND(AT30*Source!I74*AH30*AL30,2)</f>
        <v>1091.55</v>
      </c>
      <c r="CV30">
        <f>ROUND(Y30*Source!I74,7)</f>
        <v>2.7896999999999998</v>
      </c>
      <c r="CW30">
        <v>0</v>
      </c>
      <c r="CX30">
        <f>ROUND(Y30*Source!I74,7)</f>
        <v>2.7896999999999998</v>
      </c>
      <c r="CY30">
        <f>AD30</f>
        <v>391.28</v>
      </c>
      <c r="CZ30">
        <f>AH30</f>
        <v>391.28</v>
      </c>
      <c r="DA30">
        <f>AL30</f>
        <v>1</v>
      </c>
      <c r="DB30">
        <f t="shared" si="1"/>
        <v>6420.9</v>
      </c>
      <c r="DC30">
        <f t="shared" si="2"/>
        <v>0</v>
      </c>
      <c r="DD30" t="s">
        <v>3</v>
      </c>
      <c r="DE30" t="s">
        <v>3</v>
      </c>
      <c r="DF30">
        <f t="shared" si="14"/>
        <v>0</v>
      </c>
      <c r="DG30">
        <f t="shared" si="11"/>
        <v>0</v>
      </c>
      <c r="DH30">
        <f t="shared" si="4"/>
        <v>0</v>
      </c>
      <c r="DI30">
        <f t="shared" si="5"/>
        <v>1091.55</v>
      </c>
      <c r="DJ30">
        <f>DI30</f>
        <v>1091.55</v>
      </c>
      <c r="DK30">
        <v>1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ROW(Source!A74)</f>
        <v>74</v>
      </c>
      <c r="B31">
        <v>73953415</v>
      </c>
      <c r="C31">
        <v>73954637</v>
      </c>
      <c r="D31">
        <v>72518826</v>
      </c>
      <c r="E31">
        <v>119</v>
      </c>
      <c r="F31">
        <v>1</v>
      </c>
      <c r="G31">
        <v>1</v>
      </c>
      <c r="H31">
        <v>1</v>
      </c>
      <c r="I31" t="s">
        <v>357</v>
      </c>
      <c r="J31" t="s">
        <v>3</v>
      </c>
      <c r="K31" t="s">
        <v>358</v>
      </c>
      <c r="L31">
        <v>1191</v>
      </c>
      <c r="N31">
        <v>1013</v>
      </c>
      <c r="O31" t="s">
        <v>359</v>
      </c>
      <c r="P31" t="s">
        <v>359</v>
      </c>
      <c r="Q31">
        <v>1</v>
      </c>
      <c r="W31">
        <v>0</v>
      </c>
      <c r="X31">
        <v>-1417349443</v>
      </c>
      <c r="Y31">
        <f t="shared" si="0"/>
        <v>4.62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1</v>
      </c>
      <c r="AK31">
        <v>1</v>
      </c>
      <c r="AL31">
        <v>1</v>
      </c>
      <c r="AM31">
        <v>-2</v>
      </c>
      <c r="AN31">
        <v>0</v>
      </c>
      <c r="AO31">
        <v>0</v>
      </c>
      <c r="AP31">
        <v>0</v>
      </c>
      <c r="AQ31">
        <v>1</v>
      </c>
      <c r="AR31">
        <v>0</v>
      </c>
      <c r="AS31" t="s">
        <v>3</v>
      </c>
      <c r="AT31">
        <v>4.62</v>
      </c>
      <c r="AU31" t="s">
        <v>3</v>
      </c>
      <c r="AV31">
        <v>2</v>
      </c>
      <c r="AW31">
        <v>2</v>
      </c>
      <c r="AX31">
        <v>73954639</v>
      </c>
      <c r="AY31">
        <v>1</v>
      </c>
      <c r="AZ31">
        <v>0</v>
      </c>
      <c r="BA31">
        <v>32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CV31">
        <v>0</v>
      </c>
      <c r="CW31">
        <v>0</v>
      </c>
      <c r="CX31">
        <f>ROUND(Y31*Source!I74,7)</f>
        <v>0.78539999999999999</v>
      </c>
      <c r="CY31">
        <f>AD31</f>
        <v>0</v>
      </c>
      <c r="CZ31">
        <f>AH31</f>
        <v>0</v>
      </c>
      <c r="DA31">
        <f>AL31</f>
        <v>1</v>
      </c>
      <c r="DB31">
        <f t="shared" si="1"/>
        <v>0</v>
      </c>
      <c r="DC31">
        <f t="shared" si="2"/>
        <v>0</v>
      </c>
      <c r="DD31" t="s">
        <v>3</v>
      </c>
      <c r="DE31" t="s">
        <v>3</v>
      </c>
      <c r="DF31">
        <f t="shared" si="14"/>
        <v>0</v>
      </c>
      <c r="DG31">
        <f t="shared" si="11"/>
        <v>0</v>
      </c>
      <c r="DH31">
        <f t="shared" si="4"/>
        <v>0</v>
      </c>
      <c r="DI31">
        <f t="shared" si="5"/>
        <v>0</v>
      </c>
      <c r="DJ31">
        <f>DI31</f>
        <v>0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ROW(Source!A74)</f>
        <v>74</v>
      </c>
      <c r="B32">
        <v>73953415</v>
      </c>
      <c r="C32">
        <v>73954637</v>
      </c>
      <c r="D32">
        <v>72645922</v>
      </c>
      <c r="E32">
        <v>1</v>
      </c>
      <c r="F32">
        <v>1</v>
      </c>
      <c r="G32">
        <v>1</v>
      </c>
      <c r="H32">
        <v>2</v>
      </c>
      <c r="I32" t="s">
        <v>432</v>
      </c>
      <c r="J32" t="s">
        <v>433</v>
      </c>
      <c r="K32" t="s">
        <v>434</v>
      </c>
      <c r="L32">
        <v>1368</v>
      </c>
      <c r="N32">
        <v>1011</v>
      </c>
      <c r="O32" t="s">
        <v>363</v>
      </c>
      <c r="P32" t="s">
        <v>363</v>
      </c>
      <c r="Q32">
        <v>1</v>
      </c>
      <c r="W32">
        <v>0</v>
      </c>
      <c r="X32">
        <v>-14032808</v>
      </c>
      <c r="Y32">
        <f t="shared" si="0"/>
        <v>1.81</v>
      </c>
      <c r="AA32">
        <v>0</v>
      </c>
      <c r="AB32">
        <v>2861.61</v>
      </c>
      <c r="AC32">
        <v>459.98</v>
      </c>
      <c r="AD32">
        <v>0</v>
      </c>
      <c r="AE32">
        <v>0</v>
      </c>
      <c r="AF32">
        <v>2088.77</v>
      </c>
      <c r="AG32">
        <v>459.98</v>
      </c>
      <c r="AH32">
        <v>0</v>
      </c>
      <c r="AI32">
        <v>1</v>
      </c>
      <c r="AJ32">
        <v>1.37</v>
      </c>
      <c r="AK32">
        <v>1</v>
      </c>
      <c r="AL32">
        <v>1</v>
      </c>
      <c r="AM32">
        <v>2</v>
      </c>
      <c r="AN32">
        <v>0</v>
      </c>
      <c r="AO32">
        <v>0</v>
      </c>
      <c r="AP32">
        <v>0</v>
      </c>
      <c r="AQ32">
        <v>1</v>
      </c>
      <c r="AR32">
        <v>0</v>
      </c>
      <c r="AS32" t="s">
        <v>3</v>
      </c>
      <c r="AT32">
        <v>1.81</v>
      </c>
      <c r="AU32" t="s">
        <v>3</v>
      </c>
      <c r="AV32">
        <v>1</v>
      </c>
      <c r="AW32">
        <v>2</v>
      </c>
      <c r="AX32">
        <v>73954640</v>
      </c>
      <c r="AY32">
        <v>1</v>
      </c>
      <c r="AZ32">
        <v>0</v>
      </c>
      <c r="BA32">
        <v>33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3780.6737000000003</v>
      </c>
      <c r="BL32">
        <v>832.56380000000001</v>
      </c>
      <c r="BM32">
        <v>0</v>
      </c>
      <c r="BN32">
        <v>0</v>
      </c>
      <c r="BO32">
        <v>1.81</v>
      </c>
      <c r="BP32">
        <v>1</v>
      </c>
      <c r="BQ32">
        <v>0</v>
      </c>
      <c r="BR32">
        <v>3780.6737000000003</v>
      </c>
      <c r="BS32">
        <v>832.56380000000001</v>
      </c>
      <c r="BT32">
        <v>0</v>
      </c>
      <c r="BU32">
        <v>0</v>
      </c>
      <c r="BV32">
        <v>1.81</v>
      </c>
      <c r="BW32">
        <v>1</v>
      </c>
      <c r="CV32">
        <v>0</v>
      </c>
      <c r="CW32">
        <f>ROUND(Y32*Source!I74*DO32,7)</f>
        <v>0.30769999999999997</v>
      </c>
      <c r="CX32">
        <f>ROUND(Y32*Source!I74,7)</f>
        <v>0.30769999999999997</v>
      </c>
      <c r="CY32">
        <f t="shared" ref="CY32:CY39" si="15">AB32</f>
        <v>2861.61</v>
      </c>
      <c r="CZ32">
        <f t="shared" ref="CZ32:CZ39" si="16">AF32</f>
        <v>2088.77</v>
      </c>
      <c r="DA32">
        <f t="shared" ref="DA32:DA39" si="17">AJ32</f>
        <v>1.37</v>
      </c>
      <c r="DB32">
        <f t="shared" si="1"/>
        <v>3780.67</v>
      </c>
      <c r="DC32">
        <f t="shared" si="2"/>
        <v>832.56</v>
      </c>
      <c r="DD32" t="s">
        <v>3</v>
      </c>
      <c r="DE32" t="s">
        <v>3</v>
      </c>
      <c r="DF32">
        <f t="shared" si="14"/>
        <v>0</v>
      </c>
      <c r="DG32">
        <f>ROUND(ROUND(AF32*AJ32,2)*CX32,2)</f>
        <v>880.52</v>
      </c>
      <c r="DH32">
        <f t="shared" si="4"/>
        <v>141.54</v>
      </c>
      <c r="DI32">
        <f t="shared" si="5"/>
        <v>0</v>
      </c>
      <c r="DJ32">
        <f t="shared" ref="DJ32:DJ39" si="18">DG32+DH32</f>
        <v>1022.06</v>
      </c>
      <c r="DK32">
        <v>0</v>
      </c>
      <c r="DL32" t="s">
        <v>372</v>
      </c>
      <c r="DM32">
        <v>5</v>
      </c>
      <c r="DN32" t="s">
        <v>359</v>
      </c>
      <c r="DO32">
        <v>1</v>
      </c>
    </row>
    <row r="33" spans="1:119" x14ac:dyDescent="0.2">
      <c r="A33">
        <f>ROW(Source!A74)</f>
        <v>74</v>
      </c>
      <c r="B33">
        <v>73953415</v>
      </c>
      <c r="C33">
        <v>73954637</v>
      </c>
      <c r="D33">
        <v>72646037</v>
      </c>
      <c r="E33">
        <v>1</v>
      </c>
      <c r="F33">
        <v>1</v>
      </c>
      <c r="G33">
        <v>1</v>
      </c>
      <c r="H33">
        <v>2</v>
      </c>
      <c r="I33" t="s">
        <v>435</v>
      </c>
      <c r="J33" t="s">
        <v>436</v>
      </c>
      <c r="K33" t="s">
        <v>437</v>
      </c>
      <c r="L33">
        <v>1368</v>
      </c>
      <c r="N33">
        <v>1011</v>
      </c>
      <c r="O33" t="s">
        <v>363</v>
      </c>
      <c r="P33" t="s">
        <v>363</v>
      </c>
      <c r="Q33">
        <v>1</v>
      </c>
      <c r="W33">
        <v>0</v>
      </c>
      <c r="X33">
        <v>-1791740122</v>
      </c>
      <c r="Y33">
        <f t="shared" ref="Y33:Y64" si="19">AT33</f>
        <v>2.62</v>
      </c>
      <c r="AA33">
        <v>0</v>
      </c>
      <c r="AB33">
        <v>1836.16</v>
      </c>
      <c r="AC33">
        <v>537.64</v>
      </c>
      <c r="AD33">
        <v>0</v>
      </c>
      <c r="AE33">
        <v>0</v>
      </c>
      <c r="AF33">
        <v>1836.16</v>
      </c>
      <c r="AG33">
        <v>537.64</v>
      </c>
      <c r="AH33">
        <v>0</v>
      </c>
      <c r="AI33">
        <v>1</v>
      </c>
      <c r="AJ33">
        <v>1</v>
      </c>
      <c r="AK33">
        <v>1</v>
      </c>
      <c r="AL33">
        <v>1</v>
      </c>
      <c r="AM33">
        <v>-2</v>
      </c>
      <c r="AN33">
        <v>0</v>
      </c>
      <c r="AO33">
        <v>0</v>
      </c>
      <c r="AP33">
        <v>0</v>
      </c>
      <c r="AQ33">
        <v>1</v>
      </c>
      <c r="AR33">
        <v>0</v>
      </c>
      <c r="AS33" t="s">
        <v>3</v>
      </c>
      <c r="AT33">
        <v>2.62</v>
      </c>
      <c r="AU33" t="s">
        <v>3</v>
      </c>
      <c r="AV33">
        <v>1</v>
      </c>
      <c r="AW33">
        <v>2</v>
      </c>
      <c r="AX33">
        <v>73954641</v>
      </c>
      <c r="AY33">
        <v>1</v>
      </c>
      <c r="AZ33">
        <v>0</v>
      </c>
      <c r="BA33">
        <v>34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4810.7392</v>
      </c>
      <c r="BL33">
        <v>1408.6168</v>
      </c>
      <c r="BM33">
        <v>0</v>
      </c>
      <c r="BN33">
        <v>0</v>
      </c>
      <c r="BO33">
        <v>2.62</v>
      </c>
      <c r="BP33">
        <v>1</v>
      </c>
      <c r="BQ33">
        <v>0</v>
      </c>
      <c r="BR33">
        <v>4810.7392</v>
      </c>
      <c r="BS33">
        <v>1408.6168</v>
      </c>
      <c r="BT33">
        <v>0</v>
      </c>
      <c r="BU33">
        <v>0</v>
      </c>
      <c r="BV33">
        <v>2.62</v>
      </c>
      <c r="BW33">
        <v>1</v>
      </c>
      <c r="CV33">
        <v>0</v>
      </c>
      <c r="CW33">
        <f>ROUND(Y33*Source!I74*DO33,7)</f>
        <v>0.44540000000000002</v>
      </c>
      <c r="CX33">
        <f>ROUND(Y33*Source!I74,7)</f>
        <v>0.44540000000000002</v>
      </c>
      <c r="CY33">
        <f t="shared" si="15"/>
        <v>1836.16</v>
      </c>
      <c r="CZ33">
        <f t="shared" si="16"/>
        <v>1836.16</v>
      </c>
      <c r="DA33">
        <f t="shared" si="17"/>
        <v>1</v>
      </c>
      <c r="DB33">
        <f t="shared" ref="DB33:DB64" si="20">ROUND(ROUND(AT33*CZ33,2),6)</f>
        <v>4810.74</v>
      </c>
      <c r="DC33">
        <f t="shared" ref="DC33:DC64" si="21">ROUND(ROUND(AT33*AG33,2),6)</f>
        <v>1408.62</v>
      </c>
      <c r="DD33" t="s">
        <v>3</v>
      </c>
      <c r="DE33" t="s">
        <v>3</v>
      </c>
      <c r="DF33">
        <f t="shared" si="14"/>
        <v>0</v>
      </c>
      <c r="DG33">
        <f>ROUND(ROUND(AF33,2)*CX33,2)</f>
        <v>817.83</v>
      </c>
      <c r="DH33">
        <f t="shared" ref="DH33:DH64" si="22">ROUND(ROUND(AG33,2)*CX33,2)</f>
        <v>239.46</v>
      </c>
      <c r="DI33">
        <f t="shared" ref="DI33:DI64" si="23">ROUND(ROUND(AH33,2)*CX33,2)</f>
        <v>0</v>
      </c>
      <c r="DJ33">
        <f t="shared" si="18"/>
        <v>1057.29</v>
      </c>
      <c r="DK33">
        <v>1</v>
      </c>
      <c r="DL33" t="s">
        <v>364</v>
      </c>
      <c r="DM33">
        <v>6</v>
      </c>
      <c r="DN33" t="s">
        <v>359</v>
      </c>
      <c r="DO33">
        <v>1</v>
      </c>
    </row>
    <row r="34" spans="1:119" x14ac:dyDescent="0.2">
      <c r="A34">
        <f>ROW(Source!A74)</f>
        <v>74</v>
      </c>
      <c r="B34">
        <v>73953415</v>
      </c>
      <c r="C34">
        <v>73954637</v>
      </c>
      <c r="D34">
        <v>72646293</v>
      </c>
      <c r="E34">
        <v>1</v>
      </c>
      <c r="F34">
        <v>1</v>
      </c>
      <c r="G34">
        <v>1</v>
      </c>
      <c r="H34">
        <v>2</v>
      </c>
      <c r="I34" t="s">
        <v>438</v>
      </c>
      <c r="J34" t="s">
        <v>439</v>
      </c>
      <c r="K34" t="s">
        <v>440</v>
      </c>
      <c r="L34">
        <v>1368</v>
      </c>
      <c r="N34">
        <v>1011</v>
      </c>
      <c r="O34" t="s">
        <v>363</v>
      </c>
      <c r="P34" t="s">
        <v>363</v>
      </c>
      <c r="Q34">
        <v>1</v>
      </c>
      <c r="W34">
        <v>0</v>
      </c>
      <c r="X34">
        <v>-804492372</v>
      </c>
      <c r="Y34">
        <f t="shared" si="19"/>
        <v>0.45</v>
      </c>
      <c r="AA34">
        <v>0</v>
      </c>
      <c r="AB34">
        <v>13.27</v>
      </c>
      <c r="AC34">
        <v>0</v>
      </c>
      <c r="AD34">
        <v>0</v>
      </c>
      <c r="AE34">
        <v>0</v>
      </c>
      <c r="AF34">
        <v>10.37</v>
      </c>
      <c r="AG34">
        <v>0</v>
      </c>
      <c r="AH34">
        <v>0</v>
      </c>
      <c r="AI34">
        <v>1</v>
      </c>
      <c r="AJ34">
        <v>1.28</v>
      </c>
      <c r="AK34">
        <v>1</v>
      </c>
      <c r="AL34">
        <v>1</v>
      </c>
      <c r="AM34">
        <v>2</v>
      </c>
      <c r="AN34">
        <v>0</v>
      </c>
      <c r="AO34">
        <v>0</v>
      </c>
      <c r="AP34">
        <v>0</v>
      </c>
      <c r="AQ34">
        <v>1</v>
      </c>
      <c r="AR34">
        <v>0</v>
      </c>
      <c r="AS34" t="s">
        <v>3</v>
      </c>
      <c r="AT34">
        <v>0.45</v>
      </c>
      <c r="AU34" t="s">
        <v>3</v>
      </c>
      <c r="AV34">
        <v>1</v>
      </c>
      <c r="AW34">
        <v>2</v>
      </c>
      <c r="AX34">
        <v>73954642</v>
      </c>
      <c r="AY34">
        <v>1</v>
      </c>
      <c r="AZ34">
        <v>0</v>
      </c>
      <c r="BA34">
        <v>35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4.6665000000000001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0</v>
      </c>
      <c r="BR34">
        <v>4.6665000000000001</v>
      </c>
      <c r="BS34">
        <v>0</v>
      </c>
      <c r="BT34">
        <v>0</v>
      </c>
      <c r="BU34">
        <v>0</v>
      </c>
      <c r="BV34">
        <v>0</v>
      </c>
      <c r="BW34">
        <v>1</v>
      </c>
      <c r="CV34">
        <v>0</v>
      </c>
      <c r="CW34">
        <f>ROUND(Y34*Source!I74*DO34,7)</f>
        <v>0</v>
      </c>
      <c r="CX34">
        <f>ROUND(Y34*Source!I74,7)</f>
        <v>7.6499999999999999E-2</v>
      </c>
      <c r="CY34">
        <f t="shared" si="15"/>
        <v>13.27</v>
      </c>
      <c r="CZ34">
        <f t="shared" si="16"/>
        <v>10.37</v>
      </c>
      <c r="DA34">
        <f t="shared" si="17"/>
        <v>1.28</v>
      </c>
      <c r="DB34">
        <f t="shared" si="20"/>
        <v>4.67</v>
      </c>
      <c r="DC34">
        <f t="shared" si="21"/>
        <v>0</v>
      </c>
      <c r="DD34" t="s">
        <v>3</v>
      </c>
      <c r="DE34" t="s">
        <v>3</v>
      </c>
      <c r="DF34">
        <f t="shared" si="14"/>
        <v>0</v>
      </c>
      <c r="DG34">
        <f>ROUND(ROUND(AF34*AJ34,2)*CX34,2)</f>
        <v>1.02</v>
      </c>
      <c r="DH34">
        <f t="shared" si="22"/>
        <v>0</v>
      </c>
      <c r="DI34">
        <f t="shared" si="23"/>
        <v>0</v>
      </c>
      <c r="DJ34">
        <f t="shared" si="18"/>
        <v>1.02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ROW(Source!A74)</f>
        <v>74</v>
      </c>
      <c r="B35">
        <v>73953415</v>
      </c>
      <c r="C35">
        <v>73954637</v>
      </c>
      <c r="D35">
        <v>72646931</v>
      </c>
      <c r="E35">
        <v>1</v>
      </c>
      <c r="F35">
        <v>1</v>
      </c>
      <c r="G35">
        <v>1</v>
      </c>
      <c r="H35">
        <v>2</v>
      </c>
      <c r="I35" t="s">
        <v>441</v>
      </c>
      <c r="J35" t="s">
        <v>442</v>
      </c>
      <c r="K35" t="s">
        <v>443</v>
      </c>
      <c r="L35">
        <v>1368</v>
      </c>
      <c r="N35">
        <v>1011</v>
      </c>
      <c r="O35" t="s">
        <v>363</v>
      </c>
      <c r="P35" t="s">
        <v>363</v>
      </c>
      <c r="Q35">
        <v>1</v>
      </c>
      <c r="W35">
        <v>0</v>
      </c>
      <c r="X35">
        <v>4063365</v>
      </c>
      <c r="Y35">
        <f t="shared" si="19"/>
        <v>0.19</v>
      </c>
      <c r="AA35">
        <v>0</v>
      </c>
      <c r="AB35">
        <v>655.95</v>
      </c>
      <c r="AC35">
        <v>400.24</v>
      </c>
      <c r="AD35">
        <v>0</v>
      </c>
      <c r="AE35">
        <v>0</v>
      </c>
      <c r="AF35">
        <v>655.95</v>
      </c>
      <c r="AG35">
        <v>400.24</v>
      </c>
      <c r="AH35">
        <v>0</v>
      </c>
      <c r="AI35">
        <v>1</v>
      </c>
      <c r="AJ35">
        <v>1</v>
      </c>
      <c r="AK35">
        <v>1</v>
      </c>
      <c r="AL35">
        <v>1</v>
      </c>
      <c r="AM35">
        <v>-2</v>
      </c>
      <c r="AN35">
        <v>0</v>
      </c>
      <c r="AO35">
        <v>0</v>
      </c>
      <c r="AP35">
        <v>0</v>
      </c>
      <c r="AQ35">
        <v>1</v>
      </c>
      <c r="AR35">
        <v>0</v>
      </c>
      <c r="AS35" t="s">
        <v>3</v>
      </c>
      <c r="AT35">
        <v>0.19</v>
      </c>
      <c r="AU35" t="s">
        <v>3</v>
      </c>
      <c r="AV35">
        <v>1</v>
      </c>
      <c r="AW35">
        <v>2</v>
      </c>
      <c r="AX35">
        <v>73954643</v>
      </c>
      <c r="AY35">
        <v>1</v>
      </c>
      <c r="AZ35">
        <v>0</v>
      </c>
      <c r="BA35">
        <v>36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124.63050000000001</v>
      </c>
      <c r="BL35">
        <v>76.045600000000007</v>
      </c>
      <c r="BM35">
        <v>0</v>
      </c>
      <c r="BN35">
        <v>0</v>
      </c>
      <c r="BO35">
        <v>0.19</v>
      </c>
      <c r="BP35">
        <v>1</v>
      </c>
      <c r="BQ35">
        <v>0</v>
      </c>
      <c r="BR35">
        <v>124.63050000000001</v>
      </c>
      <c r="BS35">
        <v>76.045600000000007</v>
      </c>
      <c r="BT35">
        <v>0</v>
      </c>
      <c r="BU35">
        <v>0</v>
      </c>
      <c r="BV35">
        <v>0.19</v>
      </c>
      <c r="BW35">
        <v>1</v>
      </c>
      <c r="CV35">
        <v>0</v>
      </c>
      <c r="CW35">
        <f>ROUND(Y35*Source!I74*DO35,7)</f>
        <v>3.2300000000000002E-2</v>
      </c>
      <c r="CX35">
        <f>ROUND(Y35*Source!I74,7)</f>
        <v>3.2300000000000002E-2</v>
      </c>
      <c r="CY35">
        <f t="shared" si="15"/>
        <v>655.95</v>
      </c>
      <c r="CZ35">
        <f t="shared" si="16"/>
        <v>655.95</v>
      </c>
      <c r="DA35">
        <f t="shared" si="17"/>
        <v>1</v>
      </c>
      <c r="DB35">
        <f t="shared" si="20"/>
        <v>124.63</v>
      </c>
      <c r="DC35">
        <f t="shared" si="21"/>
        <v>76.05</v>
      </c>
      <c r="DD35" t="s">
        <v>3</v>
      </c>
      <c r="DE35" t="s">
        <v>3</v>
      </c>
      <c r="DF35">
        <f t="shared" si="14"/>
        <v>0</v>
      </c>
      <c r="DG35">
        <f>ROUND(ROUND(AF35,2)*CX35,2)</f>
        <v>21.19</v>
      </c>
      <c r="DH35">
        <f t="shared" si="22"/>
        <v>12.93</v>
      </c>
      <c r="DI35">
        <f t="shared" si="23"/>
        <v>0</v>
      </c>
      <c r="DJ35">
        <f t="shared" si="18"/>
        <v>34.120000000000005</v>
      </c>
      <c r="DK35">
        <v>1</v>
      </c>
      <c r="DL35" t="s">
        <v>400</v>
      </c>
      <c r="DM35">
        <v>4</v>
      </c>
      <c r="DN35" t="s">
        <v>359</v>
      </c>
      <c r="DO35">
        <v>1</v>
      </c>
    </row>
    <row r="36" spans="1:119" x14ac:dyDescent="0.2">
      <c r="A36">
        <f>ROW(Source!A74)</f>
        <v>74</v>
      </c>
      <c r="B36">
        <v>73953415</v>
      </c>
      <c r="C36">
        <v>73954637</v>
      </c>
      <c r="D36">
        <v>72647091</v>
      </c>
      <c r="E36">
        <v>1</v>
      </c>
      <c r="F36">
        <v>1</v>
      </c>
      <c r="G36">
        <v>1</v>
      </c>
      <c r="H36">
        <v>2</v>
      </c>
      <c r="I36" t="s">
        <v>444</v>
      </c>
      <c r="J36" t="s">
        <v>445</v>
      </c>
      <c r="K36" t="s">
        <v>446</v>
      </c>
      <c r="L36">
        <v>1368</v>
      </c>
      <c r="N36">
        <v>1011</v>
      </c>
      <c r="O36" t="s">
        <v>363</v>
      </c>
      <c r="P36" t="s">
        <v>363</v>
      </c>
      <c r="Q36">
        <v>1</v>
      </c>
      <c r="W36">
        <v>0</v>
      </c>
      <c r="X36">
        <v>84725822</v>
      </c>
      <c r="Y36">
        <f t="shared" si="19"/>
        <v>1.44</v>
      </c>
      <c r="AA36">
        <v>0</v>
      </c>
      <c r="AB36">
        <v>5.66</v>
      </c>
      <c r="AC36">
        <v>0</v>
      </c>
      <c r="AD36">
        <v>0</v>
      </c>
      <c r="AE36">
        <v>0</v>
      </c>
      <c r="AF36">
        <v>4.3499999999999996</v>
      </c>
      <c r="AG36">
        <v>0</v>
      </c>
      <c r="AH36">
        <v>0</v>
      </c>
      <c r="AI36">
        <v>1</v>
      </c>
      <c r="AJ36">
        <v>1.3</v>
      </c>
      <c r="AK36">
        <v>1</v>
      </c>
      <c r="AL36">
        <v>1</v>
      </c>
      <c r="AM36">
        <v>2</v>
      </c>
      <c r="AN36">
        <v>0</v>
      </c>
      <c r="AO36">
        <v>0</v>
      </c>
      <c r="AP36">
        <v>0</v>
      </c>
      <c r="AQ36">
        <v>1</v>
      </c>
      <c r="AR36">
        <v>0</v>
      </c>
      <c r="AS36" t="s">
        <v>3</v>
      </c>
      <c r="AT36">
        <v>1.44</v>
      </c>
      <c r="AU36" t="s">
        <v>3</v>
      </c>
      <c r="AV36">
        <v>1</v>
      </c>
      <c r="AW36">
        <v>2</v>
      </c>
      <c r="AX36">
        <v>73954644</v>
      </c>
      <c r="AY36">
        <v>1</v>
      </c>
      <c r="AZ36">
        <v>0</v>
      </c>
      <c r="BA36">
        <v>37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6.2639999999999993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0</v>
      </c>
      <c r="BR36">
        <v>6.2639999999999993</v>
      </c>
      <c r="BS36">
        <v>0</v>
      </c>
      <c r="BT36">
        <v>0</v>
      </c>
      <c r="BU36">
        <v>0</v>
      </c>
      <c r="BV36">
        <v>0</v>
      </c>
      <c r="BW36">
        <v>1</v>
      </c>
      <c r="CV36">
        <v>0</v>
      </c>
      <c r="CW36">
        <f>ROUND(Y36*Source!I74*DO36,7)</f>
        <v>0</v>
      </c>
      <c r="CX36">
        <f>ROUND(Y36*Source!I74,7)</f>
        <v>0.24479999999999999</v>
      </c>
      <c r="CY36">
        <f t="shared" si="15"/>
        <v>5.66</v>
      </c>
      <c r="CZ36">
        <f t="shared" si="16"/>
        <v>4.3499999999999996</v>
      </c>
      <c r="DA36">
        <f t="shared" si="17"/>
        <v>1.3</v>
      </c>
      <c r="DB36">
        <f t="shared" si="20"/>
        <v>6.26</v>
      </c>
      <c r="DC36">
        <f t="shared" si="21"/>
        <v>0</v>
      </c>
      <c r="DD36" t="s">
        <v>3</v>
      </c>
      <c r="DE36" t="s">
        <v>3</v>
      </c>
      <c r="DF36">
        <f t="shared" si="14"/>
        <v>0</v>
      </c>
      <c r="DG36">
        <f>ROUND(ROUND(AF36*AJ36,2)*CX36,2)</f>
        <v>1.39</v>
      </c>
      <c r="DH36">
        <f t="shared" si="22"/>
        <v>0</v>
      </c>
      <c r="DI36">
        <f t="shared" si="23"/>
        <v>0</v>
      </c>
      <c r="DJ36">
        <f t="shared" si="18"/>
        <v>1.39</v>
      </c>
      <c r="DK36">
        <v>0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ROW(Source!A74)</f>
        <v>74</v>
      </c>
      <c r="B37">
        <v>73953415</v>
      </c>
      <c r="C37">
        <v>73954637</v>
      </c>
      <c r="D37">
        <v>72647129</v>
      </c>
      <c r="E37">
        <v>1</v>
      </c>
      <c r="F37">
        <v>1</v>
      </c>
      <c r="G37">
        <v>1</v>
      </c>
      <c r="H37">
        <v>2</v>
      </c>
      <c r="I37" t="s">
        <v>394</v>
      </c>
      <c r="J37" t="s">
        <v>395</v>
      </c>
      <c r="K37" t="s">
        <v>396</v>
      </c>
      <c r="L37">
        <v>1368</v>
      </c>
      <c r="N37">
        <v>1011</v>
      </c>
      <c r="O37" t="s">
        <v>363</v>
      </c>
      <c r="P37" t="s">
        <v>363</v>
      </c>
      <c r="Q37">
        <v>1</v>
      </c>
      <c r="W37">
        <v>0</v>
      </c>
      <c r="X37">
        <v>1678177714</v>
      </c>
      <c r="Y37">
        <f t="shared" si="19"/>
        <v>2.59</v>
      </c>
      <c r="AA37">
        <v>0</v>
      </c>
      <c r="AB37">
        <v>43.87</v>
      </c>
      <c r="AC37">
        <v>0</v>
      </c>
      <c r="AD37">
        <v>0</v>
      </c>
      <c r="AE37">
        <v>0</v>
      </c>
      <c r="AF37">
        <v>43.87</v>
      </c>
      <c r="AG37">
        <v>0</v>
      </c>
      <c r="AH37">
        <v>0</v>
      </c>
      <c r="AI37">
        <v>1</v>
      </c>
      <c r="AJ37">
        <v>1</v>
      </c>
      <c r="AK37">
        <v>1</v>
      </c>
      <c r="AL37">
        <v>1</v>
      </c>
      <c r="AM37">
        <v>-2</v>
      </c>
      <c r="AN37">
        <v>0</v>
      </c>
      <c r="AO37">
        <v>0</v>
      </c>
      <c r="AP37">
        <v>0</v>
      </c>
      <c r="AQ37">
        <v>1</v>
      </c>
      <c r="AR37">
        <v>0</v>
      </c>
      <c r="AS37" t="s">
        <v>3</v>
      </c>
      <c r="AT37">
        <v>2.59</v>
      </c>
      <c r="AU37" t="s">
        <v>3</v>
      </c>
      <c r="AV37">
        <v>1</v>
      </c>
      <c r="AW37">
        <v>2</v>
      </c>
      <c r="AX37">
        <v>73954645</v>
      </c>
      <c r="AY37">
        <v>1</v>
      </c>
      <c r="AZ37">
        <v>0</v>
      </c>
      <c r="BA37">
        <v>38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113.62329999999999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0</v>
      </c>
      <c r="BR37">
        <v>113.62329999999999</v>
      </c>
      <c r="BS37">
        <v>0</v>
      </c>
      <c r="BT37">
        <v>0</v>
      </c>
      <c r="BU37">
        <v>0</v>
      </c>
      <c r="BV37">
        <v>0</v>
      </c>
      <c r="BW37">
        <v>1</v>
      </c>
      <c r="CV37">
        <v>0</v>
      </c>
      <c r="CW37">
        <f>ROUND(Y37*Source!I74*DO37,7)</f>
        <v>0</v>
      </c>
      <c r="CX37">
        <f>ROUND(Y37*Source!I74,7)</f>
        <v>0.44030000000000002</v>
      </c>
      <c r="CY37">
        <f t="shared" si="15"/>
        <v>43.87</v>
      </c>
      <c r="CZ37">
        <f t="shared" si="16"/>
        <v>43.87</v>
      </c>
      <c r="DA37">
        <f t="shared" si="17"/>
        <v>1</v>
      </c>
      <c r="DB37">
        <f t="shared" si="20"/>
        <v>113.62</v>
      </c>
      <c r="DC37">
        <f t="shared" si="21"/>
        <v>0</v>
      </c>
      <c r="DD37" t="s">
        <v>3</v>
      </c>
      <c r="DE37" t="s">
        <v>3</v>
      </c>
      <c r="DF37">
        <f t="shared" si="14"/>
        <v>0</v>
      </c>
      <c r="DG37">
        <f>ROUND(ROUND(AF37,2)*CX37,2)</f>
        <v>19.32</v>
      </c>
      <c r="DH37">
        <f t="shared" si="22"/>
        <v>0</v>
      </c>
      <c r="DI37">
        <f t="shared" si="23"/>
        <v>0</v>
      </c>
      <c r="DJ37">
        <f t="shared" si="18"/>
        <v>19.32</v>
      </c>
      <c r="DK37">
        <v>1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ROW(Source!A74)</f>
        <v>74</v>
      </c>
      <c r="B38">
        <v>73953415</v>
      </c>
      <c r="C38">
        <v>73954637</v>
      </c>
      <c r="D38">
        <v>72647493</v>
      </c>
      <c r="E38">
        <v>1</v>
      </c>
      <c r="F38">
        <v>1</v>
      </c>
      <c r="G38">
        <v>1</v>
      </c>
      <c r="H38">
        <v>2</v>
      </c>
      <c r="I38" t="s">
        <v>401</v>
      </c>
      <c r="J38" t="s">
        <v>402</v>
      </c>
      <c r="K38" t="s">
        <v>403</v>
      </c>
      <c r="L38">
        <v>1368</v>
      </c>
      <c r="N38">
        <v>1011</v>
      </c>
      <c r="O38" t="s">
        <v>363</v>
      </c>
      <c r="P38" t="s">
        <v>363</v>
      </c>
      <c r="Q38">
        <v>1</v>
      </c>
      <c r="W38">
        <v>0</v>
      </c>
      <c r="X38">
        <v>571220797</v>
      </c>
      <c r="Y38">
        <f t="shared" si="19"/>
        <v>1.27</v>
      </c>
      <c r="AA38">
        <v>0</v>
      </c>
      <c r="AB38">
        <v>6.69</v>
      </c>
      <c r="AC38">
        <v>0</v>
      </c>
      <c r="AD38">
        <v>0</v>
      </c>
      <c r="AE38">
        <v>0</v>
      </c>
      <c r="AF38">
        <v>4.5199999999999996</v>
      </c>
      <c r="AG38">
        <v>0</v>
      </c>
      <c r="AH38">
        <v>0</v>
      </c>
      <c r="AI38">
        <v>1</v>
      </c>
      <c r="AJ38">
        <v>1.48</v>
      </c>
      <c r="AK38">
        <v>1</v>
      </c>
      <c r="AL38">
        <v>1</v>
      </c>
      <c r="AM38">
        <v>2</v>
      </c>
      <c r="AN38">
        <v>0</v>
      </c>
      <c r="AO38">
        <v>0</v>
      </c>
      <c r="AP38">
        <v>0</v>
      </c>
      <c r="AQ38">
        <v>1</v>
      </c>
      <c r="AR38">
        <v>0</v>
      </c>
      <c r="AS38" t="s">
        <v>3</v>
      </c>
      <c r="AT38">
        <v>1.27</v>
      </c>
      <c r="AU38" t="s">
        <v>3</v>
      </c>
      <c r="AV38">
        <v>1</v>
      </c>
      <c r="AW38">
        <v>2</v>
      </c>
      <c r="AX38">
        <v>73954646</v>
      </c>
      <c r="AY38">
        <v>1</v>
      </c>
      <c r="AZ38">
        <v>0</v>
      </c>
      <c r="BA38">
        <v>39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5.7403999999999993</v>
      </c>
      <c r="BL38">
        <v>0</v>
      </c>
      <c r="BM38">
        <v>0</v>
      </c>
      <c r="BN38">
        <v>0</v>
      </c>
      <c r="BO38">
        <v>0</v>
      </c>
      <c r="BP38">
        <v>1</v>
      </c>
      <c r="BQ38">
        <v>0</v>
      </c>
      <c r="BR38">
        <v>5.7403999999999993</v>
      </c>
      <c r="BS38">
        <v>0</v>
      </c>
      <c r="BT38">
        <v>0</v>
      </c>
      <c r="BU38">
        <v>0</v>
      </c>
      <c r="BV38">
        <v>0</v>
      </c>
      <c r="BW38">
        <v>1</v>
      </c>
      <c r="CV38">
        <v>0</v>
      </c>
      <c r="CW38">
        <f>ROUND(Y38*Source!I74*DO38,7)</f>
        <v>0</v>
      </c>
      <c r="CX38">
        <f>ROUND(Y38*Source!I74,7)</f>
        <v>0.21590000000000001</v>
      </c>
      <c r="CY38">
        <f t="shared" si="15"/>
        <v>6.69</v>
      </c>
      <c r="CZ38">
        <f t="shared" si="16"/>
        <v>4.5199999999999996</v>
      </c>
      <c r="DA38">
        <f t="shared" si="17"/>
        <v>1.48</v>
      </c>
      <c r="DB38">
        <f t="shared" si="20"/>
        <v>5.74</v>
      </c>
      <c r="DC38">
        <f t="shared" si="21"/>
        <v>0</v>
      </c>
      <c r="DD38" t="s">
        <v>3</v>
      </c>
      <c r="DE38" t="s">
        <v>3</v>
      </c>
      <c r="DF38">
        <f t="shared" si="14"/>
        <v>0</v>
      </c>
      <c r="DG38">
        <f>ROUND(ROUND(AF38*AJ38,2)*CX38,2)</f>
        <v>1.44</v>
      </c>
      <c r="DH38">
        <f t="shared" si="22"/>
        <v>0</v>
      </c>
      <c r="DI38">
        <f t="shared" si="23"/>
        <v>0</v>
      </c>
      <c r="DJ38">
        <f t="shared" si="18"/>
        <v>1.44</v>
      </c>
      <c r="DK38">
        <v>0</v>
      </c>
      <c r="DL38" t="s">
        <v>3</v>
      </c>
      <c r="DM38">
        <v>0</v>
      </c>
      <c r="DN38" t="s">
        <v>3</v>
      </c>
      <c r="DO38">
        <v>0</v>
      </c>
    </row>
    <row r="39" spans="1:119" x14ac:dyDescent="0.2">
      <c r="A39">
        <f>ROW(Source!A74)</f>
        <v>74</v>
      </c>
      <c r="B39">
        <v>73953415</v>
      </c>
      <c r="C39">
        <v>73954637</v>
      </c>
      <c r="D39">
        <v>72647554</v>
      </c>
      <c r="E39">
        <v>1</v>
      </c>
      <c r="F39">
        <v>1</v>
      </c>
      <c r="G39">
        <v>1</v>
      </c>
      <c r="H39">
        <v>2</v>
      </c>
      <c r="I39" t="s">
        <v>447</v>
      </c>
      <c r="J39" t="s">
        <v>448</v>
      </c>
      <c r="K39" t="s">
        <v>449</v>
      </c>
      <c r="L39">
        <v>1368</v>
      </c>
      <c r="N39">
        <v>1011</v>
      </c>
      <c r="O39" t="s">
        <v>363</v>
      </c>
      <c r="P39" t="s">
        <v>363</v>
      </c>
      <c r="Q39">
        <v>1</v>
      </c>
      <c r="W39">
        <v>0</v>
      </c>
      <c r="X39">
        <v>1095265986</v>
      </c>
      <c r="Y39">
        <f t="shared" si="19"/>
        <v>0.06</v>
      </c>
      <c r="AA39">
        <v>0</v>
      </c>
      <c r="AB39">
        <v>226.9</v>
      </c>
      <c r="AC39">
        <v>0</v>
      </c>
      <c r="AD39">
        <v>0</v>
      </c>
      <c r="AE39">
        <v>0</v>
      </c>
      <c r="AF39">
        <v>143.61000000000001</v>
      </c>
      <c r="AG39">
        <v>0</v>
      </c>
      <c r="AH39">
        <v>0</v>
      </c>
      <c r="AI39">
        <v>1</v>
      </c>
      <c r="AJ39">
        <v>1.58</v>
      </c>
      <c r="AK39">
        <v>1</v>
      </c>
      <c r="AL39">
        <v>1</v>
      </c>
      <c r="AM39">
        <v>2</v>
      </c>
      <c r="AN39">
        <v>0</v>
      </c>
      <c r="AO39">
        <v>0</v>
      </c>
      <c r="AP39">
        <v>0</v>
      </c>
      <c r="AQ39">
        <v>1</v>
      </c>
      <c r="AR39">
        <v>0</v>
      </c>
      <c r="AS39" t="s">
        <v>3</v>
      </c>
      <c r="AT39">
        <v>0.06</v>
      </c>
      <c r="AU39" t="s">
        <v>3</v>
      </c>
      <c r="AV39">
        <v>1</v>
      </c>
      <c r="AW39">
        <v>2</v>
      </c>
      <c r="AX39">
        <v>73954647</v>
      </c>
      <c r="AY39">
        <v>1</v>
      </c>
      <c r="AZ39">
        <v>0</v>
      </c>
      <c r="BA39">
        <v>40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8.6166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0</v>
      </c>
      <c r="BR39">
        <v>8.6166</v>
      </c>
      <c r="BS39">
        <v>0</v>
      </c>
      <c r="BT39">
        <v>0</v>
      </c>
      <c r="BU39">
        <v>0</v>
      </c>
      <c r="BV39">
        <v>0</v>
      </c>
      <c r="BW39">
        <v>1</v>
      </c>
      <c r="CV39">
        <v>0</v>
      </c>
      <c r="CW39">
        <f>ROUND(Y39*Source!I74*DO39,7)</f>
        <v>0</v>
      </c>
      <c r="CX39">
        <f>ROUND(Y39*Source!I74,7)</f>
        <v>1.0200000000000001E-2</v>
      </c>
      <c r="CY39">
        <f t="shared" si="15"/>
        <v>226.9</v>
      </c>
      <c r="CZ39">
        <f t="shared" si="16"/>
        <v>143.61000000000001</v>
      </c>
      <c r="DA39">
        <f t="shared" si="17"/>
        <v>1.58</v>
      </c>
      <c r="DB39">
        <f t="shared" si="20"/>
        <v>8.6199999999999992</v>
      </c>
      <c r="DC39">
        <f t="shared" si="21"/>
        <v>0</v>
      </c>
      <c r="DD39" t="s">
        <v>3</v>
      </c>
      <c r="DE39" t="s">
        <v>3</v>
      </c>
      <c r="DF39">
        <f t="shared" si="14"/>
        <v>0</v>
      </c>
      <c r="DG39">
        <f>ROUND(ROUND(AF39*AJ39,2)*CX39,2)</f>
        <v>2.31</v>
      </c>
      <c r="DH39">
        <f t="shared" si="22"/>
        <v>0</v>
      </c>
      <c r="DI39">
        <f t="shared" si="23"/>
        <v>0</v>
      </c>
      <c r="DJ39">
        <f t="shared" si="18"/>
        <v>2.31</v>
      </c>
      <c r="DK39">
        <v>0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ROW(Source!A74)</f>
        <v>74</v>
      </c>
      <c r="B40">
        <v>73953415</v>
      </c>
      <c r="C40">
        <v>73954637</v>
      </c>
      <c r="D40">
        <v>72589309</v>
      </c>
      <c r="E40">
        <v>1</v>
      </c>
      <c r="F40">
        <v>1</v>
      </c>
      <c r="G40">
        <v>1</v>
      </c>
      <c r="H40">
        <v>3</v>
      </c>
      <c r="I40" t="s">
        <v>450</v>
      </c>
      <c r="J40" t="s">
        <v>451</v>
      </c>
      <c r="K40" t="s">
        <v>452</v>
      </c>
      <c r="L40">
        <v>1339</v>
      </c>
      <c r="N40">
        <v>1007</v>
      </c>
      <c r="O40" t="s">
        <v>48</v>
      </c>
      <c r="P40" t="s">
        <v>48</v>
      </c>
      <c r="Q40">
        <v>1</v>
      </c>
      <c r="W40">
        <v>0</v>
      </c>
      <c r="X40">
        <v>481898357</v>
      </c>
      <c r="Y40">
        <f t="shared" si="19"/>
        <v>0.43</v>
      </c>
      <c r="AA40">
        <v>115.4</v>
      </c>
      <c r="AB40">
        <v>0</v>
      </c>
      <c r="AC40">
        <v>0</v>
      </c>
      <c r="AD40">
        <v>0</v>
      </c>
      <c r="AE40">
        <v>115.4</v>
      </c>
      <c r="AF40">
        <v>0</v>
      </c>
      <c r="AG40">
        <v>0</v>
      </c>
      <c r="AH40">
        <v>0</v>
      </c>
      <c r="AI40">
        <v>1</v>
      </c>
      <c r="AJ40">
        <v>1</v>
      </c>
      <c r="AK40">
        <v>1</v>
      </c>
      <c r="AL40">
        <v>1</v>
      </c>
      <c r="AM40">
        <v>-2</v>
      </c>
      <c r="AN40">
        <v>0</v>
      </c>
      <c r="AO40">
        <v>0</v>
      </c>
      <c r="AP40">
        <v>0</v>
      </c>
      <c r="AQ40">
        <v>1</v>
      </c>
      <c r="AR40">
        <v>0</v>
      </c>
      <c r="AS40" t="s">
        <v>3</v>
      </c>
      <c r="AT40">
        <v>0.43</v>
      </c>
      <c r="AU40" t="s">
        <v>3</v>
      </c>
      <c r="AV40">
        <v>0</v>
      </c>
      <c r="AW40">
        <v>2</v>
      </c>
      <c r="AX40">
        <v>73954648</v>
      </c>
      <c r="AY40">
        <v>1</v>
      </c>
      <c r="AZ40">
        <v>0</v>
      </c>
      <c r="BA40">
        <v>41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49.622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</v>
      </c>
      <c r="BQ40">
        <v>49.622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CV40">
        <v>0</v>
      </c>
      <c r="CW40">
        <v>0</v>
      </c>
      <c r="CX40">
        <f>ROUND(Y40*Source!I74,7)</f>
        <v>7.3099999999999998E-2</v>
      </c>
      <c r="CY40">
        <f t="shared" ref="CY40:CY47" si="24">AA40</f>
        <v>115.4</v>
      </c>
      <c r="CZ40">
        <f t="shared" ref="CZ40:CZ47" si="25">AE40</f>
        <v>115.4</v>
      </c>
      <c r="DA40">
        <f t="shared" ref="DA40:DA47" si="26">AI40</f>
        <v>1</v>
      </c>
      <c r="DB40">
        <f t="shared" si="20"/>
        <v>49.62</v>
      </c>
      <c r="DC40">
        <f t="shared" si="21"/>
        <v>0</v>
      </c>
      <c r="DD40" t="s">
        <v>3</v>
      </c>
      <c r="DE40" t="s">
        <v>3</v>
      </c>
      <c r="DF40">
        <f t="shared" si="14"/>
        <v>8.44</v>
      </c>
      <c r="DG40">
        <f t="shared" ref="DG40:DG48" si="27">ROUND(ROUND(AF40,2)*CX40,2)</f>
        <v>0</v>
      </c>
      <c r="DH40">
        <f t="shared" si="22"/>
        <v>0</v>
      </c>
      <c r="DI40">
        <f t="shared" si="23"/>
        <v>0</v>
      </c>
      <c r="DJ40">
        <f t="shared" ref="DJ40:DJ47" si="28">DF40</f>
        <v>8.44</v>
      </c>
      <c r="DK40">
        <v>1</v>
      </c>
      <c r="DL40" t="s">
        <v>3</v>
      </c>
      <c r="DM40">
        <v>0</v>
      </c>
      <c r="DN40" t="s">
        <v>3</v>
      </c>
      <c r="DO40">
        <v>0</v>
      </c>
    </row>
    <row r="41" spans="1:119" x14ac:dyDescent="0.2">
      <c r="A41">
        <f>ROW(Source!A74)</f>
        <v>74</v>
      </c>
      <c r="B41">
        <v>73953415</v>
      </c>
      <c r="C41">
        <v>73954637</v>
      </c>
      <c r="D41">
        <v>72589313</v>
      </c>
      <c r="E41">
        <v>1</v>
      </c>
      <c r="F41">
        <v>1</v>
      </c>
      <c r="G41">
        <v>1</v>
      </c>
      <c r="H41">
        <v>3</v>
      </c>
      <c r="I41" t="s">
        <v>453</v>
      </c>
      <c r="J41" t="s">
        <v>454</v>
      </c>
      <c r="K41" t="s">
        <v>455</v>
      </c>
      <c r="L41">
        <v>1346</v>
      </c>
      <c r="N41">
        <v>1009</v>
      </c>
      <c r="O41" t="s">
        <v>411</v>
      </c>
      <c r="P41" t="s">
        <v>411</v>
      </c>
      <c r="Q41">
        <v>1</v>
      </c>
      <c r="W41">
        <v>0</v>
      </c>
      <c r="X41">
        <v>-306130479</v>
      </c>
      <c r="Y41">
        <f t="shared" si="19"/>
        <v>0.09</v>
      </c>
      <c r="AA41">
        <v>57.52</v>
      </c>
      <c r="AB41">
        <v>0</v>
      </c>
      <c r="AC41">
        <v>0</v>
      </c>
      <c r="AD41">
        <v>0</v>
      </c>
      <c r="AE41">
        <v>41.38</v>
      </c>
      <c r="AF41">
        <v>0</v>
      </c>
      <c r="AG41">
        <v>0</v>
      </c>
      <c r="AH41">
        <v>0</v>
      </c>
      <c r="AI41">
        <v>1.39</v>
      </c>
      <c r="AJ41">
        <v>1</v>
      </c>
      <c r="AK41">
        <v>1</v>
      </c>
      <c r="AL41">
        <v>1</v>
      </c>
      <c r="AM41">
        <v>2</v>
      </c>
      <c r="AN41">
        <v>0</v>
      </c>
      <c r="AO41">
        <v>0</v>
      </c>
      <c r="AP41">
        <v>0</v>
      </c>
      <c r="AQ41">
        <v>1</v>
      </c>
      <c r="AR41">
        <v>0</v>
      </c>
      <c r="AS41" t="s">
        <v>3</v>
      </c>
      <c r="AT41">
        <v>0.09</v>
      </c>
      <c r="AU41" t="s">
        <v>3</v>
      </c>
      <c r="AV41">
        <v>0</v>
      </c>
      <c r="AW41">
        <v>2</v>
      </c>
      <c r="AX41">
        <v>73954649</v>
      </c>
      <c r="AY41">
        <v>1</v>
      </c>
      <c r="AZ41">
        <v>0</v>
      </c>
      <c r="BA41">
        <v>42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3.7242000000000002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3.7242000000000002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CV41">
        <v>0</v>
      </c>
      <c r="CW41">
        <v>0</v>
      </c>
      <c r="CX41">
        <f>ROUND(Y41*Source!I74,7)</f>
        <v>1.5299999999999999E-2</v>
      </c>
      <c r="CY41">
        <f t="shared" si="24"/>
        <v>57.52</v>
      </c>
      <c r="CZ41">
        <f t="shared" si="25"/>
        <v>41.38</v>
      </c>
      <c r="DA41">
        <f t="shared" si="26"/>
        <v>1.39</v>
      </c>
      <c r="DB41">
        <f t="shared" si="20"/>
        <v>3.72</v>
      </c>
      <c r="DC41">
        <f t="shared" si="21"/>
        <v>0</v>
      </c>
      <c r="DD41" t="s">
        <v>3</v>
      </c>
      <c r="DE41" t="s">
        <v>3</v>
      </c>
      <c r="DF41">
        <f>ROUND(ROUND(AE41*AI41,2)*CX41,2)</f>
        <v>0.88</v>
      </c>
      <c r="DG41">
        <f t="shared" si="27"/>
        <v>0</v>
      </c>
      <c r="DH41">
        <f t="shared" si="22"/>
        <v>0</v>
      </c>
      <c r="DI41">
        <f t="shared" si="23"/>
        <v>0</v>
      </c>
      <c r="DJ41">
        <f t="shared" si="28"/>
        <v>0.88</v>
      </c>
      <c r="DK41">
        <v>0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ROW(Source!A74)</f>
        <v>74</v>
      </c>
      <c r="B42">
        <v>73953415</v>
      </c>
      <c r="C42">
        <v>73954637</v>
      </c>
      <c r="D42">
        <v>72591353</v>
      </c>
      <c r="E42">
        <v>1</v>
      </c>
      <c r="F42">
        <v>1</v>
      </c>
      <c r="G42">
        <v>1</v>
      </c>
      <c r="H42">
        <v>3</v>
      </c>
      <c r="I42" t="s">
        <v>404</v>
      </c>
      <c r="J42" t="s">
        <v>405</v>
      </c>
      <c r="K42" t="s">
        <v>406</v>
      </c>
      <c r="L42">
        <v>1383</v>
      </c>
      <c r="N42">
        <v>1013</v>
      </c>
      <c r="O42" t="s">
        <v>407</v>
      </c>
      <c r="P42" t="s">
        <v>407</v>
      </c>
      <c r="Q42">
        <v>1</v>
      </c>
      <c r="W42">
        <v>0</v>
      </c>
      <c r="X42">
        <v>86017057</v>
      </c>
      <c r="Y42">
        <f t="shared" si="19"/>
        <v>0.54400000000000004</v>
      </c>
      <c r="AA42">
        <v>9.5500000000000007</v>
      </c>
      <c r="AB42">
        <v>0</v>
      </c>
      <c r="AC42">
        <v>0</v>
      </c>
      <c r="AD42">
        <v>0</v>
      </c>
      <c r="AE42">
        <v>9.5500000000000007</v>
      </c>
      <c r="AF42">
        <v>0</v>
      </c>
      <c r="AG42">
        <v>0</v>
      </c>
      <c r="AH42">
        <v>0</v>
      </c>
      <c r="AI42">
        <v>1</v>
      </c>
      <c r="AJ42">
        <v>1</v>
      </c>
      <c r="AK42">
        <v>1</v>
      </c>
      <c r="AL42">
        <v>1</v>
      </c>
      <c r="AM42">
        <v>-2</v>
      </c>
      <c r="AN42">
        <v>0</v>
      </c>
      <c r="AO42">
        <v>0</v>
      </c>
      <c r="AP42">
        <v>0</v>
      </c>
      <c r="AQ42">
        <v>1</v>
      </c>
      <c r="AR42">
        <v>0</v>
      </c>
      <c r="AS42" t="s">
        <v>3</v>
      </c>
      <c r="AT42">
        <v>0.54400000000000004</v>
      </c>
      <c r="AU42" t="s">
        <v>3</v>
      </c>
      <c r="AV42">
        <v>0</v>
      </c>
      <c r="AW42">
        <v>2</v>
      </c>
      <c r="AX42">
        <v>73954650</v>
      </c>
      <c r="AY42">
        <v>1</v>
      </c>
      <c r="AZ42">
        <v>0</v>
      </c>
      <c r="BA42">
        <v>43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5.1952000000000007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5.1952000000000007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CV42">
        <v>0</v>
      </c>
      <c r="CW42">
        <v>0</v>
      </c>
      <c r="CX42">
        <f>ROUND(Y42*Source!I74,7)</f>
        <v>9.2480000000000007E-2</v>
      </c>
      <c r="CY42">
        <f t="shared" si="24"/>
        <v>9.5500000000000007</v>
      </c>
      <c r="CZ42">
        <f t="shared" si="25"/>
        <v>9.5500000000000007</v>
      </c>
      <c r="DA42">
        <f t="shared" si="26"/>
        <v>1</v>
      </c>
      <c r="DB42">
        <f t="shared" si="20"/>
        <v>5.2</v>
      </c>
      <c r="DC42">
        <f t="shared" si="21"/>
        <v>0</v>
      </c>
      <c r="DD42" t="s">
        <v>3</v>
      </c>
      <c r="DE42" t="s">
        <v>3</v>
      </c>
      <c r="DF42">
        <f>ROUND(ROUND(AE42,2)*CX42,2)</f>
        <v>0.88</v>
      </c>
      <c r="DG42">
        <f t="shared" si="27"/>
        <v>0</v>
      </c>
      <c r="DH42">
        <f t="shared" si="22"/>
        <v>0</v>
      </c>
      <c r="DI42">
        <f t="shared" si="23"/>
        <v>0</v>
      </c>
      <c r="DJ42">
        <f t="shared" si="28"/>
        <v>0.88</v>
      </c>
      <c r="DK42">
        <v>1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ROW(Source!A74)</f>
        <v>74</v>
      </c>
      <c r="B43">
        <v>73953415</v>
      </c>
      <c r="C43">
        <v>73954637</v>
      </c>
      <c r="D43">
        <v>72592092</v>
      </c>
      <c r="E43">
        <v>1</v>
      </c>
      <c r="F43">
        <v>1</v>
      </c>
      <c r="G43">
        <v>1</v>
      </c>
      <c r="H43">
        <v>3</v>
      </c>
      <c r="I43" t="s">
        <v>408</v>
      </c>
      <c r="J43" t="s">
        <v>409</v>
      </c>
      <c r="K43" t="s">
        <v>410</v>
      </c>
      <c r="L43">
        <v>1346</v>
      </c>
      <c r="N43">
        <v>1009</v>
      </c>
      <c r="O43" t="s">
        <v>411</v>
      </c>
      <c r="P43" t="s">
        <v>411</v>
      </c>
      <c r="Q43">
        <v>1</v>
      </c>
      <c r="W43">
        <v>0</v>
      </c>
      <c r="X43">
        <v>743240341</v>
      </c>
      <c r="Y43">
        <f t="shared" si="19"/>
        <v>0.7</v>
      </c>
      <c r="AA43">
        <v>131.85</v>
      </c>
      <c r="AB43">
        <v>0</v>
      </c>
      <c r="AC43">
        <v>0</v>
      </c>
      <c r="AD43">
        <v>0</v>
      </c>
      <c r="AE43">
        <v>131.85</v>
      </c>
      <c r="AF43">
        <v>0</v>
      </c>
      <c r="AG43">
        <v>0</v>
      </c>
      <c r="AH43">
        <v>0</v>
      </c>
      <c r="AI43">
        <v>1</v>
      </c>
      <c r="AJ43">
        <v>1</v>
      </c>
      <c r="AK43">
        <v>1</v>
      </c>
      <c r="AL43">
        <v>1</v>
      </c>
      <c r="AM43">
        <v>-2</v>
      </c>
      <c r="AN43">
        <v>0</v>
      </c>
      <c r="AO43">
        <v>0</v>
      </c>
      <c r="AP43">
        <v>0</v>
      </c>
      <c r="AQ43">
        <v>1</v>
      </c>
      <c r="AR43">
        <v>0</v>
      </c>
      <c r="AS43" t="s">
        <v>3</v>
      </c>
      <c r="AT43">
        <v>0.7</v>
      </c>
      <c r="AU43" t="s">
        <v>3</v>
      </c>
      <c r="AV43">
        <v>0</v>
      </c>
      <c r="AW43">
        <v>2</v>
      </c>
      <c r="AX43">
        <v>73954651</v>
      </c>
      <c r="AY43">
        <v>1</v>
      </c>
      <c r="AZ43">
        <v>0</v>
      </c>
      <c r="BA43">
        <v>44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92.294999999999987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92.294999999999987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</v>
      </c>
      <c r="CV43">
        <v>0</v>
      </c>
      <c r="CW43">
        <v>0</v>
      </c>
      <c r="CX43">
        <f>ROUND(Y43*Source!I74,7)</f>
        <v>0.11899999999999999</v>
      </c>
      <c r="CY43">
        <f t="shared" si="24"/>
        <v>131.85</v>
      </c>
      <c r="CZ43">
        <f t="shared" si="25"/>
        <v>131.85</v>
      </c>
      <c r="DA43">
        <f t="shared" si="26"/>
        <v>1</v>
      </c>
      <c r="DB43">
        <f t="shared" si="20"/>
        <v>92.3</v>
      </c>
      <c r="DC43">
        <f t="shared" si="21"/>
        <v>0</v>
      </c>
      <c r="DD43" t="s">
        <v>3</v>
      </c>
      <c r="DE43" t="s">
        <v>3</v>
      </c>
      <c r="DF43">
        <f>ROUND(ROUND(AE43,2)*CX43,2)</f>
        <v>15.69</v>
      </c>
      <c r="DG43">
        <f t="shared" si="27"/>
        <v>0</v>
      </c>
      <c r="DH43">
        <f t="shared" si="22"/>
        <v>0</v>
      </c>
      <c r="DI43">
        <f t="shared" si="23"/>
        <v>0</v>
      </c>
      <c r="DJ43">
        <f t="shared" si="28"/>
        <v>15.69</v>
      </c>
      <c r="DK43">
        <v>1</v>
      </c>
      <c r="DL43" t="s">
        <v>3</v>
      </c>
      <c r="DM43">
        <v>0</v>
      </c>
      <c r="DN43" t="s">
        <v>3</v>
      </c>
      <c r="DO43">
        <v>0</v>
      </c>
    </row>
    <row r="44" spans="1:119" x14ac:dyDescent="0.2">
      <c r="A44">
        <f>ROW(Source!A74)</f>
        <v>74</v>
      </c>
      <c r="B44">
        <v>73953415</v>
      </c>
      <c r="C44">
        <v>73954637</v>
      </c>
      <c r="D44">
        <v>72595006</v>
      </c>
      <c r="E44">
        <v>1</v>
      </c>
      <c r="F44">
        <v>1</v>
      </c>
      <c r="G44">
        <v>1</v>
      </c>
      <c r="H44">
        <v>3</v>
      </c>
      <c r="I44" t="s">
        <v>145</v>
      </c>
      <c r="J44" t="s">
        <v>147</v>
      </c>
      <c r="K44" t="s">
        <v>146</v>
      </c>
      <c r="L44">
        <v>1339</v>
      </c>
      <c r="N44">
        <v>1007</v>
      </c>
      <c r="O44" t="s">
        <v>48</v>
      </c>
      <c r="P44" t="s">
        <v>48</v>
      </c>
      <c r="Q44">
        <v>1</v>
      </c>
      <c r="W44">
        <v>0</v>
      </c>
      <c r="X44">
        <v>1140672670</v>
      </c>
      <c r="Y44">
        <f t="shared" si="19"/>
        <v>0.57999999999999996</v>
      </c>
      <c r="AA44">
        <v>6914.48</v>
      </c>
      <c r="AB44">
        <v>0</v>
      </c>
      <c r="AC44">
        <v>0</v>
      </c>
      <c r="AD44">
        <v>0</v>
      </c>
      <c r="AE44">
        <v>4768.6099999999997</v>
      </c>
      <c r="AF44">
        <v>0</v>
      </c>
      <c r="AG44">
        <v>0</v>
      </c>
      <c r="AH44">
        <v>0</v>
      </c>
      <c r="AI44">
        <v>1.45</v>
      </c>
      <c r="AJ44">
        <v>1</v>
      </c>
      <c r="AK44">
        <v>1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 t="s">
        <v>3</v>
      </c>
      <c r="AT44">
        <v>0.57999999999999996</v>
      </c>
      <c r="AU44" t="s">
        <v>3</v>
      </c>
      <c r="AV44">
        <v>0</v>
      </c>
      <c r="AW44">
        <v>1</v>
      </c>
      <c r="AX44">
        <v>-1</v>
      </c>
      <c r="AY44">
        <v>0</v>
      </c>
      <c r="AZ44">
        <v>0</v>
      </c>
      <c r="BA44" t="s">
        <v>3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CV44">
        <v>0</v>
      </c>
      <c r="CW44">
        <v>0</v>
      </c>
      <c r="CX44">
        <f>ROUND(Y44*Source!I74,7)</f>
        <v>9.8599999999999993E-2</v>
      </c>
      <c r="CY44">
        <f t="shared" si="24"/>
        <v>6914.48</v>
      </c>
      <c r="CZ44">
        <f t="shared" si="25"/>
        <v>4768.6099999999997</v>
      </c>
      <c r="DA44">
        <f t="shared" si="26"/>
        <v>1.45</v>
      </c>
      <c r="DB44">
        <f t="shared" si="20"/>
        <v>2765.79</v>
      </c>
      <c r="DC44">
        <f t="shared" si="21"/>
        <v>0</v>
      </c>
      <c r="DD44" t="s">
        <v>3</v>
      </c>
      <c r="DE44" t="s">
        <v>3</v>
      </c>
      <c r="DF44">
        <f>ROUND(ROUND(AE44*AI44,2)*CX44,2)</f>
        <v>681.77</v>
      </c>
      <c r="DG44">
        <f t="shared" si="27"/>
        <v>0</v>
      </c>
      <c r="DH44">
        <f t="shared" si="22"/>
        <v>0</v>
      </c>
      <c r="DI44">
        <f t="shared" si="23"/>
        <v>0</v>
      </c>
      <c r="DJ44">
        <f t="shared" si="28"/>
        <v>681.77</v>
      </c>
      <c r="DK44">
        <v>0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ROW(Source!A74)</f>
        <v>74</v>
      </c>
      <c r="B45">
        <v>73953415</v>
      </c>
      <c r="C45">
        <v>73954637</v>
      </c>
      <c r="D45">
        <v>72600496</v>
      </c>
      <c r="E45">
        <v>1</v>
      </c>
      <c r="F45">
        <v>1</v>
      </c>
      <c r="G45">
        <v>1</v>
      </c>
      <c r="H45">
        <v>3</v>
      </c>
      <c r="I45" t="s">
        <v>456</v>
      </c>
      <c r="J45" t="s">
        <v>457</v>
      </c>
      <c r="K45" t="s">
        <v>458</v>
      </c>
      <c r="L45">
        <v>1348</v>
      </c>
      <c r="N45">
        <v>1009</v>
      </c>
      <c r="O45" t="s">
        <v>248</v>
      </c>
      <c r="P45" t="s">
        <v>248</v>
      </c>
      <c r="Q45">
        <v>1000</v>
      </c>
      <c r="W45">
        <v>0</v>
      </c>
      <c r="X45">
        <v>299569694</v>
      </c>
      <c r="Y45">
        <f t="shared" si="19"/>
        <v>2.8000000000000001E-2</v>
      </c>
      <c r="AA45">
        <v>47531.7</v>
      </c>
      <c r="AB45">
        <v>0</v>
      </c>
      <c r="AC45">
        <v>0</v>
      </c>
      <c r="AD45">
        <v>0</v>
      </c>
      <c r="AE45">
        <v>47531.7</v>
      </c>
      <c r="AF45">
        <v>0</v>
      </c>
      <c r="AG45">
        <v>0</v>
      </c>
      <c r="AH45">
        <v>0</v>
      </c>
      <c r="AI45">
        <v>1</v>
      </c>
      <c r="AJ45">
        <v>1</v>
      </c>
      <c r="AK45">
        <v>1</v>
      </c>
      <c r="AL45">
        <v>1</v>
      </c>
      <c r="AM45">
        <v>-2</v>
      </c>
      <c r="AN45">
        <v>0</v>
      </c>
      <c r="AO45">
        <v>0</v>
      </c>
      <c r="AP45">
        <v>0</v>
      </c>
      <c r="AQ45">
        <v>1</v>
      </c>
      <c r="AR45">
        <v>0</v>
      </c>
      <c r="AS45" t="s">
        <v>3</v>
      </c>
      <c r="AT45">
        <v>2.8000000000000001E-2</v>
      </c>
      <c r="AU45" t="s">
        <v>3</v>
      </c>
      <c r="AV45">
        <v>0</v>
      </c>
      <c r="AW45">
        <v>2</v>
      </c>
      <c r="AX45">
        <v>73954653</v>
      </c>
      <c r="AY45">
        <v>1</v>
      </c>
      <c r="AZ45">
        <v>0</v>
      </c>
      <c r="BA45">
        <v>46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1330.8876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</v>
      </c>
      <c r="BQ45">
        <v>1330.8876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CV45">
        <v>0</v>
      </c>
      <c r="CW45">
        <v>0</v>
      </c>
      <c r="CX45">
        <f>ROUND(Y45*Source!I74,7)</f>
        <v>4.7600000000000003E-3</v>
      </c>
      <c r="CY45">
        <f t="shared" si="24"/>
        <v>47531.7</v>
      </c>
      <c r="CZ45">
        <f t="shared" si="25"/>
        <v>47531.7</v>
      </c>
      <c r="DA45">
        <f t="shared" si="26"/>
        <v>1</v>
      </c>
      <c r="DB45">
        <f t="shared" si="20"/>
        <v>1330.89</v>
      </c>
      <c r="DC45">
        <f t="shared" si="21"/>
        <v>0</v>
      </c>
      <c r="DD45" t="s">
        <v>3</v>
      </c>
      <c r="DE45" t="s">
        <v>3</v>
      </c>
      <c r="DF45">
        <f>ROUND(ROUND(AE45,2)*CX45,2)</f>
        <v>226.25</v>
      </c>
      <c r="DG45">
        <f t="shared" si="27"/>
        <v>0</v>
      </c>
      <c r="DH45">
        <f t="shared" si="22"/>
        <v>0</v>
      </c>
      <c r="DI45">
        <f t="shared" si="23"/>
        <v>0</v>
      </c>
      <c r="DJ45">
        <f t="shared" si="28"/>
        <v>226.25</v>
      </c>
      <c r="DK45">
        <v>1</v>
      </c>
      <c r="DL45" t="s">
        <v>3</v>
      </c>
      <c r="DM45">
        <v>0</v>
      </c>
      <c r="DN45" t="s">
        <v>3</v>
      </c>
      <c r="DO45">
        <v>0</v>
      </c>
    </row>
    <row r="46" spans="1:119" x14ac:dyDescent="0.2">
      <c r="A46">
        <f>ROW(Source!A74)</f>
        <v>74</v>
      </c>
      <c r="B46">
        <v>73953415</v>
      </c>
      <c r="C46">
        <v>73954637</v>
      </c>
      <c r="D46">
        <v>72610564</v>
      </c>
      <c r="E46">
        <v>1</v>
      </c>
      <c r="F46">
        <v>1</v>
      </c>
      <c r="G46">
        <v>1</v>
      </c>
      <c r="H46">
        <v>3</v>
      </c>
      <c r="I46" t="s">
        <v>459</v>
      </c>
      <c r="J46" t="s">
        <v>460</v>
      </c>
      <c r="K46" t="s">
        <v>461</v>
      </c>
      <c r="L46">
        <v>1346</v>
      </c>
      <c r="N46">
        <v>1009</v>
      </c>
      <c r="O46" t="s">
        <v>411</v>
      </c>
      <c r="P46" t="s">
        <v>411</v>
      </c>
      <c r="Q46">
        <v>1</v>
      </c>
      <c r="W46">
        <v>0</v>
      </c>
      <c r="X46">
        <v>1281262615</v>
      </c>
      <c r="Y46">
        <f t="shared" si="19"/>
        <v>1.2</v>
      </c>
      <c r="AA46">
        <v>109.08</v>
      </c>
      <c r="AB46">
        <v>0</v>
      </c>
      <c r="AC46">
        <v>0</v>
      </c>
      <c r="AD46">
        <v>0</v>
      </c>
      <c r="AE46">
        <v>61.28</v>
      </c>
      <c r="AF46">
        <v>0</v>
      </c>
      <c r="AG46">
        <v>0</v>
      </c>
      <c r="AH46">
        <v>0</v>
      </c>
      <c r="AI46">
        <v>1.78</v>
      </c>
      <c r="AJ46">
        <v>1</v>
      </c>
      <c r="AK46">
        <v>1</v>
      </c>
      <c r="AL46">
        <v>1</v>
      </c>
      <c r="AM46">
        <v>2</v>
      </c>
      <c r="AN46">
        <v>0</v>
      </c>
      <c r="AO46">
        <v>0</v>
      </c>
      <c r="AP46">
        <v>0</v>
      </c>
      <c r="AQ46">
        <v>1</v>
      </c>
      <c r="AR46">
        <v>0</v>
      </c>
      <c r="AS46" t="s">
        <v>3</v>
      </c>
      <c r="AT46">
        <v>1.2</v>
      </c>
      <c r="AU46" t="s">
        <v>3</v>
      </c>
      <c r="AV46">
        <v>0</v>
      </c>
      <c r="AW46">
        <v>2</v>
      </c>
      <c r="AX46">
        <v>73954654</v>
      </c>
      <c r="AY46">
        <v>1</v>
      </c>
      <c r="AZ46">
        <v>0</v>
      </c>
      <c r="BA46">
        <v>47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73.536000000000001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73.536000000000001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CV46">
        <v>0</v>
      </c>
      <c r="CW46">
        <v>0</v>
      </c>
      <c r="CX46">
        <f>ROUND(Y46*Source!I74,7)</f>
        <v>0.20399999999999999</v>
      </c>
      <c r="CY46">
        <f t="shared" si="24"/>
        <v>109.08</v>
      </c>
      <c r="CZ46">
        <f t="shared" si="25"/>
        <v>61.28</v>
      </c>
      <c r="DA46">
        <f t="shared" si="26"/>
        <v>1.78</v>
      </c>
      <c r="DB46">
        <f t="shared" si="20"/>
        <v>73.540000000000006</v>
      </c>
      <c r="DC46">
        <f t="shared" si="21"/>
        <v>0</v>
      </c>
      <c r="DD46" t="s">
        <v>3</v>
      </c>
      <c r="DE46" t="s">
        <v>3</v>
      </c>
      <c r="DF46">
        <f>ROUND(ROUND(AE46*AI46,2)*CX46,2)</f>
        <v>22.25</v>
      </c>
      <c r="DG46">
        <f t="shared" si="27"/>
        <v>0</v>
      </c>
      <c r="DH46">
        <f t="shared" si="22"/>
        <v>0</v>
      </c>
      <c r="DI46">
        <f t="shared" si="23"/>
        <v>0</v>
      </c>
      <c r="DJ46">
        <f t="shared" si="28"/>
        <v>22.25</v>
      </c>
      <c r="DK46">
        <v>0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ROW(Source!A74)</f>
        <v>74</v>
      </c>
      <c r="B47">
        <v>73953415</v>
      </c>
      <c r="C47">
        <v>73954637</v>
      </c>
      <c r="D47">
        <v>72629456</v>
      </c>
      <c r="E47">
        <v>1</v>
      </c>
      <c r="F47">
        <v>1</v>
      </c>
      <c r="G47">
        <v>1</v>
      </c>
      <c r="H47">
        <v>3</v>
      </c>
      <c r="I47" t="s">
        <v>149</v>
      </c>
      <c r="J47" t="s">
        <v>151</v>
      </c>
      <c r="K47" t="s">
        <v>150</v>
      </c>
      <c r="L47">
        <v>1301</v>
      </c>
      <c r="N47">
        <v>1003</v>
      </c>
      <c r="O47" t="s">
        <v>122</v>
      </c>
      <c r="P47" t="s">
        <v>122</v>
      </c>
      <c r="Q47">
        <v>1</v>
      </c>
      <c r="W47">
        <v>0</v>
      </c>
      <c r="X47">
        <v>-2088083797</v>
      </c>
      <c r="Y47">
        <f t="shared" si="19"/>
        <v>52.941176499999997</v>
      </c>
      <c r="AA47">
        <v>132.91</v>
      </c>
      <c r="AB47">
        <v>0</v>
      </c>
      <c r="AC47">
        <v>0</v>
      </c>
      <c r="AD47">
        <v>0</v>
      </c>
      <c r="AE47">
        <v>151.03</v>
      </c>
      <c r="AF47">
        <v>0</v>
      </c>
      <c r="AG47">
        <v>0</v>
      </c>
      <c r="AH47">
        <v>0</v>
      </c>
      <c r="AI47">
        <v>0.88</v>
      </c>
      <c r="AJ47">
        <v>1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 t="s">
        <v>3</v>
      </c>
      <c r="AT47">
        <v>52.941176499999997</v>
      </c>
      <c r="AU47" t="s">
        <v>3</v>
      </c>
      <c r="AV47">
        <v>0</v>
      </c>
      <c r="AW47">
        <v>1</v>
      </c>
      <c r="AX47">
        <v>-1</v>
      </c>
      <c r="AY47">
        <v>0</v>
      </c>
      <c r="AZ47">
        <v>0</v>
      </c>
      <c r="BA47" t="s">
        <v>3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CV47">
        <v>0</v>
      </c>
      <c r="CW47">
        <v>0</v>
      </c>
      <c r="CX47">
        <f>ROUND(Y47*Source!I74,7)</f>
        <v>9</v>
      </c>
      <c r="CY47">
        <f t="shared" si="24"/>
        <v>132.91</v>
      </c>
      <c r="CZ47">
        <f t="shared" si="25"/>
        <v>151.03</v>
      </c>
      <c r="DA47">
        <f t="shared" si="26"/>
        <v>0.88</v>
      </c>
      <c r="DB47">
        <f t="shared" si="20"/>
        <v>7995.71</v>
      </c>
      <c r="DC47">
        <f t="shared" si="21"/>
        <v>0</v>
      </c>
      <c r="DD47" t="s">
        <v>3</v>
      </c>
      <c r="DE47" t="s">
        <v>3</v>
      </c>
      <c r="DF47">
        <f>ROUND(ROUND(AE47*AI47,2)*CX47,2)</f>
        <v>1196.19</v>
      </c>
      <c r="DG47">
        <f t="shared" si="27"/>
        <v>0</v>
      </c>
      <c r="DH47">
        <f t="shared" si="22"/>
        <v>0</v>
      </c>
      <c r="DI47">
        <f t="shared" si="23"/>
        <v>0</v>
      </c>
      <c r="DJ47">
        <f t="shared" si="28"/>
        <v>1196.19</v>
      </c>
      <c r="DK47">
        <v>0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ROW(Source!A77)</f>
        <v>77</v>
      </c>
      <c r="B48">
        <v>73953415</v>
      </c>
      <c r="C48">
        <v>73953797</v>
      </c>
      <c r="D48">
        <v>72518646</v>
      </c>
      <c r="E48">
        <v>119</v>
      </c>
      <c r="F48">
        <v>1</v>
      </c>
      <c r="G48">
        <v>1</v>
      </c>
      <c r="H48">
        <v>1</v>
      </c>
      <c r="I48" t="s">
        <v>462</v>
      </c>
      <c r="J48" t="s">
        <v>3</v>
      </c>
      <c r="K48" t="s">
        <v>463</v>
      </c>
      <c r="L48">
        <v>1191</v>
      </c>
      <c r="N48">
        <v>1013</v>
      </c>
      <c r="O48" t="s">
        <v>359</v>
      </c>
      <c r="P48" t="s">
        <v>359</v>
      </c>
      <c r="Q48">
        <v>1</v>
      </c>
      <c r="W48">
        <v>0</v>
      </c>
      <c r="X48">
        <v>-1105933552</v>
      </c>
      <c r="Y48">
        <f t="shared" si="19"/>
        <v>0.32</v>
      </c>
      <c r="AA48">
        <v>0</v>
      </c>
      <c r="AB48">
        <v>0</v>
      </c>
      <c r="AC48">
        <v>0</v>
      </c>
      <c r="AD48">
        <v>386.8</v>
      </c>
      <c r="AE48">
        <v>0</v>
      </c>
      <c r="AF48">
        <v>0</v>
      </c>
      <c r="AG48">
        <v>0</v>
      </c>
      <c r="AH48">
        <v>386.8</v>
      </c>
      <c r="AI48">
        <v>1</v>
      </c>
      <c r="AJ48">
        <v>1</v>
      </c>
      <c r="AK48">
        <v>1</v>
      </c>
      <c r="AL48">
        <v>1</v>
      </c>
      <c r="AM48">
        <v>-2</v>
      </c>
      <c r="AN48">
        <v>0</v>
      </c>
      <c r="AO48">
        <v>0</v>
      </c>
      <c r="AP48">
        <v>1</v>
      </c>
      <c r="AQ48">
        <v>1</v>
      </c>
      <c r="AR48">
        <v>0</v>
      </c>
      <c r="AS48" t="s">
        <v>3</v>
      </c>
      <c r="AT48">
        <v>0.32</v>
      </c>
      <c r="AU48" t="s">
        <v>3</v>
      </c>
      <c r="AV48">
        <v>1</v>
      </c>
      <c r="AW48">
        <v>2</v>
      </c>
      <c r="AX48">
        <v>73953804</v>
      </c>
      <c r="AY48">
        <v>1</v>
      </c>
      <c r="AZ48">
        <v>0</v>
      </c>
      <c r="BA48">
        <v>49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123.77600000000001</v>
      </c>
      <c r="BN48">
        <v>0.32</v>
      </c>
      <c r="BO48">
        <v>0</v>
      </c>
      <c r="BP48">
        <v>1</v>
      </c>
      <c r="BQ48">
        <v>0</v>
      </c>
      <c r="BR48">
        <v>0</v>
      </c>
      <c r="BS48">
        <v>0</v>
      </c>
      <c r="BT48">
        <v>123.77600000000001</v>
      </c>
      <c r="BU48">
        <v>0.32</v>
      </c>
      <c r="BV48">
        <v>0</v>
      </c>
      <c r="BW48">
        <v>1</v>
      </c>
      <c r="CU48">
        <f>ROUND(AT48*Source!I77*AH48*AL48,2)</f>
        <v>495.1</v>
      </c>
      <c r="CV48">
        <f>ROUND(Y48*Source!I77,7)</f>
        <v>1.28</v>
      </c>
      <c r="CW48">
        <v>0</v>
      </c>
      <c r="CX48">
        <f>ROUND(Y48*Source!I77,7)</f>
        <v>1.28</v>
      </c>
      <c r="CY48">
        <f>AD48</f>
        <v>386.8</v>
      </c>
      <c r="CZ48">
        <f>AH48</f>
        <v>386.8</v>
      </c>
      <c r="DA48">
        <f>AL48</f>
        <v>1</v>
      </c>
      <c r="DB48">
        <f t="shared" si="20"/>
        <v>123.78</v>
      </c>
      <c r="DC48">
        <f t="shared" si="21"/>
        <v>0</v>
      </c>
      <c r="DD48" t="s">
        <v>3</v>
      </c>
      <c r="DE48" t="s">
        <v>3</v>
      </c>
      <c r="DF48">
        <f>ROUND(ROUND(AE48,2)*CX48,2)</f>
        <v>0</v>
      </c>
      <c r="DG48">
        <f t="shared" si="27"/>
        <v>0</v>
      </c>
      <c r="DH48">
        <f t="shared" si="22"/>
        <v>0</v>
      </c>
      <c r="DI48">
        <f t="shared" si="23"/>
        <v>495.1</v>
      </c>
      <c r="DJ48">
        <f>DI48</f>
        <v>495.1</v>
      </c>
      <c r="DK48">
        <v>1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ROW(Source!A77)</f>
        <v>77</v>
      </c>
      <c r="B49">
        <v>73953415</v>
      </c>
      <c r="C49">
        <v>73953797</v>
      </c>
      <c r="D49">
        <v>72647089</v>
      </c>
      <c r="E49">
        <v>1</v>
      </c>
      <c r="F49">
        <v>1</v>
      </c>
      <c r="G49">
        <v>1</v>
      </c>
      <c r="H49">
        <v>2</v>
      </c>
      <c r="I49" t="s">
        <v>464</v>
      </c>
      <c r="J49" t="s">
        <v>465</v>
      </c>
      <c r="K49" t="s">
        <v>466</v>
      </c>
      <c r="L49">
        <v>1368</v>
      </c>
      <c r="N49">
        <v>1011</v>
      </c>
      <c r="O49" t="s">
        <v>363</v>
      </c>
      <c r="P49" t="s">
        <v>363</v>
      </c>
      <c r="Q49">
        <v>1</v>
      </c>
      <c r="W49">
        <v>0</v>
      </c>
      <c r="X49">
        <v>860887119</v>
      </c>
      <c r="Y49">
        <f t="shared" si="19"/>
        <v>0.19</v>
      </c>
      <c r="AA49">
        <v>0</v>
      </c>
      <c r="AB49">
        <v>13.81</v>
      </c>
      <c r="AC49">
        <v>0</v>
      </c>
      <c r="AD49">
        <v>0</v>
      </c>
      <c r="AE49">
        <v>0</v>
      </c>
      <c r="AF49">
        <v>8.6300000000000008</v>
      </c>
      <c r="AG49">
        <v>0</v>
      </c>
      <c r="AH49">
        <v>0</v>
      </c>
      <c r="AI49">
        <v>1</v>
      </c>
      <c r="AJ49">
        <v>1.6</v>
      </c>
      <c r="AK49">
        <v>1</v>
      </c>
      <c r="AL49">
        <v>1</v>
      </c>
      <c r="AM49">
        <v>2</v>
      </c>
      <c r="AN49">
        <v>0</v>
      </c>
      <c r="AO49">
        <v>0</v>
      </c>
      <c r="AP49">
        <v>1</v>
      </c>
      <c r="AQ49">
        <v>1</v>
      </c>
      <c r="AR49">
        <v>0</v>
      </c>
      <c r="AS49" t="s">
        <v>3</v>
      </c>
      <c r="AT49">
        <v>0.19</v>
      </c>
      <c r="AU49" t="s">
        <v>3</v>
      </c>
      <c r="AV49">
        <v>1</v>
      </c>
      <c r="AW49">
        <v>2</v>
      </c>
      <c r="AX49">
        <v>73953805</v>
      </c>
      <c r="AY49">
        <v>1</v>
      </c>
      <c r="AZ49">
        <v>0</v>
      </c>
      <c r="BA49">
        <v>50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1.6397000000000002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0</v>
      </c>
      <c r="BR49">
        <v>1.6397000000000002</v>
      </c>
      <c r="BS49">
        <v>0</v>
      </c>
      <c r="BT49">
        <v>0</v>
      </c>
      <c r="BU49">
        <v>0</v>
      </c>
      <c r="BV49">
        <v>0</v>
      </c>
      <c r="BW49">
        <v>1</v>
      </c>
      <c r="CV49">
        <v>0</v>
      </c>
      <c r="CW49">
        <f>ROUND(Y49*Source!I77*DO49,7)</f>
        <v>0</v>
      </c>
      <c r="CX49">
        <f>ROUND(Y49*Source!I77,7)</f>
        <v>0.76</v>
      </c>
      <c r="CY49">
        <f>AB49</f>
        <v>13.81</v>
      </c>
      <c r="CZ49">
        <f>AF49</f>
        <v>8.6300000000000008</v>
      </c>
      <c r="DA49">
        <f>AJ49</f>
        <v>1.6</v>
      </c>
      <c r="DB49">
        <f t="shared" si="20"/>
        <v>1.64</v>
      </c>
      <c r="DC49">
        <f t="shared" si="21"/>
        <v>0</v>
      </c>
      <c r="DD49" t="s">
        <v>3</v>
      </c>
      <c r="DE49" t="s">
        <v>3</v>
      </c>
      <c r="DF49">
        <f>ROUND(ROUND(AE49,2)*CX49,2)</f>
        <v>0</v>
      </c>
      <c r="DG49">
        <f>ROUND(ROUND(AF49*AJ49,2)*CX49,2)</f>
        <v>10.5</v>
      </c>
      <c r="DH49">
        <f t="shared" si="22"/>
        <v>0</v>
      </c>
      <c r="DI49">
        <f t="shared" si="23"/>
        <v>0</v>
      </c>
      <c r="DJ49">
        <f>DG49+DH49</f>
        <v>10.5</v>
      </c>
      <c r="DK49">
        <v>0</v>
      </c>
      <c r="DL49" t="s">
        <v>3</v>
      </c>
      <c r="DM49">
        <v>0</v>
      </c>
      <c r="DN49" t="s">
        <v>3</v>
      </c>
      <c r="DO49">
        <v>0</v>
      </c>
    </row>
    <row r="50" spans="1:119" x14ac:dyDescent="0.2">
      <c r="A50">
        <f>ROW(Source!A77)</f>
        <v>77</v>
      </c>
      <c r="B50">
        <v>73953415</v>
      </c>
      <c r="C50">
        <v>73953797</v>
      </c>
      <c r="D50">
        <v>72647111</v>
      </c>
      <c r="E50">
        <v>1</v>
      </c>
      <c r="F50">
        <v>1</v>
      </c>
      <c r="G50">
        <v>1</v>
      </c>
      <c r="H50">
        <v>2</v>
      </c>
      <c r="I50" t="s">
        <v>467</v>
      </c>
      <c r="J50" t="s">
        <v>468</v>
      </c>
      <c r="K50" t="s">
        <v>469</v>
      </c>
      <c r="L50">
        <v>1368</v>
      </c>
      <c r="N50">
        <v>1011</v>
      </c>
      <c r="O50" t="s">
        <v>363</v>
      </c>
      <c r="P50" t="s">
        <v>363</v>
      </c>
      <c r="Q50">
        <v>1</v>
      </c>
      <c r="W50">
        <v>0</v>
      </c>
      <c r="X50">
        <v>1391482573</v>
      </c>
      <c r="Y50">
        <f t="shared" si="19"/>
        <v>0.33</v>
      </c>
      <c r="AA50">
        <v>0</v>
      </c>
      <c r="AB50">
        <v>4.34</v>
      </c>
      <c r="AC50">
        <v>0</v>
      </c>
      <c r="AD50">
        <v>0</v>
      </c>
      <c r="AE50">
        <v>0</v>
      </c>
      <c r="AF50">
        <v>3.34</v>
      </c>
      <c r="AG50">
        <v>0</v>
      </c>
      <c r="AH50">
        <v>0</v>
      </c>
      <c r="AI50">
        <v>1</v>
      </c>
      <c r="AJ50">
        <v>1.3</v>
      </c>
      <c r="AK50">
        <v>1</v>
      </c>
      <c r="AL50">
        <v>1</v>
      </c>
      <c r="AM50">
        <v>2</v>
      </c>
      <c r="AN50">
        <v>0</v>
      </c>
      <c r="AO50">
        <v>0</v>
      </c>
      <c r="AP50">
        <v>1</v>
      </c>
      <c r="AQ50">
        <v>1</v>
      </c>
      <c r="AR50">
        <v>0</v>
      </c>
      <c r="AS50" t="s">
        <v>3</v>
      </c>
      <c r="AT50">
        <v>0.33</v>
      </c>
      <c r="AU50" t="s">
        <v>3</v>
      </c>
      <c r="AV50">
        <v>1</v>
      </c>
      <c r="AW50">
        <v>2</v>
      </c>
      <c r="AX50">
        <v>73953806</v>
      </c>
      <c r="AY50">
        <v>1</v>
      </c>
      <c r="AZ50">
        <v>0</v>
      </c>
      <c r="BA50">
        <v>51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1.1022000000000001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0</v>
      </c>
      <c r="BR50">
        <v>1.1022000000000001</v>
      </c>
      <c r="BS50">
        <v>0</v>
      </c>
      <c r="BT50">
        <v>0</v>
      </c>
      <c r="BU50">
        <v>0</v>
      </c>
      <c r="BV50">
        <v>0</v>
      </c>
      <c r="BW50">
        <v>1</v>
      </c>
      <c r="CV50">
        <v>0</v>
      </c>
      <c r="CW50">
        <f>ROUND(Y50*Source!I77*DO50,7)</f>
        <v>0</v>
      </c>
      <c r="CX50">
        <f>ROUND(Y50*Source!I77,7)</f>
        <v>1.32</v>
      </c>
      <c r="CY50">
        <f>AB50</f>
        <v>4.34</v>
      </c>
      <c r="CZ50">
        <f>AF50</f>
        <v>3.34</v>
      </c>
      <c r="DA50">
        <f>AJ50</f>
        <v>1.3</v>
      </c>
      <c r="DB50">
        <f t="shared" si="20"/>
        <v>1.1000000000000001</v>
      </c>
      <c r="DC50">
        <f t="shared" si="21"/>
        <v>0</v>
      </c>
      <c r="DD50" t="s">
        <v>3</v>
      </c>
      <c r="DE50" t="s">
        <v>3</v>
      </c>
      <c r="DF50">
        <f>ROUND(ROUND(AE50,2)*CX50,2)</f>
        <v>0</v>
      </c>
      <c r="DG50">
        <f>ROUND(ROUND(AF50*AJ50,2)*CX50,2)</f>
        <v>5.73</v>
      </c>
      <c r="DH50">
        <f t="shared" si="22"/>
        <v>0</v>
      </c>
      <c r="DI50">
        <f t="shared" si="23"/>
        <v>0</v>
      </c>
      <c r="DJ50">
        <f>DG50+DH50</f>
        <v>5.73</v>
      </c>
      <c r="DK50">
        <v>0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ROW(Source!A77)</f>
        <v>77</v>
      </c>
      <c r="B51">
        <v>73953415</v>
      </c>
      <c r="C51">
        <v>73953797</v>
      </c>
      <c r="D51">
        <v>72589277</v>
      </c>
      <c r="E51">
        <v>1</v>
      </c>
      <c r="F51">
        <v>1</v>
      </c>
      <c r="G51">
        <v>1</v>
      </c>
      <c r="H51">
        <v>3</v>
      </c>
      <c r="I51" t="s">
        <v>470</v>
      </c>
      <c r="J51" t="s">
        <v>471</v>
      </c>
      <c r="K51" t="s">
        <v>472</v>
      </c>
      <c r="L51">
        <v>1346</v>
      </c>
      <c r="N51">
        <v>1009</v>
      </c>
      <c r="O51" t="s">
        <v>411</v>
      </c>
      <c r="P51" t="s">
        <v>411</v>
      </c>
      <c r="Q51">
        <v>1</v>
      </c>
      <c r="W51">
        <v>0</v>
      </c>
      <c r="X51">
        <v>478489546</v>
      </c>
      <c r="Y51">
        <f t="shared" si="19"/>
        <v>0.02</v>
      </c>
      <c r="AA51">
        <v>1002.64</v>
      </c>
      <c r="AB51">
        <v>0</v>
      </c>
      <c r="AC51">
        <v>0</v>
      </c>
      <c r="AD51">
        <v>0</v>
      </c>
      <c r="AE51">
        <v>596.80999999999995</v>
      </c>
      <c r="AF51">
        <v>0</v>
      </c>
      <c r="AG51">
        <v>0</v>
      </c>
      <c r="AH51">
        <v>0</v>
      </c>
      <c r="AI51">
        <v>1.68</v>
      </c>
      <c r="AJ51">
        <v>1</v>
      </c>
      <c r="AK51">
        <v>1</v>
      </c>
      <c r="AL51">
        <v>1</v>
      </c>
      <c r="AM51">
        <v>2</v>
      </c>
      <c r="AN51">
        <v>0</v>
      </c>
      <c r="AO51">
        <v>0</v>
      </c>
      <c r="AP51">
        <v>1</v>
      </c>
      <c r="AQ51">
        <v>1</v>
      </c>
      <c r="AR51">
        <v>0</v>
      </c>
      <c r="AS51" t="s">
        <v>3</v>
      </c>
      <c r="AT51">
        <v>0.02</v>
      </c>
      <c r="AU51" t="s">
        <v>3</v>
      </c>
      <c r="AV51">
        <v>0</v>
      </c>
      <c r="AW51">
        <v>2</v>
      </c>
      <c r="AX51">
        <v>73953807</v>
      </c>
      <c r="AY51">
        <v>1</v>
      </c>
      <c r="AZ51">
        <v>0</v>
      </c>
      <c r="BA51">
        <v>52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11.936199999999999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11.936199999999999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CV51">
        <v>0</v>
      </c>
      <c r="CW51">
        <v>0</v>
      </c>
      <c r="CX51">
        <f>ROUND(Y51*Source!I77,7)</f>
        <v>0.08</v>
      </c>
      <c r="CY51">
        <f>AA51</f>
        <v>1002.64</v>
      </c>
      <c r="CZ51">
        <f>AE51</f>
        <v>596.80999999999995</v>
      </c>
      <c r="DA51">
        <f>AI51</f>
        <v>1.68</v>
      </c>
      <c r="DB51">
        <f t="shared" si="20"/>
        <v>11.94</v>
      </c>
      <c r="DC51">
        <f t="shared" si="21"/>
        <v>0</v>
      </c>
      <c r="DD51" t="s">
        <v>3</v>
      </c>
      <c r="DE51" t="s">
        <v>3</v>
      </c>
      <c r="DF51">
        <f>ROUND(ROUND(AE51*AI51,2)*CX51,2)</f>
        <v>80.209999999999994</v>
      </c>
      <c r="DG51">
        <f t="shared" ref="DG51:DG57" si="29">ROUND(ROUND(AF51,2)*CX51,2)</f>
        <v>0</v>
      </c>
      <c r="DH51">
        <f t="shared" si="22"/>
        <v>0</v>
      </c>
      <c r="DI51">
        <f t="shared" si="23"/>
        <v>0</v>
      </c>
      <c r="DJ51">
        <f>DF51</f>
        <v>80.209999999999994</v>
      </c>
      <c r="DK51">
        <v>0</v>
      </c>
      <c r="DL51" t="s">
        <v>3</v>
      </c>
      <c r="DM51">
        <v>0</v>
      </c>
      <c r="DN51" t="s">
        <v>3</v>
      </c>
      <c r="DO51">
        <v>0</v>
      </c>
    </row>
    <row r="52" spans="1:119" x14ac:dyDescent="0.2">
      <c r="A52">
        <f>ROW(Source!A77)</f>
        <v>77</v>
      </c>
      <c r="B52">
        <v>73953415</v>
      </c>
      <c r="C52">
        <v>73953797</v>
      </c>
      <c r="D52">
        <v>72594025</v>
      </c>
      <c r="E52">
        <v>1</v>
      </c>
      <c r="F52">
        <v>1</v>
      </c>
      <c r="G52">
        <v>1</v>
      </c>
      <c r="H52">
        <v>3</v>
      </c>
      <c r="I52" t="s">
        <v>473</v>
      </c>
      <c r="J52" t="s">
        <v>474</v>
      </c>
      <c r="K52" t="s">
        <v>475</v>
      </c>
      <c r="L52">
        <v>1346</v>
      </c>
      <c r="N52">
        <v>1009</v>
      </c>
      <c r="O52" t="s">
        <v>411</v>
      </c>
      <c r="P52" t="s">
        <v>411</v>
      </c>
      <c r="Q52">
        <v>1</v>
      </c>
      <c r="W52">
        <v>0</v>
      </c>
      <c r="X52">
        <v>-1493600273</v>
      </c>
      <c r="Y52">
        <f t="shared" si="19"/>
        <v>2E-3</v>
      </c>
      <c r="AA52">
        <v>91.46</v>
      </c>
      <c r="AB52">
        <v>0</v>
      </c>
      <c r="AC52">
        <v>0</v>
      </c>
      <c r="AD52">
        <v>0</v>
      </c>
      <c r="AE52">
        <v>56.11</v>
      </c>
      <c r="AF52">
        <v>0</v>
      </c>
      <c r="AG52">
        <v>0</v>
      </c>
      <c r="AH52">
        <v>0</v>
      </c>
      <c r="AI52">
        <v>1.63</v>
      </c>
      <c r="AJ52">
        <v>1</v>
      </c>
      <c r="AK52">
        <v>1</v>
      </c>
      <c r="AL52">
        <v>1</v>
      </c>
      <c r="AM52">
        <v>2</v>
      </c>
      <c r="AN52">
        <v>0</v>
      </c>
      <c r="AO52">
        <v>0</v>
      </c>
      <c r="AP52">
        <v>1</v>
      </c>
      <c r="AQ52">
        <v>1</v>
      </c>
      <c r="AR52">
        <v>0</v>
      </c>
      <c r="AS52" t="s">
        <v>3</v>
      </c>
      <c r="AT52">
        <v>2E-3</v>
      </c>
      <c r="AU52" t="s">
        <v>3</v>
      </c>
      <c r="AV52">
        <v>0</v>
      </c>
      <c r="AW52">
        <v>2</v>
      </c>
      <c r="AX52">
        <v>73953808</v>
      </c>
      <c r="AY52">
        <v>1</v>
      </c>
      <c r="AZ52">
        <v>0</v>
      </c>
      <c r="BA52">
        <v>53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0.11222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</v>
      </c>
      <c r="BQ52">
        <v>0.11222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  <c r="CV52">
        <v>0</v>
      </c>
      <c r="CW52">
        <v>0</v>
      </c>
      <c r="CX52">
        <f>ROUND(Y52*Source!I77,7)</f>
        <v>8.0000000000000002E-3</v>
      </c>
      <c r="CY52">
        <f>AA52</f>
        <v>91.46</v>
      </c>
      <c r="CZ52">
        <f>AE52</f>
        <v>56.11</v>
      </c>
      <c r="DA52">
        <f>AI52</f>
        <v>1.63</v>
      </c>
      <c r="DB52">
        <f t="shared" si="20"/>
        <v>0.11</v>
      </c>
      <c r="DC52">
        <f t="shared" si="21"/>
        <v>0</v>
      </c>
      <c r="DD52" t="s">
        <v>3</v>
      </c>
      <c r="DE52" t="s">
        <v>3</v>
      </c>
      <c r="DF52">
        <f>ROUND(ROUND(AE52*AI52,2)*CX52,2)</f>
        <v>0.73</v>
      </c>
      <c r="DG52">
        <f t="shared" si="29"/>
        <v>0</v>
      </c>
      <c r="DH52">
        <f t="shared" si="22"/>
        <v>0</v>
      </c>
      <c r="DI52">
        <f t="shared" si="23"/>
        <v>0</v>
      </c>
      <c r="DJ52">
        <f>DF52</f>
        <v>0.73</v>
      </c>
      <c r="DK52">
        <v>0</v>
      </c>
      <c r="DL52" t="s">
        <v>3</v>
      </c>
      <c r="DM52">
        <v>0</v>
      </c>
      <c r="DN52" t="s">
        <v>3</v>
      </c>
      <c r="DO52">
        <v>0</v>
      </c>
    </row>
    <row r="53" spans="1:119" x14ac:dyDescent="0.2">
      <c r="A53">
        <f>ROW(Source!A77)</f>
        <v>77</v>
      </c>
      <c r="B53">
        <v>73953415</v>
      </c>
      <c r="C53">
        <v>73953797</v>
      </c>
      <c r="D53">
        <v>72635290</v>
      </c>
      <c r="E53">
        <v>1</v>
      </c>
      <c r="F53">
        <v>1</v>
      </c>
      <c r="G53">
        <v>1</v>
      </c>
      <c r="H53">
        <v>3</v>
      </c>
      <c r="I53" t="s">
        <v>158</v>
      </c>
      <c r="J53" t="s">
        <v>160</v>
      </c>
      <c r="K53" t="s">
        <v>159</v>
      </c>
      <c r="L53">
        <v>1371</v>
      </c>
      <c r="N53">
        <v>1013</v>
      </c>
      <c r="O53" t="s">
        <v>130</v>
      </c>
      <c r="P53" t="s">
        <v>130</v>
      </c>
      <c r="Q53">
        <v>1</v>
      </c>
      <c r="W53">
        <v>0</v>
      </c>
      <c r="X53">
        <v>-669902663</v>
      </c>
      <c r="Y53">
        <f t="shared" si="19"/>
        <v>1</v>
      </c>
      <c r="AA53">
        <v>262.69</v>
      </c>
      <c r="AB53">
        <v>0</v>
      </c>
      <c r="AC53">
        <v>0</v>
      </c>
      <c r="AD53">
        <v>0</v>
      </c>
      <c r="AE53">
        <v>206.84</v>
      </c>
      <c r="AF53">
        <v>0</v>
      </c>
      <c r="AG53">
        <v>0</v>
      </c>
      <c r="AH53">
        <v>0</v>
      </c>
      <c r="AI53">
        <v>1.27</v>
      </c>
      <c r="AJ53">
        <v>1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1</v>
      </c>
      <c r="AQ53">
        <v>0</v>
      </c>
      <c r="AR53">
        <v>0</v>
      </c>
      <c r="AS53" t="s">
        <v>3</v>
      </c>
      <c r="AT53">
        <v>1</v>
      </c>
      <c r="AU53" t="s">
        <v>3</v>
      </c>
      <c r="AV53">
        <v>0</v>
      </c>
      <c r="AW53">
        <v>1</v>
      </c>
      <c r="AX53">
        <v>-1</v>
      </c>
      <c r="AY53">
        <v>0</v>
      </c>
      <c r="AZ53">
        <v>0</v>
      </c>
      <c r="BA53" t="s">
        <v>3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CV53">
        <v>0</v>
      </c>
      <c r="CW53">
        <v>0</v>
      </c>
      <c r="CX53">
        <f>ROUND(Y53*Source!I77,7)</f>
        <v>4</v>
      </c>
      <c r="CY53">
        <f>AA53</f>
        <v>262.69</v>
      </c>
      <c r="CZ53">
        <f>AE53</f>
        <v>206.84</v>
      </c>
      <c r="DA53">
        <f>AI53</f>
        <v>1.27</v>
      </c>
      <c r="DB53">
        <f t="shared" si="20"/>
        <v>206.84</v>
      </c>
      <c r="DC53">
        <f t="shared" si="21"/>
        <v>0</v>
      </c>
      <c r="DD53" t="s">
        <v>3</v>
      </c>
      <c r="DE53" t="s">
        <v>3</v>
      </c>
      <c r="DF53">
        <f>ROUND(ROUND(AE53*AI53,2)*CX53,2)</f>
        <v>1050.76</v>
      </c>
      <c r="DG53">
        <f t="shared" si="29"/>
        <v>0</v>
      </c>
      <c r="DH53">
        <f t="shared" si="22"/>
        <v>0</v>
      </c>
      <c r="DI53">
        <f t="shared" si="23"/>
        <v>0</v>
      </c>
      <c r="DJ53">
        <f>DF53</f>
        <v>1050.76</v>
      </c>
      <c r="DK53">
        <v>0</v>
      </c>
      <c r="DL53" t="s">
        <v>3</v>
      </c>
      <c r="DM53">
        <v>0</v>
      </c>
      <c r="DN53" t="s">
        <v>3</v>
      </c>
      <c r="DO53">
        <v>0</v>
      </c>
    </row>
    <row r="54" spans="1:119" x14ac:dyDescent="0.2">
      <c r="A54">
        <f>ROW(Source!A79)</f>
        <v>79</v>
      </c>
      <c r="B54">
        <v>73953415</v>
      </c>
      <c r="C54">
        <v>73953834</v>
      </c>
      <c r="D54">
        <v>72518787</v>
      </c>
      <c r="E54">
        <v>119</v>
      </c>
      <c r="F54">
        <v>1</v>
      </c>
      <c r="G54">
        <v>1</v>
      </c>
      <c r="H54">
        <v>1</v>
      </c>
      <c r="I54" t="s">
        <v>476</v>
      </c>
      <c r="J54" t="s">
        <v>3</v>
      </c>
      <c r="K54" t="s">
        <v>477</v>
      </c>
      <c r="L54">
        <v>1369</v>
      </c>
      <c r="N54">
        <v>1013</v>
      </c>
      <c r="O54" t="s">
        <v>478</v>
      </c>
      <c r="P54" t="s">
        <v>478</v>
      </c>
      <c r="Q54">
        <v>1</v>
      </c>
      <c r="W54">
        <v>0</v>
      </c>
      <c r="X54">
        <v>-236928766</v>
      </c>
      <c r="Y54">
        <f t="shared" si="19"/>
        <v>0.1</v>
      </c>
      <c r="AA54">
        <v>0</v>
      </c>
      <c r="AB54">
        <v>0</v>
      </c>
      <c r="AC54">
        <v>0</v>
      </c>
      <c r="AD54">
        <v>325.57</v>
      </c>
      <c r="AE54">
        <v>0</v>
      </c>
      <c r="AF54">
        <v>0</v>
      </c>
      <c r="AG54">
        <v>0</v>
      </c>
      <c r="AH54">
        <v>325.57</v>
      </c>
      <c r="AI54">
        <v>1</v>
      </c>
      <c r="AJ54">
        <v>1</v>
      </c>
      <c r="AK54">
        <v>1</v>
      </c>
      <c r="AL54">
        <v>1</v>
      </c>
      <c r="AM54">
        <v>-2</v>
      </c>
      <c r="AN54">
        <v>0</v>
      </c>
      <c r="AO54">
        <v>0</v>
      </c>
      <c r="AP54">
        <v>1</v>
      </c>
      <c r="AQ54">
        <v>1</v>
      </c>
      <c r="AR54">
        <v>0</v>
      </c>
      <c r="AS54" t="s">
        <v>3</v>
      </c>
      <c r="AT54">
        <v>0.1</v>
      </c>
      <c r="AU54" t="s">
        <v>3</v>
      </c>
      <c r="AV54">
        <v>1</v>
      </c>
      <c r="AW54">
        <v>2</v>
      </c>
      <c r="AX54">
        <v>73953845</v>
      </c>
      <c r="AY54">
        <v>1</v>
      </c>
      <c r="AZ54">
        <v>0</v>
      </c>
      <c r="BA54">
        <v>55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32.557000000000002</v>
      </c>
      <c r="BN54">
        <v>0.1</v>
      </c>
      <c r="BO54">
        <v>0</v>
      </c>
      <c r="BP54">
        <v>1</v>
      </c>
      <c r="BQ54">
        <v>0</v>
      </c>
      <c r="BR54">
        <v>0</v>
      </c>
      <c r="BS54">
        <v>0</v>
      </c>
      <c r="BT54">
        <v>32.557000000000002</v>
      </c>
      <c r="BU54">
        <v>0.1</v>
      </c>
      <c r="BV54">
        <v>0</v>
      </c>
      <c r="BW54">
        <v>1</v>
      </c>
      <c r="CU54">
        <f>ROUND(AT54*Source!I79*AH54*AL54,2)</f>
        <v>3.26</v>
      </c>
      <c r="CV54">
        <f>ROUND(Y54*Source!I79,7)</f>
        <v>0.01</v>
      </c>
      <c r="CW54">
        <v>0</v>
      </c>
      <c r="CX54">
        <f>ROUND(Y54*Source!I79,7)</f>
        <v>0.01</v>
      </c>
      <c r="CY54">
        <f>AD54</f>
        <v>325.57</v>
      </c>
      <c r="CZ54">
        <f>AH54</f>
        <v>325.57</v>
      </c>
      <c r="DA54">
        <f>AL54</f>
        <v>1</v>
      </c>
      <c r="DB54">
        <f t="shared" si="20"/>
        <v>32.56</v>
      </c>
      <c r="DC54">
        <f t="shared" si="21"/>
        <v>0</v>
      </c>
      <c r="DD54" t="s">
        <v>3</v>
      </c>
      <c r="DE54" t="s">
        <v>3</v>
      </c>
      <c r="DF54">
        <f t="shared" ref="DF54:DF61" si="30">ROUND(ROUND(AE54,2)*CX54,2)</f>
        <v>0</v>
      </c>
      <c r="DG54">
        <f t="shared" si="29"/>
        <v>0</v>
      </c>
      <c r="DH54">
        <f t="shared" si="22"/>
        <v>0</v>
      </c>
      <c r="DI54">
        <f t="shared" si="23"/>
        <v>3.26</v>
      </c>
      <c r="DJ54">
        <f>DI54</f>
        <v>3.26</v>
      </c>
      <c r="DK54">
        <v>1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ROW(Source!A79)</f>
        <v>79</v>
      </c>
      <c r="B55">
        <v>73953415</v>
      </c>
      <c r="C55">
        <v>73953834</v>
      </c>
      <c r="D55">
        <v>72518791</v>
      </c>
      <c r="E55">
        <v>119</v>
      </c>
      <c r="F55">
        <v>1</v>
      </c>
      <c r="G55">
        <v>1</v>
      </c>
      <c r="H55">
        <v>1</v>
      </c>
      <c r="I55" t="s">
        <v>479</v>
      </c>
      <c r="J55" t="s">
        <v>3</v>
      </c>
      <c r="K55" t="s">
        <v>480</v>
      </c>
      <c r="L55">
        <v>1369</v>
      </c>
      <c r="N55">
        <v>1013</v>
      </c>
      <c r="O55" t="s">
        <v>478</v>
      </c>
      <c r="P55" t="s">
        <v>478</v>
      </c>
      <c r="Q55">
        <v>1</v>
      </c>
      <c r="W55">
        <v>0</v>
      </c>
      <c r="X55">
        <v>-512803540</v>
      </c>
      <c r="Y55">
        <f t="shared" si="19"/>
        <v>69.83</v>
      </c>
      <c r="AA55">
        <v>0</v>
      </c>
      <c r="AB55">
        <v>0</v>
      </c>
      <c r="AC55">
        <v>0</v>
      </c>
      <c r="AD55">
        <v>400.24</v>
      </c>
      <c r="AE55">
        <v>0</v>
      </c>
      <c r="AF55">
        <v>0</v>
      </c>
      <c r="AG55">
        <v>0</v>
      </c>
      <c r="AH55">
        <v>400.24</v>
      </c>
      <c r="AI55">
        <v>1</v>
      </c>
      <c r="AJ55">
        <v>1</v>
      </c>
      <c r="AK55">
        <v>1</v>
      </c>
      <c r="AL55">
        <v>1</v>
      </c>
      <c r="AM55">
        <v>-2</v>
      </c>
      <c r="AN55">
        <v>0</v>
      </c>
      <c r="AO55">
        <v>0</v>
      </c>
      <c r="AP55">
        <v>1</v>
      </c>
      <c r="AQ55">
        <v>1</v>
      </c>
      <c r="AR55">
        <v>0</v>
      </c>
      <c r="AS55" t="s">
        <v>3</v>
      </c>
      <c r="AT55">
        <v>69.83</v>
      </c>
      <c r="AU55" t="s">
        <v>3</v>
      </c>
      <c r="AV55">
        <v>1</v>
      </c>
      <c r="AW55">
        <v>2</v>
      </c>
      <c r="AX55">
        <v>73953846</v>
      </c>
      <c r="AY55">
        <v>1</v>
      </c>
      <c r="AZ55">
        <v>0</v>
      </c>
      <c r="BA55">
        <v>56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27948.7592</v>
      </c>
      <c r="BN55">
        <v>69.83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27948.7592</v>
      </c>
      <c r="BU55">
        <v>69.83</v>
      </c>
      <c r="BV55">
        <v>0</v>
      </c>
      <c r="BW55">
        <v>1</v>
      </c>
      <c r="CU55">
        <f>ROUND(AT55*Source!I79*AH55*AL55,2)</f>
        <v>2794.88</v>
      </c>
      <c r="CV55">
        <f>ROUND(Y55*Source!I79,7)</f>
        <v>6.9829999999999997</v>
      </c>
      <c r="CW55">
        <v>0</v>
      </c>
      <c r="CX55">
        <f>ROUND(Y55*Source!I79,7)</f>
        <v>6.9829999999999997</v>
      </c>
      <c r="CY55">
        <f>AD55</f>
        <v>400.24</v>
      </c>
      <c r="CZ55">
        <f>AH55</f>
        <v>400.24</v>
      </c>
      <c r="DA55">
        <f>AL55</f>
        <v>1</v>
      </c>
      <c r="DB55">
        <f t="shared" si="20"/>
        <v>27948.76</v>
      </c>
      <c r="DC55">
        <f t="shared" si="21"/>
        <v>0</v>
      </c>
      <c r="DD55" t="s">
        <v>3</v>
      </c>
      <c r="DE55" t="s">
        <v>3</v>
      </c>
      <c r="DF55">
        <f t="shared" si="30"/>
        <v>0</v>
      </c>
      <c r="DG55">
        <f t="shared" si="29"/>
        <v>0</v>
      </c>
      <c r="DH55">
        <f t="shared" si="22"/>
        <v>0</v>
      </c>
      <c r="DI55">
        <f t="shared" si="23"/>
        <v>2794.88</v>
      </c>
      <c r="DJ55">
        <f>DI55</f>
        <v>2794.88</v>
      </c>
      <c r="DK55">
        <v>1</v>
      </c>
      <c r="DL55" t="s">
        <v>3</v>
      </c>
      <c r="DM55">
        <v>0</v>
      </c>
      <c r="DN55" t="s">
        <v>3</v>
      </c>
      <c r="DO55">
        <v>0</v>
      </c>
    </row>
    <row r="56" spans="1:119" x14ac:dyDescent="0.2">
      <c r="A56">
        <f>ROW(Source!A79)</f>
        <v>79</v>
      </c>
      <c r="B56">
        <v>73953415</v>
      </c>
      <c r="C56">
        <v>73953834</v>
      </c>
      <c r="D56">
        <v>72518826</v>
      </c>
      <c r="E56">
        <v>119</v>
      </c>
      <c r="F56">
        <v>1</v>
      </c>
      <c r="G56">
        <v>1</v>
      </c>
      <c r="H56">
        <v>1</v>
      </c>
      <c r="I56" t="s">
        <v>357</v>
      </c>
      <c r="J56" t="s">
        <v>3</v>
      </c>
      <c r="K56" t="s">
        <v>358</v>
      </c>
      <c r="L56">
        <v>1191</v>
      </c>
      <c r="N56">
        <v>1013</v>
      </c>
      <c r="O56" t="s">
        <v>359</v>
      </c>
      <c r="P56" t="s">
        <v>359</v>
      </c>
      <c r="Q56">
        <v>1</v>
      </c>
      <c r="W56">
        <v>0</v>
      </c>
      <c r="X56">
        <v>-1417349443</v>
      </c>
      <c r="Y56">
        <f t="shared" si="19"/>
        <v>0.09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1</v>
      </c>
      <c r="AK56">
        <v>1</v>
      </c>
      <c r="AL56">
        <v>1</v>
      </c>
      <c r="AM56">
        <v>-2</v>
      </c>
      <c r="AN56">
        <v>0</v>
      </c>
      <c r="AO56">
        <v>0</v>
      </c>
      <c r="AP56">
        <v>1</v>
      </c>
      <c r="AQ56">
        <v>1</v>
      </c>
      <c r="AR56">
        <v>0</v>
      </c>
      <c r="AS56" t="s">
        <v>3</v>
      </c>
      <c r="AT56">
        <v>0.09</v>
      </c>
      <c r="AU56" t="s">
        <v>3</v>
      </c>
      <c r="AV56">
        <v>2</v>
      </c>
      <c r="AW56">
        <v>2</v>
      </c>
      <c r="AX56">
        <v>73953847</v>
      </c>
      <c r="AY56">
        <v>1</v>
      </c>
      <c r="AZ56">
        <v>0</v>
      </c>
      <c r="BA56">
        <v>57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CV56">
        <v>0</v>
      </c>
      <c r="CW56">
        <v>0</v>
      </c>
      <c r="CX56">
        <f>ROUND(Y56*Source!I79,7)</f>
        <v>8.9999999999999993E-3</v>
      </c>
      <c r="CY56">
        <f>AD56</f>
        <v>0</v>
      </c>
      <c r="CZ56">
        <f>AH56</f>
        <v>0</v>
      </c>
      <c r="DA56">
        <f>AL56</f>
        <v>1</v>
      </c>
      <c r="DB56">
        <f t="shared" si="20"/>
        <v>0</v>
      </c>
      <c r="DC56">
        <f t="shared" si="21"/>
        <v>0</v>
      </c>
      <c r="DD56" t="s">
        <v>3</v>
      </c>
      <c r="DE56" t="s">
        <v>3</v>
      </c>
      <c r="DF56">
        <f t="shared" si="30"/>
        <v>0</v>
      </c>
      <c r="DG56">
        <f t="shared" si="29"/>
        <v>0</v>
      </c>
      <c r="DH56">
        <f t="shared" si="22"/>
        <v>0</v>
      </c>
      <c r="DI56">
        <f t="shared" si="23"/>
        <v>0</v>
      </c>
      <c r="DJ56">
        <f>DI56</f>
        <v>0</v>
      </c>
      <c r="DK56">
        <v>0</v>
      </c>
      <c r="DL56" t="s">
        <v>3</v>
      </c>
      <c r="DM56">
        <v>0</v>
      </c>
      <c r="DN56" t="s">
        <v>3</v>
      </c>
      <c r="DO56">
        <v>0</v>
      </c>
    </row>
    <row r="57" spans="1:119" x14ac:dyDescent="0.2">
      <c r="A57">
        <f>ROW(Source!A79)</f>
        <v>79</v>
      </c>
      <c r="B57">
        <v>73953415</v>
      </c>
      <c r="C57">
        <v>73953834</v>
      </c>
      <c r="D57">
        <v>72646931</v>
      </c>
      <c r="E57">
        <v>1</v>
      </c>
      <c r="F57">
        <v>1</v>
      </c>
      <c r="G57">
        <v>1</v>
      </c>
      <c r="H57">
        <v>2</v>
      </c>
      <c r="I57" t="s">
        <v>441</v>
      </c>
      <c r="J57" t="s">
        <v>442</v>
      </c>
      <c r="K57" t="s">
        <v>443</v>
      </c>
      <c r="L57">
        <v>1368</v>
      </c>
      <c r="N57">
        <v>1011</v>
      </c>
      <c r="O57" t="s">
        <v>363</v>
      </c>
      <c r="P57" t="s">
        <v>363</v>
      </c>
      <c r="Q57">
        <v>1</v>
      </c>
      <c r="W57">
        <v>0</v>
      </c>
      <c r="X57">
        <v>4063365</v>
      </c>
      <c r="Y57">
        <f t="shared" si="19"/>
        <v>0.09</v>
      </c>
      <c r="AA57">
        <v>0</v>
      </c>
      <c r="AB57">
        <v>655.95</v>
      </c>
      <c r="AC57">
        <v>400.24</v>
      </c>
      <c r="AD57">
        <v>0</v>
      </c>
      <c r="AE57">
        <v>0</v>
      </c>
      <c r="AF57">
        <v>655.95</v>
      </c>
      <c r="AG57">
        <v>400.24</v>
      </c>
      <c r="AH57">
        <v>0</v>
      </c>
      <c r="AI57">
        <v>1</v>
      </c>
      <c r="AJ57">
        <v>1</v>
      </c>
      <c r="AK57">
        <v>1</v>
      </c>
      <c r="AL57">
        <v>1</v>
      </c>
      <c r="AM57">
        <v>-2</v>
      </c>
      <c r="AN57">
        <v>0</v>
      </c>
      <c r="AO57">
        <v>0</v>
      </c>
      <c r="AP57">
        <v>1</v>
      </c>
      <c r="AQ57">
        <v>1</v>
      </c>
      <c r="AR57">
        <v>0</v>
      </c>
      <c r="AS57" t="s">
        <v>3</v>
      </c>
      <c r="AT57">
        <v>0.09</v>
      </c>
      <c r="AU57" t="s">
        <v>3</v>
      </c>
      <c r="AV57">
        <v>1</v>
      </c>
      <c r="AW57">
        <v>2</v>
      </c>
      <c r="AX57">
        <v>73953848</v>
      </c>
      <c r="AY57">
        <v>1</v>
      </c>
      <c r="AZ57">
        <v>0</v>
      </c>
      <c r="BA57">
        <v>58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59.035499999999999</v>
      </c>
      <c r="BL57">
        <v>36.021599999999999</v>
      </c>
      <c r="BM57">
        <v>0</v>
      </c>
      <c r="BN57">
        <v>0</v>
      </c>
      <c r="BO57">
        <v>0.09</v>
      </c>
      <c r="BP57">
        <v>1</v>
      </c>
      <c r="BQ57">
        <v>0</v>
      </c>
      <c r="BR57">
        <v>59.035499999999999</v>
      </c>
      <c r="BS57">
        <v>36.021599999999999</v>
      </c>
      <c r="BT57">
        <v>0</v>
      </c>
      <c r="BU57">
        <v>0</v>
      </c>
      <c r="BV57">
        <v>0.09</v>
      </c>
      <c r="BW57">
        <v>1</v>
      </c>
      <c r="CV57">
        <v>0</v>
      </c>
      <c r="CW57">
        <f>ROUND(Y57*Source!I79*DO57,7)</f>
        <v>8.9999999999999993E-3</v>
      </c>
      <c r="CX57">
        <f>ROUND(Y57*Source!I79,7)</f>
        <v>8.9999999999999993E-3</v>
      </c>
      <c r="CY57">
        <f>AB57</f>
        <v>655.95</v>
      </c>
      <c r="CZ57">
        <f>AF57</f>
        <v>655.95</v>
      </c>
      <c r="DA57">
        <f>AJ57</f>
        <v>1</v>
      </c>
      <c r="DB57">
        <f t="shared" si="20"/>
        <v>59.04</v>
      </c>
      <c r="DC57">
        <f t="shared" si="21"/>
        <v>36.020000000000003</v>
      </c>
      <c r="DD57" t="s">
        <v>3</v>
      </c>
      <c r="DE57" t="s">
        <v>3</v>
      </c>
      <c r="DF57">
        <f t="shared" si="30"/>
        <v>0</v>
      </c>
      <c r="DG57">
        <f t="shared" si="29"/>
        <v>5.9</v>
      </c>
      <c r="DH57">
        <f t="shared" si="22"/>
        <v>3.6</v>
      </c>
      <c r="DI57">
        <f t="shared" si="23"/>
        <v>0</v>
      </c>
      <c r="DJ57">
        <f>DG57+DH57</f>
        <v>9.5</v>
      </c>
      <c r="DK57">
        <v>1</v>
      </c>
      <c r="DL57" t="s">
        <v>400</v>
      </c>
      <c r="DM57">
        <v>4</v>
      </c>
      <c r="DN57" t="s">
        <v>359</v>
      </c>
      <c r="DO57">
        <v>1</v>
      </c>
    </row>
    <row r="58" spans="1:119" x14ac:dyDescent="0.2">
      <c r="A58">
        <f>ROW(Source!A79)</f>
        <v>79</v>
      </c>
      <c r="B58">
        <v>73953415</v>
      </c>
      <c r="C58">
        <v>73953834</v>
      </c>
      <c r="D58">
        <v>72647089</v>
      </c>
      <c r="E58">
        <v>1</v>
      </c>
      <c r="F58">
        <v>1</v>
      </c>
      <c r="G58">
        <v>1</v>
      </c>
      <c r="H58">
        <v>2</v>
      </c>
      <c r="I58" t="s">
        <v>464</v>
      </c>
      <c r="J58" t="s">
        <v>465</v>
      </c>
      <c r="K58" t="s">
        <v>466</v>
      </c>
      <c r="L58">
        <v>1368</v>
      </c>
      <c r="N58">
        <v>1011</v>
      </c>
      <c r="O58" t="s">
        <v>363</v>
      </c>
      <c r="P58" t="s">
        <v>363</v>
      </c>
      <c r="Q58">
        <v>1</v>
      </c>
      <c r="W58">
        <v>0</v>
      </c>
      <c r="X58">
        <v>860887119</v>
      </c>
      <c r="Y58">
        <f t="shared" si="19"/>
        <v>0.6</v>
      </c>
      <c r="AA58">
        <v>0</v>
      </c>
      <c r="AB58">
        <v>13.81</v>
      </c>
      <c r="AC58">
        <v>0</v>
      </c>
      <c r="AD58">
        <v>0</v>
      </c>
      <c r="AE58">
        <v>0</v>
      </c>
      <c r="AF58">
        <v>8.6300000000000008</v>
      </c>
      <c r="AG58">
        <v>0</v>
      </c>
      <c r="AH58">
        <v>0</v>
      </c>
      <c r="AI58">
        <v>1</v>
      </c>
      <c r="AJ58">
        <v>1.6</v>
      </c>
      <c r="AK58">
        <v>1</v>
      </c>
      <c r="AL58">
        <v>1</v>
      </c>
      <c r="AM58">
        <v>2</v>
      </c>
      <c r="AN58">
        <v>0</v>
      </c>
      <c r="AO58">
        <v>0</v>
      </c>
      <c r="AP58">
        <v>1</v>
      </c>
      <c r="AQ58">
        <v>1</v>
      </c>
      <c r="AR58">
        <v>0</v>
      </c>
      <c r="AS58" t="s">
        <v>3</v>
      </c>
      <c r="AT58">
        <v>0.6</v>
      </c>
      <c r="AU58" t="s">
        <v>3</v>
      </c>
      <c r="AV58">
        <v>1</v>
      </c>
      <c r="AW58">
        <v>2</v>
      </c>
      <c r="AX58">
        <v>73953849</v>
      </c>
      <c r="AY58">
        <v>1</v>
      </c>
      <c r="AZ58">
        <v>0</v>
      </c>
      <c r="BA58">
        <v>59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5.1779999999999999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0</v>
      </c>
      <c r="BR58">
        <v>5.1779999999999999</v>
      </c>
      <c r="BS58">
        <v>0</v>
      </c>
      <c r="BT58">
        <v>0</v>
      </c>
      <c r="BU58">
        <v>0</v>
      </c>
      <c r="BV58">
        <v>0</v>
      </c>
      <c r="BW58">
        <v>1</v>
      </c>
      <c r="CV58">
        <v>0</v>
      </c>
      <c r="CW58">
        <f>ROUND(Y58*Source!I79*DO58,7)</f>
        <v>0</v>
      </c>
      <c r="CX58">
        <f>ROUND(Y58*Source!I79,7)</f>
        <v>0.06</v>
      </c>
      <c r="CY58">
        <f>AB58</f>
        <v>13.81</v>
      </c>
      <c r="CZ58">
        <f>AF58</f>
        <v>8.6300000000000008</v>
      </c>
      <c r="DA58">
        <f>AJ58</f>
        <v>1.6</v>
      </c>
      <c r="DB58">
        <f t="shared" si="20"/>
        <v>5.18</v>
      </c>
      <c r="DC58">
        <f t="shared" si="21"/>
        <v>0</v>
      </c>
      <c r="DD58" t="s">
        <v>3</v>
      </c>
      <c r="DE58" t="s">
        <v>3</v>
      </c>
      <c r="DF58">
        <f t="shared" si="30"/>
        <v>0</v>
      </c>
      <c r="DG58">
        <f>ROUND(ROUND(AF58*AJ58,2)*CX58,2)</f>
        <v>0.83</v>
      </c>
      <c r="DH58">
        <f t="shared" si="22"/>
        <v>0</v>
      </c>
      <c r="DI58">
        <f t="shared" si="23"/>
        <v>0</v>
      </c>
      <c r="DJ58">
        <f>DG58+DH58</f>
        <v>0.83</v>
      </c>
      <c r="DK58">
        <v>0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ROW(Source!A79)</f>
        <v>79</v>
      </c>
      <c r="B59">
        <v>73953415</v>
      </c>
      <c r="C59">
        <v>73953834</v>
      </c>
      <c r="D59">
        <v>72647111</v>
      </c>
      <c r="E59">
        <v>1</v>
      </c>
      <c r="F59">
        <v>1</v>
      </c>
      <c r="G59">
        <v>1</v>
      </c>
      <c r="H59">
        <v>2</v>
      </c>
      <c r="I59" t="s">
        <v>467</v>
      </c>
      <c r="J59" t="s">
        <v>468</v>
      </c>
      <c r="K59" t="s">
        <v>469</v>
      </c>
      <c r="L59">
        <v>1368</v>
      </c>
      <c r="N59">
        <v>1011</v>
      </c>
      <c r="O59" t="s">
        <v>363</v>
      </c>
      <c r="P59" t="s">
        <v>363</v>
      </c>
      <c r="Q59">
        <v>1</v>
      </c>
      <c r="W59">
        <v>0</v>
      </c>
      <c r="X59">
        <v>1391482573</v>
      </c>
      <c r="Y59">
        <f t="shared" si="19"/>
        <v>33.9</v>
      </c>
      <c r="AA59">
        <v>0</v>
      </c>
      <c r="AB59">
        <v>4.34</v>
      </c>
      <c r="AC59">
        <v>0</v>
      </c>
      <c r="AD59">
        <v>0</v>
      </c>
      <c r="AE59">
        <v>0</v>
      </c>
      <c r="AF59">
        <v>3.34</v>
      </c>
      <c r="AG59">
        <v>0</v>
      </c>
      <c r="AH59">
        <v>0</v>
      </c>
      <c r="AI59">
        <v>1</v>
      </c>
      <c r="AJ59">
        <v>1.3</v>
      </c>
      <c r="AK59">
        <v>1</v>
      </c>
      <c r="AL59">
        <v>1</v>
      </c>
      <c r="AM59">
        <v>2</v>
      </c>
      <c r="AN59">
        <v>0</v>
      </c>
      <c r="AO59">
        <v>0</v>
      </c>
      <c r="AP59">
        <v>1</v>
      </c>
      <c r="AQ59">
        <v>1</v>
      </c>
      <c r="AR59">
        <v>0</v>
      </c>
      <c r="AS59" t="s">
        <v>3</v>
      </c>
      <c r="AT59">
        <v>33.9</v>
      </c>
      <c r="AU59" t="s">
        <v>3</v>
      </c>
      <c r="AV59">
        <v>1</v>
      </c>
      <c r="AW59">
        <v>2</v>
      </c>
      <c r="AX59">
        <v>73953850</v>
      </c>
      <c r="AY59">
        <v>1</v>
      </c>
      <c r="AZ59">
        <v>0</v>
      </c>
      <c r="BA59">
        <v>60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113.22599999999998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0</v>
      </c>
      <c r="BR59">
        <v>113.22599999999998</v>
      </c>
      <c r="BS59">
        <v>0</v>
      </c>
      <c r="BT59">
        <v>0</v>
      </c>
      <c r="BU59">
        <v>0</v>
      </c>
      <c r="BV59">
        <v>0</v>
      </c>
      <c r="BW59">
        <v>1</v>
      </c>
      <c r="CV59">
        <v>0</v>
      </c>
      <c r="CW59">
        <f>ROUND(Y59*Source!I79*DO59,7)</f>
        <v>0</v>
      </c>
      <c r="CX59">
        <f>ROUND(Y59*Source!I79,7)</f>
        <v>3.39</v>
      </c>
      <c r="CY59">
        <f>AB59</f>
        <v>4.34</v>
      </c>
      <c r="CZ59">
        <f>AF59</f>
        <v>3.34</v>
      </c>
      <c r="DA59">
        <f>AJ59</f>
        <v>1.3</v>
      </c>
      <c r="DB59">
        <f t="shared" si="20"/>
        <v>113.23</v>
      </c>
      <c r="DC59">
        <f t="shared" si="21"/>
        <v>0</v>
      </c>
      <c r="DD59" t="s">
        <v>3</v>
      </c>
      <c r="DE59" t="s">
        <v>3</v>
      </c>
      <c r="DF59">
        <f t="shared" si="30"/>
        <v>0</v>
      </c>
      <c r="DG59">
        <f>ROUND(ROUND(AF59*AJ59,2)*CX59,2)</f>
        <v>14.71</v>
      </c>
      <c r="DH59">
        <f t="shared" si="22"/>
        <v>0</v>
      </c>
      <c r="DI59">
        <f t="shared" si="23"/>
        <v>0</v>
      </c>
      <c r="DJ59">
        <f>DG59+DH59</f>
        <v>14.71</v>
      </c>
      <c r="DK59">
        <v>0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ROW(Source!A79)</f>
        <v>79</v>
      </c>
      <c r="B60">
        <v>73953415</v>
      </c>
      <c r="C60">
        <v>73953834</v>
      </c>
      <c r="D60">
        <v>72647129</v>
      </c>
      <c r="E60">
        <v>1</v>
      </c>
      <c r="F60">
        <v>1</v>
      </c>
      <c r="G60">
        <v>1</v>
      </c>
      <c r="H60">
        <v>2</v>
      </c>
      <c r="I60" t="s">
        <v>394</v>
      </c>
      <c r="J60" t="s">
        <v>395</v>
      </c>
      <c r="K60" t="s">
        <v>396</v>
      </c>
      <c r="L60">
        <v>1368</v>
      </c>
      <c r="N60">
        <v>1011</v>
      </c>
      <c r="O60" t="s">
        <v>363</v>
      </c>
      <c r="P60" t="s">
        <v>363</v>
      </c>
      <c r="Q60">
        <v>1</v>
      </c>
      <c r="W60">
        <v>0</v>
      </c>
      <c r="X60">
        <v>1678177714</v>
      </c>
      <c r="Y60">
        <f t="shared" si="19"/>
        <v>2.1</v>
      </c>
      <c r="AA60">
        <v>0</v>
      </c>
      <c r="AB60">
        <v>43.87</v>
      </c>
      <c r="AC60">
        <v>0</v>
      </c>
      <c r="AD60">
        <v>0</v>
      </c>
      <c r="AE60">
        <v>0</v>
      </c>
      <c r="AF60">
        <v>43.87</v>
      </c>
      <c r="AG60">
        <v>0</v>
      </c>
      <c r="AH60">
        <v>0</v>
      </c>
      <c r="AI60">
        <v>1</v>
      </c>
      <c r="AJ60">
        <v>1</v>
      </c>
      <c r="AK60">
        <v>1</v>
      </c>
      <c r="AL60">
        <v>1</v>
      </c>
      <c r="AM60">
        <v>-2</v>
      </c>
      <c r="AN60">
        <v>0</v>
      </c>
      <c r="AO60">
        <v>0</v>
      </c>
      <c r="AP60">
        <v>1</v>
      </c>
      <c r="AQ60">
        <v>1</v>
      </c>
      <c r="AR60">
        <v>0</v>
      </c>
      <c r="AS60" t="s">
        <v>3</v>
      </c>
      <c r="AT60">
        <v>2.1</v>
      </c>
      <c r="AU60" t="s">
        <v>3</v>
      </c>
      <c r="AV60">
        <v>1</v>
      </c>
      <c r="AW60">
        <v>2</v>
      </c>
      <c r="AX60">
        <v>73953851</v>
      </c>
      <c r="AY60">
        <v>1</v>
      </c>
      <c r="AZ60">
        <v>0</v>
      </c>
      <c r="BA60">
        <v>61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92.126999999999995</v>
      </c>
      <c r="BL60">
        <v>0</v>
      </c>
      <c r="BM60">
        <v>0</v>
      </c>
      <c r="BN60">
        <v>0</v>
      </c>
      <c r="BO60">
        <v>0</v>
      </c>
      <c r="BP60">
        <v>1</v>
      </c>
      <c r="BQ60">
        <v>0</v>
      </c>
      <c r="BR60">
        <v>92.126999999999995</v>
      </c>
      <c r="BS60">
        <v>0</v>
      </c>
      <c r="BT60">
        <v>0</v>
      </c>
      <c r="BU60">
        <v>0</v>
      </c>
      <c r="BV60">
        <v>0</v>
      </c>
      <c r="BW60">
        <v>1</v>
      </c>
      <c r="CV60">
        <v>0</v>
      </c>
      <c r="CW60">
        <f>ROUND(Y60*Source!I79*DO60,7)</f>
        <v>0</v>
      </c>
      <c r="CX60">
        <f>ROUND(Y60*Source!I79,7)</f>
        <v>0.21</v>
      </c>
      <c r="CY60">
        <f>AB60</f>
        <v>43.87</v>
      </c>
      <c r="CZ60">
        <f>AF60</f>
        <v>43.87</v>
      </c>
      <c r="DA60">
        <f>AJ60</f>
        <v>1</v>
      </c>
      <c r="DB60">
        <f t="shared" si="20"/>
        <v>92.13</v>
      </c>
      <c r="DC60">
        <f t="shared" si="21"/>
        <v>0</v>
      </c>
      <c r="DD60" t="s">
        <v>3</v>
      </c>
      <c r="DE60" t="s">
        <v>3</v>
      </c>
      <c r="DF60">
        <f t="shared" si="30"/>
        <v>0</v>
      </c>
      <c r="DG60">
        <f t="shared" ref="DG60:DG67" si="31">ROUND(ROUND(AF60,2)*CX60,2)</f>
        <v>9.2100000000000009</v>
      </c>
      <c r="DH60">
        <f t="shared" si="22"/>
        <v>0</v>
      </c>
      <c r="DI60">
        <f t="shared" si="23"/>
        <v>0</v>
      </c>
      <c r="DJ60">
        <f>DG60+DH60</f>
        <v>9.2100000000000009</v>
      </c>
      <c r="DK60">
        <v>1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ROW(Source!A79)</f>
        <v>79</v>
      </c>
      <c r="B61">
        <v>73953415</v>
      </c>
      <c r="C61">
        <v>73953834</v>
      </c>
      <c r="D61">
        <v>72592092</v>
      </c>
      <c r="E61">
        <v>1</v>
      </c>
      <c r="F61">
        <v>1</v>
      </c>
      <c r="G61">
        <v>1</v>
      </c>
      <c r="H61">
        <v>3</v>
      </c>
      <c r="I61" t="s">
        <v>408</v>
      </c>
      <c r="J61" t="s">
        <v>409</v>
      </c>
      <c r="K61" t="s">
        <v>410</v>
      </c>
      <c r="L61">
        <v>1346</v>
      </c>
      <c r="N61">
        <v>1009</v>
      </c>
      <c r="O61" t="s">
        <v>411</v>
      </c>
      <c r="P61" t="s">
        <v>411</v>
      </c>
      <c r="Q61">
        <v>1</v>
      </c>
      <c r="W61">
        <v>0</v>
      </c>
      <c r="X61">
        <v>743240341</v>
      </c>
      <c r="Y61">
        <f t="shared" si="19"/>
        <v>0.33</v>
      </c>
      <c r="AA61">
        <v>131.85</v>
      </c>
      <c r="AB61">
        <v>0</v>
      </c>
      <c r="AC61">
        <v>0</v>
      </c>
      <c r="AD61">
        <v>0</v>
      </c>
      <c r="AE61">
        <v>131.85</v>
      </c>
      <c r="AF61">
        <v>0</v>
      </c>
      <c r="AG61">
        <v>0</v>
      </c>
      <c r="AH61">
        <v>0</v>
      </c>
      <c r="AI61">
        <v>1</v>
      </c>
      <c r="AJ61">
        <v>1</v>
      </c>
      <c r="AK61">
        <v>1</v>
      </c>
      <c r="AL61">
        <v>1</v>
      </c>
      <c r="AM61">
        <v>-2</v>
      </c>
      <c r="AN61">
        <v>0</v>
      </c>
      <c r="AO61">
        <v>0</v>
      </c>
      <c r="AP61">
        <v>1</v>
      </c>
      <c r="AQ61">
        <v>1</v>
      </c>
      <c r="AR61">
        <v>0</v>
      </c>
      <c r="AS61" t="s">
        <v>3</v>
      </c>
      <c r="AT61">
        <v>0.33</v>
      </c>
      <c r="AU61" t="s">
        <v>3</v>
      </c>
      <c r="AV61">
        <v>0</v>
      </c>
      <c r="AW61">
        <v>2</v>
      </c>
      <c r="AX61">
        <v>73953852</v>
      </c>
      <c r="AY61">
        <v>1</v>
      </c>
      <c r="AZ61">
        <v>0</v>
      </c>
      <c r="BA61">
        <v>62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43.5105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43.5105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CV61">
        <v>0</v>
      </c>
      <c r="CW61">
        <v>0</v>
      </c>
      <c r="CX61">
        <f>ROUND(Y61*Source!I79,7)</f>
        <v>3.3000000000000002E-2</v>
      </c>
      <c r="CY61">
        <f>AA61</f>
        <v>131.85</v>
      </c>
      <c r="CZ61">
        <f>AE61</f>
        <v>131.85</v>
      </c>
      <c r="DA61">
        <f>AI61</f>
        <v>1</v>
      </c>
      <c r="DB61">
        <f t="shared" si="20"/>
        <v>43.51</v>
      </c>
      <c r="DC61">
        <f t="shared" si="21"/>
        <v>0</v>
      </c>
      <c r="DD61" t="s">
        <v>3</v>
      </c>
      <c r="DE61" t="s">
        <v>3</v>
      </c>
      <c r="DF61">
        <f t="shared" si="30"/>
        <v>4.3499999999999996</v>
      </c>
      <c r="DG61">
        <f t="shared" si="31"/>
        <v>0</v>
      </c>
      <c r="DH61">
        <f t="shared" si="22"/>
        <v>0</v>
      </c>
      <c r="DI61">
        <f t="shared" si="23"/>
        <v>0</v>
      </c>
      <c r="DJ61">
        <f>DF61</f>
        <v>4.3499999999999996</v>
      </c>
      <c r="DK61">
        <v>1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ROW(Source!A79)</f>
        <v>79</v>
      </c>
      <c r="B62">
        <v>73953415</v>
      </c>
      <c r="C62">
        <v>73953834</v>
      </c>
      <c r="D62">
        <v>72594025</v>
      </c>
      <c r="E62">
        <v>1</v>
      </c>
      <c r="F62">
        <v>1</v>
      </c>
      <c r="G62">
        <v>1</v>
      </c>
      <c r="H62">
        <v>3</v>
      </c>
      <c r="I62" t="s">
        <v>473</v>
      </c>
      <c r="J62" t="s">
        <v>474</v>
      </c>
      <c r="K62" t="s">
        <v>475</v>
      </c>
      <c r="L62">
        <v>1346</v>
      </c>
      <c r="N62">
        <v>1009</v>
      </c>
      <c r="O62" t="s">
        <v>411</v>
      </c>
      <c r="P62" t="s">
        <v>411</v>
      </c>
      <c r="Q62">
        <v>1</v>
      </c>
      <c r="W62">
        <v>0</v>
      </c>
      <c r="X62">
        <v>-1493600273</v>
      </c>
      <c r="Y62">
        <f t="shared" si="19"/>
        <v>0.02</v>
      </c>
      <c r="AA62">
        <v>91.46</v>
      </c>
      <c r="AB62">
        <v>0</v>
      </c>
      <c r="AC62">
        <v>0</v>
      </c>
      <c r="AD62">
        <v>0</v>
      </c>
      <c r="AE62">
        <v>56.11</v>
      </c>
      <c r="AF62">
        <v>0</v>
      </c>
      <c r="AG62">
        <v>0</v>
      </c>
      <c r="AH62">
        <v>0</v>
      </c>
      <c r="AI62">
        <v>1.63</v>
      </c>
      <c r="AJ62">
        <v>1</v>
      </c>
      <c r="AK62">
        <v>1</v>
      </c>
      <c r="AL62">
        <v>1</v>
      </c>
      <c r="AM62">
        <v>2</v>
      </c>
      <c r="AN62">
        <v>0</v>
      </c>
      <c r="AO62">
        <v>0</v>
      </c>
      <c r="AP62">
        <v>1</v>
      </c>
      <c r="AQ62">
        <v>1</v>
      </c>
      <c r="AR62">
        <v>0</v>
      </c>
      <c r="AS62" t="s">
        <v>3</v>
      </c>
      <c r="AT62">
        <v>0.02</v>
      </c>
      <c r="AU62" t="s">
        <v>3</v>
      </c>
      <c r="AV62">
        <v>0</v>
      </c>
      <c r="AW62">
        <v>2</v>
      </c>
      <c r="AX62">
        <v>73953853</v>
      </c>
      <c r="AY62">
        <v>1</v>
      </c>
      <c r="AZ62">
        <v>0</v>
      </c>
      <c r="BA62">
        <v>63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1.1222000000000001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1.1222000000000001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</v>
      </c>
      <c r="CV62">
        <v>0</v>
      </c>
      <c r="CW62">
        <v>0</v>
      </c>
      <c r="CX62">
        <f>ROUND(Y62*Source!I79,7)</f>
        <v>2E-3</v>
      </c>
      <c r="CY62">
        <f>AA62</f>
        <v>91.46</v>
      </c>
      <c r="CZ62">
        <f>AE62</f>
        <v>56.11</v>
      </c>
      <c r="DA62">
        <f>AI62</f>
        <v>1.63</v>
      </c>
      <c r="DB62">
        <f t="shared" si="20"/>
        <v>1.1200000000000001</v>
      </c>
      <c r="DC62">
        <f t="shared" si="21"/>
        <v>0</v>
      </c>
      <c r="DD62" t="s">
        <v>3</v>
      </c>
      <c r="DE62" t="s">
        <v>3</v>
      </c>
      <c r="DF62">
        <f>ROUND(ROUND(AE62*AI62,2)*CX62,2)</f>
        <v>0.18</v>
      </c>
      <c r="DG62">
        <f t="shared" si="31"/>
        <v>0</v>
      </c>
      <c r="DH62">
        <f t="shared" si="22"/>
        <v>0</v>
      </c>
      <c r="DI62">
        <f t="shared" si="23"/>
        <v>0</v>
      </c>
      <c r="DJ62">
        <f>DF62</f>
        <v>0.18</v>
      </c>
      <c r="DK62">
        <v>0</v>
      </c>
      <c r="DL62" t="s">
        <v>3</v>
      </c>
      <c r="DM62">
        <v>0</v>
      </c>
      <c r="DN62" t="s">
        <v>3</v>
      </c>
      <c r="DO62">
        <v>0</v>
      </c>
    </row>
    <row r="63" spans="1:119" x14ac:dyDescent="0.2">
      <c r="A63">
        <f>ROW(Source!A79)</f>
        <v>79</v>
      </c>
      <c r="B63">
        <v>73953415</v>
      </c>
      <c r="C63">
        <v>73953834</v>
      </c>
      <c r="D63">
        <v>72610957</v>
      </c>
      <c r="E63">
        <v>1</v>
      </c>
      <c r="F63">
        <v>1</v>
      </c>
      <c r="G63">
        <v>1</v>
      </c>
      <c r="H63">
        <v>3</v>
      </c>
      <c r="I63" t="s">
        <v>481</v>
      </c>
      <c r="J63" t="s">
        <v>482</v>
      </c>
      <c r="K63" t="s">
        <v>483</v>
      </c>
      <c r="L63">
        <v>1346</v>
      </c>
      <c r="N63">
        <v>1009</v>
      </c>
      <c r="O63" t="s">
        <v>411</v>
      </c>
      <c r="P63" t="s">
        <v>411</v>
      </c>
      <c r="Q63">
        <v>1</v>
      </c>
      <c r="W63">
        <v>0</v>
      </c>
      <c r="X63">
        <v>-1727201070</v>
      </c>
      <c r="Y63">
        <f t="shared" si="19"/>
        <v>0.1</v>
      </c>
      <c r="AA63">
        <v>101.81</v>
      </c>
      <c r="AB63">
        <v>0</v>
      </c>
      <c r="AC63">
        <v>0</v>
      </c>
      <c r="AD63">
        <v>0</v>
      </c>
      <c r="AE63">
        <v>60.6</v>
      </c>
      <c r="AF63">
        <v>0</v>
      </c>
      <c r="AG63">
        <v>0</v>
      </c>
      <c r="AH63">
        <v>0</v>
      </c>
      <c r="AI63">
        <v>1.68</v>
      </c>
      <c r="AJ63">
        <v>1</v>
      </c>
      <c r="AK63">
        <v>1</v>
      </c>
      <c r="AL63">
        <v>1</v>
      </c>
      <c r="AM63">
        <v>2</v>
      </c>
      <c r="AN63">
        <v>0</v>
      </c>
      <c r="AO63">
        <v>0</v>
      </c>
      <c r="AP63">
        <v>1</v>
      </c>
      <c r="AQ63">
        <v>1</v>
      </c>
      <c r="AR63">
        <v>0</v>
      </c>
      <c r="AS63" t="s">
        <v>3</v>
      </c>
      <c r="AT63">
        <v>0.1</v>
      </c>
      <c r="AU63" t="s">
        <v>3</v>
      </c>
      <c r="AV63">
        <v>0</v>
      </c>
      <c r="AW63">
        <v>2</v>
      </c>
      <c r="AX63">
        <v>73953854</v>
      </c>
      <c r="AY63">
        <v>1</v>
      </c>
      <c r="AZ63">
        <v>0</v>
      </c>
      <c r="BA63">
        <v>64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6.0600000000000005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1</v>
      </c>
      <c r="BQ63">
        <v>6.0600000000000005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</v>
      </c>
      <c r="CV63">
        <v>0</v>
      </c>
      <c r="CW63">
        <v>0</v>
      </c>
      <c r="CX63">
        <f>ROUND(Y63*Source!I79,7)</f>
        <v>0.01</v>
      </c>
      <c r="CY63">
        <f>AA63</f>
        <v>101.81</v>
      </c>
      <c r="CZ63">
        <f>AE63</f>
        <v>60.6</v>
      </c>
      <c r="DA63">
        <f>AI63</f>
        <v>1.68</v>
      </c>
      <c r="DB63">
        <f t="shared" si="20"/>
        <v>6.06</v>
      </c>
      <c r="DC63">
        <f t="shared" si="21"/>
        <v>0</v>
      </c>
      <c r="DD63" t="s">
        <v>3</v>
      </c>
      <c r="DE63" t="s">
        <v>3</v>
      </c>
      <c r="DF63">
        <f>ROUND(ROUND(AE63*AI63,2)*CX63,2)</f>
        <v>1.02</v>
      </c>
      <c r="DG63">
        <f t="shared" si="31"/>
        <v>0</v>
      </c>
      <c r="DH63">
        <f t="shared" si="22"/>
        <v>0</v>
      </c>
      <c r="DI63">
        <f t="shared" si="23"/>
        <v>0</v>
      </c>
      <c r="DJ63">
        <f>DF63</f>
        <v>1.02</v>
      </c>
      <c r="DK63">
        <v>0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ROW(Source!A81)</f>
        <v>81</v>
      </c>
      <c r="B64">
        <v>73953415</v>
      </c>
      <c r="C64">
        <v>73954665</v>
      </c>
      <c r="D64">
        <v>72518648</v>
      </c>
      <c r="E64">
        <v>119</v>
      </c>
      <c r="F64">
        <v>1</v>
      </c>
      <c r="G64">
        <v>1</v>
      </c>
      <c r="H64">
        <v>1</v>
      </c>
      <c r="I64" t="s">
        <v>430</v>
      </c>
      <c r="J64" t="s">
        <v>3</v>
      </c>
      <c r="K64" t="s">
        <v>431</v>
      </c>
      <c r="L64">
        <v>1191</v>
      </c>
      <c r="N64">
        <v>1013</v>
      </c>
      <c r="O64" t="s">
        <v>359</v>
      </c>
      <c r="P64" t="s">
        <v>359</v>
      </c>
      <c r="Q64">
        <v>1</v>
      </c>
      <c r="W64">
        <v>0</v>
      </c>
      <c r="X64">
        <v>44848675</v>
      </c>
      <c r="Y64">
        <f t="shared" si="19"/>
        <v>1.54</v>
      </c>
      <c r="AA64">
        <v>0</v>
      </c>
      <c r="AB64">
        <v>0</v>
      </c>
      <c r="AC64">
        <v>0</v>
      </c>
      <c r="AD64">
        <v>391.28</v>
      </c>
      <c r="AE64">
        <v>0</v>
      </c>
      <c r="AF64">
        <v>0</v>
      </c>
      <c r="AG64">
        <v>0</v>
      </c>
      <c r="AH64">
        <v>391.28</v>
      </c>
      <c r="AI64">
        <v>1</v>
      </c>
      <c r="AJ64">
        <v>1</v>
      </c>
      <c r="AK64">
        <v>1</v>
      </c>
      <c r="AL64">
        <v>1</v>
      </c>
      <c r="AM64">
        <v>-2</v>
      </c>
      <c r="AN64">
        <v>0</v>
      </c>
      <c r="AO64">
        <v>0</v>
      </c>
      <c r="AP64">
        <v>1</v>
      </c>
      <c r="AQ64">
        <v>1</v>
      </c>
      <c r="AR64">
        <v>0</v>
      </c>
      <c r="AS64" t="s">
        <v>3</v>
      </c>
      <c r="AT64">
        <v>1.54</v>
      </c>
      <c r="AU64" t="s">
        <v>3</v>
      </c>
      <c r="AV64">
        <v>1</v>
      </c>
      <c r="AW64">
        <v>2</v>
      </c>
      <c r="AX64">
        <v>73954692</v>
      </c>
      <c r="AY64">
        <v>1</v>
      </c>
      <c r="AZ64">
        <v>0</v>
      </c>
      <c r="BA64">
        <v>71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602.57119999999998</v>
      </c>
      <c r="BN64">
        <v>1.54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602.57119999999998</v>
      </c>
      <c r="BU64">
        <v>1.54</v>
      </c>
      <c r="BV64">
        <v>0</v>
      </c>
      <c r="BW64">
        <v>1</v>
      </c>
      <c r="CU64">
        <f>ROUND(AT64*Source!I81*AH64*AL64,2)</f>
        <v>1205.1400000000001</v>
      </c>
      <c r="CV64">
        <f>ROUND(Y64*Source!I81,7)</f>
        <v>3.08</v>
      </c>
      <c r="CW64">
        <v>0</v>
      </c>
      <c r="CX64">
        <f>ROUND(Y64*Source!I81,7)</f>
        <v>3.08</v>
      </c>
      <c r="CY64">
        <f>AD64</f>
        <v>391.28</v>
      </c>
      <c r="CZ64">
        <f>AH64</f>
        <v>391.28</v>
      </c>
      <c r="DA64">
        <f>AL64</f>
        <v>1</v>
      </c>
      <c r="DB64">
        <f t="shared" si="20"/>
        <v>602.57000000000005</v>
      </c>
      <c r="DC64">
        <f t="shared" si="21"/>
        <v>0</v>
      </c>
      <c r="DD64" t="s">
        <v>3</v>
      </c>
      <c r="DE64" t="s">
        <v>3</v>
      </c>
      <c r="DF64">
        <f t="shared" ref="DF64:DF70" si="32">ROUND(ROUND(AE64,2)*CX64,2)</f>
        <v>0</v>
      </c>
      <c r="DG64">
        <f t="shared" si="31"/>
        <v>0</v>
      </c>
      <c r="DH64">
        <f t="shared" si="22"/>
        <v>0</v>
      </c>
      <c r="DI64">
        <f t="shared" si="23"/>
        <v>1205.1400000000001</v>
      </c>
      <c r="DJ64">
        <f>DI64</f>
        <v>1205.1400000000001</v>
      </c>
      <c r="DK64">
        <v>1</v>
      </c>
      <c r="DL64" t="s">
        <v>3</v>
      </c>
      <c r="DM64">
        <v>0</v>
      </c>
      <c r="DN64" t="s">
        <v>3</v>
      </c>
      <c r="DO64">
        <v>0</v>
      </c>
    </row>
    <row r="65" spans="1:119" x14ac:dyDescent="0.2">
      <c r="A65">
        <f>ROW(Source!A81)</f>
        <v>81</v>
      </c>
      <c r="B65">
        <v>73953415</v>
      </c>
      <c r="C65">
        <v>73954665</v>
      </c>
      <c r="D65">
        <v>72518826</v>
      </c>
      <c r="E65">
        <v>119</v>
      </c>
      <c r="F65">
        <v>1</v>
      </c>
      <c r="G65">
        <v>1</v>
      </c>
      <c r="H65">
        <v>1</v>
      </c>
      <c r="I65" t="s">
        <v>357</v>
      </c>
      <c r="J65" t="s">
        <v>3</v>
      </c>
      <c r="K65" t="s">
        <v>358</v>
      </c>
      <c r="L65">
        <v>1191</v>
      </c>
      <c r="N65">
        <v>1013</v>
      </c>
      <c r="O65" t="s">
        <v>359</v>
      </c>
      <c r="P65" t="s">
        <v>359</v>
      </c>
      <c r="Q65">
        <v>1</v>
      </c>
      <c r="W65">
        <v>0</v>
      </c>
      <c r="X65">
        <v>-1417349443</v>
      </c>
      <c r="Y65">
        <f t="shared" ref="Y65:Y96" si="33">AT65</f>
        <v>0.48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1</v>
      </c>
      <c r="AK65">
        <v>1</v>
      </c>
      <c r="AL65">
        <v>1</v>
      </c>
      <c r="AM65">
        <v>-2</v>
      </c>
      <c r="AN65">
        <v>0</v>
      </c>
      <c r="AO65">
        <v>0</v>
      </c>
      <c r="AP65">
        <v>1</v>
      </c>
      <c r="AQ65">
        <v>1</v>
      </c>
      <c r="AR65">
        <v>0</v>
      </c>
      <c r="AS65" t="s">
        <v>3</v>
      </c>
      <c r="AT65">
        <v>0.48</v>
      </c>
      <c r="AU65" t="s">
        <v>3</v>
      </c>
      <c r="AV65">
        <v>2</v>
      </c>
      <c r="AW65">
        <v>2</v>
      </c>
      <c r="AX65">
        <v>73954693</v>
      </c>
      <c r="AY65">
        <v>1</v>
      </c>
      <c r="AZ65">
        <v>0</v>
      </c>
      <c r="BA65">
        <v>72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CV65">
        <v>0</v>
      </c>
      <c r="CW65">
        <v>0</v>
      </c>
      <c r="CX65">
        <f>ROUND(Y65*Source!I81,7)</f>
        <v>0.96</v>
      </c>
      <c r="CY65">
        <f>AD65</f>
        <v>0</v>
      </c>
      <c r="CZ65">
        <f>AH65</f>
        <v>0</v>
      </c>
      <c r="DA65">
        <f>AL65</f>
        <v>1</v>
      </c>
      <c r="DB65">
        <f t="shared" ref="DB65:DB96" si="34">ROUND(ROUND(AT65*CZ65,2),6)</f>
        <v>0</v>
      </c>
      <c r="DC65">
        <f t="shared" ref="DC65:DC96" si="35">ROUND(ROUND(AT65*AG65,2),6)</f>
        <v>0</v>
      </c>
      <c r="DD65" t="s">
        <v>3</v>
      </c>
      <c r="DE65" t="s">
        <v>3</v>
      </c>
      <c r="DF65">
        <f t="shared" si="32"/>
        <v>0</v>
      </c>
      <c r="DG65">
        <f t="shared" si="31"/>
        <v>0</v>
      </c>
      <c r="DH65">
        <f t="shared" ref="DH65:DH96" si="36">ROUND(ROUND(AG65,2)*CX65,2)</f>
        <v>0</v>
      </c>
      <c r="DI65">
        <f t="shared" ref="DI65:DI96" si="37">ROUND(ROUND(AH65,2)*CX65,2)</f>
        <v>0</v>
      </c>
      <c r="DJ65">
        <f>DI65</f>
        <v>0</v>
      </c>
      <c r="DK65">
        <v>0</v>
      </c>
      <c r="DL65" t="s">
        <v>3</v>
      </c>
      <c r="DM65">
        <v>0</v>
      </c>
      <c r="DN65" t="s">
        <v>3</v>
      </c>
      <c r="DO65">
        <v>0</v>
      </c>
    </row>
    <row r="66" spans="1:119" x14ac:dyDescent="0.2">
      <c r="A66">
        <f>ROW(Source!A81)</f>
        <v>81</v>
      </c>
      <c r="B66">
        <v>73953415</v>
      </c>
      <c r="C66">
        <v>73954665</v>
      </c>
      <c r="D66">
        <v>72646037</v>
      </c>
      <c r="E66">
        <v>1</v>
      </c>
      <c r="F66">
        <v>1</v>
      </c>
      <c r="G66">
        <v>1</v>
      </c>
      <c r="H66">
        <v>2</v>
      </c>
      <c r="I66" t="s">
        <v>435</v>
      </c>
      <c r="J66" t="s">
        <v>436</v>
      </c>
      <c r="K66" t="s">
        <v>437</v>
      </c>
      <c r="L66">
        <v>1368</v>
      </c>
      <c r="N66">
        <v>1011</v>
      </c>
      <c r="O66" t="s">
        <v>363</v>
      </c>
      <c r="P66" t="s">
        <v>363</v>
      </c>
      <c r="Q66">
        <v>1</v>
      </c>
      <c r="W66">
        <v>0</v>
      </c>
      <c r="X66">
        <v>-1791740122</v>
      </c>
      <c r="Y66">
        <f t="shared" si="33"/>
        <v>0.25</v>
      </c>
      <c r="AA66">
        <v>0</v>
      </c>
      <c r="AB66">
        <v>1836.16</v>
      </c>
      <c r="AC66">
        <v>537.64</v>
      </c>
      <c r="AD66">
        <v>0</v>
      </c>
      <c r="AE66">
        <v>0</v>
      </c>
      <c r="AF66">
        <v>1836.16</v>
      </c>
      <c r="AG66">
        <v>537.64</v>
      </c>
      <c r="AH66">
        <v>0</v>
      </c>
      <c r="AI66">
        <v>1</v>
      </c>
      <c r="AJ66">
        <v>1</v>
      </c>
      <c r="AK66">
        <v>1</v>
      </c>
      <c r="AL66">
        <v>1</v>
      </c>
      <c r="AM66">
        <v>-2</v>
      </c>
      <c r="AN66">
        <v>0</v>
      </c>
      <c r="AO66">
        <v>0</v>
      </c>
      <c r="AP66">
        <v>1</v>
      </c>
      <c r="AQ66">
        <v>1</v>
      </c>
      <c r="AR66">
        <v>0</v>
      </c>
      <c r="AS66" t="s">
        <v>3</v>
      </c>
      <c r="AT66">
        <v>0.25</v>
      </c>
      <c r="AU66" t="s">
        <v>3</v>
      </c>
      <c r="AV66">
        <v>1</v>
      </c>
      <c r="AW66">
        <v>2</v>
      </c>
      <c r="AX66">
        <v>73954694</v>
      </c>
      <c r="AY66">
        <v>1</v>
      </c>
      <c r="AZ66">
        <v>0</v>
      </c>
      <c r="BA66">
        <v>73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459.04</v>
      </c>
      <c r="BL66">
        <v>134.41</v>
      </c>
      <c r="BM66">
        <v>0</v>
      </c>
      <c r="BN66">
        <v>0</v>
      </c>
      <c r="BO66">
        <v>0.25</v>
      </c>
      <c r="BP66">
        <v>1</v>
      </c>
      <c r="BQ66">
        <v>0</v>
      </c>
      <c r="BR66">
        <v>459.04</v>
      </c>
      <c r="BS66">
        <v>134.41</v>
      </c>
      <c r="BT66">
        <v>0</v>
      </c>
      <c r="BU66">
        <v>0</v>
      </c>
      <c r="BV66">
        <v>0.25</v>
      </c>
      <c r="BW66">
        <v>1</v>
      </c>
      <c r="CV66">
        <v>0</v>
      </c>
      <c r="CW66">
        <f>ROUND(Y66*Source!I81*DO66,7)</f>
        <v>0.5</v>
      </c>
      <c r="CX66">
        <f>ROUND(Y66*Source!I81,7)</f>
        <v>0.5</v>
      </c>
      <c r="CY66">
        <f>AB66</f>
        <v>1836.16</v>
      </c>
      <c r="CZ66">
        <f>AF66</f>
        <v>1836.16</v>
      </c>
      <c r="DA66">
        <f>AJ66</f>
        <v>1</v>
      </c>
      <c r="DB66">
        <f t="shared" si="34"/>
        <v>459.04</v>
      </c>
      <c r="DC66">
        <f t="shared" si="35"/>
        <v>134.41</v>
      </c>
      <c r="DD66" t="s">
        <v>3</v>
      </c>
      <c r="DE66" t="s">
        <v>3</v>
      </c>
      <c r="DF66">
        <f t="shared" si="32"/>
        <v>0</v>
      </c>
      <c r="DG66">
        <f t="shared" si="31"/>
        <v>918.08</v>
      </c>
      <c r="DH66">
        <f t="shared" si="36"/>
        <v>268.82</v>
      </c>
      <c r="DI66">
        <f t="shared" si="37"/>
        <v>0</v>
      </c>
      <c r="DJ66">
        <f>DG66+DH66</f>
        <v>1186.9000000000001</v>
      </c>
      <c r="DK66">
        <v>1</v>
      </c>
      <c r="DL66" t="s">
        <v>364</v>
      </c>
      <c r="DM66">
        <v>6</v>
      </c>
      <c r="DN66" t="s">
        <v>359</v>
      </c>
      <c r="DO66">
        <v>1</v>
      </c>
    </row>
    <row r="67" spans="1:119" x14ac:dyDescent="0.2">
      <c r="A67">
        <f>ROW(Source!A81)</f>
        <v>81</v>
      </c>
      <c r="B67">
        <v>73953415</v>
      </c>
      <c r="C67">
        <v>73954665</v>
      </c>
      <c r="D67">
        <v>72646931</v>
      </c>
      <c r="E67">
        <v>1</v>
      </c>
      <c r="F67">
        <v>1</v>
      </c>
      <c r="G67">
        <v>1</v>
      </c>
      <c r="H67">
        <v>2</v>
      </c>
      <c r="I67" t="s">
        <v>441</v>
      </c>
      <c r="J67" t="s">
        <v>442</v>
      </c>
      <c r="K67" t="s">
        <v>443</v>
      </c>
      <c r="L67">
        <v>1368</v>
      </c>
      <c r="N67">
        <v>1011</v>
      </c>
      <c r="O67" t="s">
        <v>363</v>
      </c>
      <c r="P67" t="s">
        <v>363</v>
      </c>
      <c r="Q67">
        <v>1</v>
      </c>
      <c r="W67">
        <v>0</v>
      </c>
      <c r="X67">
        <v>4063365</v>
      </c>
      <c r="Y67">
        <f t="shared" si="33"/>
        <v>0.23</v>
      </c>
      <c r="AA67">
        <v>0</v>
      </c>
      <c r="AB67">
        <v>655.95</v>
      </c>
      <c r="AC67">
        <v>400.24</v>
      </c>
      <c r="AD67">
        <v>0</v>
      </c>
      <c r="AE67">
        <v>0</v>
      </c>
      <c r="AF67">
        <v>655.95</v>
      </c>
      <c r="AG67">
        <v>400.24</v>
      </c>
      <c r="AH67">
        <v>0</v>
      </c>
      <c r="AI67">
        <v>1</v>
      </c>
      <c r="AJ67">
        <v>1</v>
      </c>
      <c r="AK67">
        <v>1</v>
      </c>
      <c r="AL67">
        <v>1</v>
      </c>
      <c r="AM67">
        <v>-2</v>
      </c>
      <c r="AN67">
        <v>0</v>
      </c>
      <c r="AO67">
        <v>0</v>
      </c>
      <c r="AP67">
        <v>1</v>
      </c>
      <c r="AQ67">
        <v>1</v>
      </c>
      <c r="AR67">
        <v>0</v>
      </c>
      <c r="AS67" t="s">
        <v>3</v>
      </c>
      <c r="AT67">
        <v>0.23</v>
      </c>
      <c r="AU67" t="s">
        <v>3</v>
      </c>
      <c r="AV67">
        <v>1</v>
      </c>
      <c r="AW67">
        <v>2</v>
      </c>
      <c r="AX67">
        <v>73954695</v>
      </c>
      <c r="AY67">
        <v>1</v>
      </c>
      <c r="AZ67">
        <v>0</v>
      </c>
      <c r="BA67">
        <v>74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150.86850000000001</v>
      </c>
      <c r="BL67">
        <v>92.055199999999999</v>
      </c>
      <c r="BM67">
        <v>0</v>
      </c>
      <c r="BN67">
        <v>0</v>
      </c>
      <c r="BO67">
        <v>0.23</v>
      </c>
      <c r="BP67">
        <v>1</v>
      </c>
      <c r="BQ67">
        <v>0</v>
      </c>
      <c r="BR67">
        <v>150.86850000000001</v>
      </c>
      <c r="BS67">
        <v>92.055199999999999</v>
      </c>
      <c r="BT67">
        <v>0</v>
      </c>
      <c r="BU67">
        <v>0</v>
      </c>
      <c r="BV67">
        <v>0.23</v>
      </c>
      <c r="BW67">
        <v>1</v>
      </c>
      <c r="CV67">
        <v>0</v>
      </c>
      <c r="CW67">
        <f>ROUND(Y67*Source!I81*DO67,7)</f>
        <v>0.46</v>
      </c>
      <c r="CX67">
        <f>ROUND(Y67*Source!I81,7)</f>
        <v>0.46</v>
      </c>
      <c r="CY67">
        <f>AB67</f>
        <v>655.95</v>
      </c>
      <c r="CZ67">
        <f>AF67</f>
        <v>655.95</v>
      </c>
      <c r="DA67">
        <f>AJ67</f>
        <v>1</v>
      </c>
      <c r="DB67">
        <f t="shared" si="34"/>
        <v>150.87</v>
      </c>
      <c r="DC67">
        <f t="shared" si="35"/>
        <v>92.06</v>
      </c>
      <c r="DD67" t="s">
        <v>3</v>
      </c>
      <c r="DE67" t="s">
        <v>3</v>
      </c>
      <c r="DF67">
        <f t="shared" si="32"/>
        <v>0</v>
      </c>
      <c r="DG67">
        <f t="shared" si="31"/>
        <v>301.74</v>
      </c>
      <c r="DH67">
        <f t="shared" si="36"/>
        <v>184.11</v>
      </c>
      <c r="DI67">
        <f t="shared" si="37"/>
        <v>0</v>
      </c>
      <c r="DJ67">
        <f>DG67+DH67</f>
        <v>485.85</v>
      </c>
      <c r="DK67">
        <v>1</v>
      </c>
      <c r="DL67" t="s">
        <v>400</v>
      </c>
      <c r="DM67">
        <v>4</v>
      </c>
      <c r="DN67" t="s">
        <v>359</v>
      </c>
      <c r="DO67">
        <v>1</v>
      </c>
    </row>
    <row r="68" spans="1:119" x14ac:dyDescent="0.2">
      <c r="A68">
        <f>ROW(Source!A81)</f>
        <v>81</v>
      </c>
      <c r="B68">
        <v>73953415</v>
      </c>
      <c r="C68">
        <v>73954665</v>
      </c>
      <c r="D68">
        <v>72647091</v>
      </c>
      <c r="E68">
        <v>1</v>
      </c>
      <c r="F68">
        <v>1</v>
      </c>
      <c r="G68">
        <v>1</v>
      </c>
      <c r="H68">
        <v>2</v>
      </c>
      <c r="I68" t="s">
        <v>444</v>
      </c>
      <c r="J68" t="s">
        <v>445</v>
      </c>
      <c r="K68" t="s">
        <v>446</v>
      </c>
      <c r="L68">
        <v>1368</v>
      </c>
      <c r="N68">
        <v>1011</v>
      </c>
      <c r="O68" t="s">
        <v>363</v>
      </c>
      <c r="P68" t="s">
        <v>363</v>
      </c>
      <c r="Q68">
        <v>1</v>
      </c>
      <c r="W68">
        <v>0</v>
      </c>
      <c r="X68">
        <v>84725822</v>
      </c>
      <c r="Y68">
        <f t="shared" si="33"/>
        <v>0.01</v>
      </c>
      <c r="AA68">
        <v>0</v>
      </c>
      <c r="AB68">
        <v>5.66</v>
      </c>
      <c r="AC68">
        <v>0</v>
      </c>
      <c r="AD68">
        <v>0</v>
      </c>
      <c r="AE68">
        <v>0</v>
      </c>
      <c r="AF68">
        <v>4.3499999999999996</v>
      </c>
      <c r="AG68">
        <v>0</v>
      </c>
      <c r="AH68">
        <v>0</v>
      </c>
      <c r="AI68">
        <v>1</v>
      </c>
      <c r="AJ68">
        <v>1.3</v>
      </c>
      <c r="AK68">
        <v>1</v>
      </c>
      <c r="AL68">
        <v>1</v>
      </c>
      <c r="AM68">
        <v>2</v>
      </c>
      <c r="AN68">
        <v>0</v>
      </c>
      <c r="AO68">
        <v>0</v>
      </c>
      <c r="AP68">
        <v>1</v>
      </c>
      <c r="AQ68">
        <v>1</v>
      </c>
      <c r="AR68">
        <v>0</v>
      </c>
      <c r="AS68" t="s">
        <v>3</v>
      </c>
      <c r="AT68">
        <v>0.01</v>
      </c>
      <c r="AU68" t="s">
        <v>3</v>
      </c>
      <c r="AV68">
        <v>1</v>
      </c>
      <c r="AW68">
        <v>2</v>
      </c>
      <c r="AX68">
        <v>73954696</v>
      </c>
      <c r="AY68">
        <v>1</v>
      </c>
      <c r="AZ68">
        <v>0</v>
      </c>
      <c r="BA68">
        <v>75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4.3499999999999997E-2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0</v>
      </c>
      <c r="BR68">
        <v>4.3499999999999997E-2</v>
      </c>
      <c r="BS68">
        <v>0</v>
      </c>
      <c r="BT68">
        <v>0</v>
      </c>
      <c r="BU68">
        <v>0</v>
      </c>
      <c r="BV68">
        <v>0</v>
      </c>
      <c r="BW68">
        <v>1</v>
      </c>
      <c r="CV68">
        <v>0</v>
      </c>
      <c r="CW68">
        <f>ROUND(Y68*Source!I81*DO68,7)</f>
        <v>0</v>
      </c>
      <c r="CX68">
        <f>ROUND(Y68*Source!I81,7)</f>
        <v>0.02</v>
      </c>
      <c r="CY68">
        <f>AB68</f>
        <v>5.66</v>
      </c>
      <c r="CZ68">
        <f>AF68</f>
        <v>4.3499999999999996</v>
      </c>
      <c r="DA68">
        <f>AJ68</f>
        <v>1.3</v>
      </c>
      <c r="DB68">
        <f t="shared" si="34"/>
        <v>0.04</v>
      </c>
      <c r="DC68">
        <f t="shared" si="35"/>
        <v>0</v>
      </c>
      <c r="DD68" t="s">
        <v>3</v>
      </c>
      <c r="DE68" t="s">
        <v>3</v>
      </c>
      <c r="DF68">
        <f t="shared" si="32"/>
        <v>0</v>
      </c>
      <c r="DG68">
        <f>ROUND(ROUND(AF68*AJ68,2)*CX68,2)</f>
        <v>0.11</v>
      </c>
      <c r="DH68">
        <f t="shared" si="36"/>
        <v>0</v>
      </c>
      <c r="DI68">
        <f t="shared" si="37"/>
        <v>0</v>
      </c>
      <c r="DJ68">
        <f>DG68+DH68</f>
        <v>0.11</v>
      </c>
      <c r="DK68">
        <v>0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ROW(Source!A81)</f>
        <v>81</v>
      </c>
      <c r="B69">
        <v>73953415</v>
      </c>
      <c r="C69">
        <v>73954665</v>
      </c>
      <c r="D69">
        <v>72647129</v>
      </c>
      <c r="E69">
        <v>1</v>
      </c>
      <c r="F69">
        <v>1</v>
      </c>
      <c r="G69">
        <v>1</v>
      </c>
      <c r="H69">
        <v>2</v>
      </c>
      <c r="I69" t="s">
        <v>394</v>
      </c>
      <c r="J69" t="s">
        <v>395</v>
      </c>
      <c r="K69" t="s">
        <v>396</v>
      </c>
      <c r="L69">
        <v>1368</v>
      </c>
      <c r="N69">
        <v>1011</v>
      </c>
      <c r="O69" t="s">
        <v>363</v>
      </c>
      <c r="P69" t="s">
        <v>363</v>
      </c>
      <c r="Q69">
        <v>1</v>
      </c>
      <c r="W69">
        <v>0</v>
      </c>
      <c r="X69">
        <v>1678177714</v>
      </c>
      <c r="Y69">
        <f t="shared" si="33"/>
        <v>0.41</v>
      </c>
      <c r="AA69">
        <v>0</v>
      </c>
      <c r="AB69">
        <v>43.87</v>
      </c>
      <c r="AC69">
        <v>0</v>
      </c>
      <c r="AD69">
        <v>0</v>
      </c>
      <c r="AE69">
        <v>0</v>
      </c>
      <c r="AF69">
        <v>43.87</v>
      </c>
      <c r="AG69">
        <v>0</v>
      </c>
      <c r="AH69">
        <v>0</v>
      </c>
      <c r="AI69">
        <v>1</v>
      </c>
      <c r="AJ69">
        <v>1</v>
      </c>
      <c r="AK69">
        <v>1</v>
      </c>
      <c r="AL69">
        <v>1</v>
      </c>
      <c r="AM69">
        <v>-2</v>
      </c>
      <c r="AN69">
        <v>0</v>
      </c>
      <c r="AO69">
        <v>0</v>
      </c>
      <c r="AP69">
        <v>1</v>
      </c>
      <c r="AQ69">
        <v>1</v>
      </c>
      <c r="AR69">
        <v>0</v>
      </c>
      <c r="AS69" t="s">
        <v>3</v>
      </c>
      <c r="AT69">
        <v>0.41</v>
      </c>
      <c r="AU69" t="s">
        <v>3</v>
      </c>
      <c r="AV69">
        <v>1</v>
      </c>
      <c r="AW69">
        <v>2</v>
      </c>
      <c r="AX69">
        <v>73954697</v>
      </c>
      <c r="AY69">
        <v>1</v>
      </c>
      <c r="AZ69">
        <v>0</v>
      </c>
      <c r="BA69">
        <v>76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17.986699999999999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0</v>
      </c>
      <c r="BR69">
        <v>17.986699999999999</v>
      </c>
      <c r="BS69">
        <v>0</v>
      </c>
      <c r="BT69">
        <v>0</v>
      </c>
      <c r="BU69">
        <v>0</v>
      </c>
      <c r="BV69">
        <v>0</v>
      </c>
      <c r="BW69">
        <v>1</v>
      </c>
      <c r="CV69">
        <v>0</v>
      </c>
      <c r="CW69">
        <f>ROUND(Y69*Source!I81*DO69,7)</f>
        <v>0</v>
      </c>
      <c r="CX69">
        <f>ROUND(Y69*Source!I81,7)</f>
        <v>0.82</v>
      </c>
      <c r="CY69">
        <f>AB69</f>
        <v>43.87</v>
      </c>
      <c r="CZ69">
        <f>AF69</f>
        <v>43.87</v>
      </c>
      <c r="DA69">
        <f>AJ69</f>
        <v>1</v>
      </c>
      <c r="DB69">
        <f t="shared" si="34"/>
        <v>17.989999999999998</v>
      </c>
      <c r="DC69">
        <f t="shared" si="35"/>
        <v>0</v>
      </c>
      <c r="DD69" t="s">
        <v>3</v>
      </c>
      <c r="DE69" t="s">
        <v>3</v>
      </c>
      <c r="DF69">
        <f t="shared" si="32"/>
        <v>0</v>
      </c>
      <c r="DG69">
        <f t="shared" ref="DG69:DG79" si="38">ROUND(ROUND(AF69,2)*CX69,2)</f>
        <v>35.97</v>
      </c>
      <c r="DH69">
        <f t="shared" si="36"/>
        <v>0</v>
      </c>
      <c r="DI69">
        <f t="shared" si="37"/>
        <v>0</v>
      </c>
      <c r="DJ69">
        <f>DG69+DH69</f>
        <v>35.97</v>
      </c>
      <c r="DK69">
        <v>1</v>
      </c>
      <c r="DL69" t="s">
        <v>3</v>
      </c>
      <c r="DM69">
        <v>0</v>
      </c>
      <c r="DN69" t="s">
        <v>3</v>
      </c>
      <c r="DO69">
        <v>0</v>
      </c>
    </row>
    <row r="70" spans="1:119" x14ac:dyDescent="0.2">
      <c r="A70">
        <f>ROW(Source!A81)</f>
        <v>81</v>
      </c>
      <c r="B70">
        <v>73953415</v>
      </c>
      <c r="C70">
        <v>73954665</v>
      </c>
      <c r="D70">
        <v>72589309</v>
      </c>
      <c r="E70">
        <v>1</v>
      </c>
      <c r="F70">
        <v>1</v>
      </c>
      <c r="G70">
        <v>1</v>
      </c>
      <c r="H70">
        <v>3</v>
      </c>
      <c r="I70" t="s">
        <v>450</v>
      </c>
      <c r="J70" t="s">
        <v>451</v>
      </c>
      <c r="K70" t="s">
        <v>452</v>
      </c>
      <c r="L70">
        <v>1339</v>
      </c>
      <c r="N70">
        <v>1007</v>
      </c>
      <c r="O70" t="s">
        <v>48</v>
      </c>
      <c r="P70" t="s">
        <v>48</v>
      </c>
      <c r="Q70">
        <v>1</v>
      </c>
      <c r="W70">
        <v>0</v>
      </c>
      <c r="X70">
        <v>481898357</v>
      </c>
      <c r="Y70">
        <f t="shared" si="33"/>
        <v>1.4999999999999999E-2</v>
      </c>
      <c r="AA70">
        <v>115.4</v>
      </c>
      <c r="AB70">
        <v>0</v>
      </c>
      <c r="AC70">
        <v>0</v>
      </c>
      <c r="AD70">
        <v>0</v>
      </c>
      <c r="AE70">
        <v>115.4</v>
      </c>
      <c r="AF70">
        <v>0</v>
      </c>
      <c r="AG70">
        <v>0</v>
      </c>
      <c r="AH70">
        <v>0</v>
      </c>
      <c r="AI70">
        <v>1</v>
      </c>
      <c r="AJ70">
        <v>1</v>
      </c>
      <c r="AK70">
        <v>1</v>
      </c>
      <c r="AL70">
        <v>1</v>
      </c>
      <c r="AM70">
        <v>-2</v>
      </c>
      <c r="AN70">
        <v>0</v>
      </c>
      <c r="AO70">
        <v>0</v>
      </c>
      <c r="AP70">
        <v>1</v>
      </c>
      <c r="AQ70">
        <v>1</v>
      </c>
      <c r="AR70">
        <v>0</v>
      </c>
      <c r="AS70" t="s">
        <v>3</v>
      </c>
      <c r="AT70">
        <v>1.4999999999999999E-2</v>
      </c>
      <c r="AU70" t="s">
        <v>3</v>
      </c>
      <c r="AV70">
        <v>0</v>
      </c>
      <c r="AW70">
        <v>2</v>
      </c>
      <c r="AX70">
        <v>73954698</v>
      </c>
      <c r="AY70">
        <v>1</v>
      </c>
      <c r="AZ70">
        <v>0</v>
      </c>
      <c r="BA70">
        <v>77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1.7310000000000001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1.7310000000000001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CV70">
        <v>0</v>
      </c>
      <c r="CW70">
        <v>0</v>
      </c>
      <c r="CX70">
        <f>ROUND(Y70*Source!I81,7)</f>
        <v>0.03</v>
      </c>
      <c r="CY70">
        <f t="shared" ref="CY70:CY76" si="39">AA70</f>
        <v>115.4</v>
      </c>
      <c r="CZ70">
        <f t="shared" ref="CZ70:CZ76" si="40">AE70</f>
        <v>115.4</v>
      </c>
      <c r="DA70">
        <f t="shared" ref="DA70:DA76" si="41">AI70</f>
        <v>1</v>
      </c>
      <c r="DB70">
        <f t="shared" si="34"/>
        <v>1.73</v>
      </c>
      <c r="DC70">
        <f t="shared" si="35"/>
        <v>0</v>
      </c>
      <c r="DD70" t="s">
        <v>3</v>
      </c>
      <c r="DE70" t="s">
        <v>3</v>
      </c>
      <c r="DF70">
        <f t="shared" si="32"/>
        <v>3.46</v>
      </c>
      <c r="DG70">
        <f t="shared" si="38"/>
        <v>0</v>
      </c>
      <c r="DH70">
        <f t="shared" si="36"/>
        <v>0</v>
      </c>
      <c r="DI70">
        <f t="shared" si="37"/>
        <v>0</v>
      </c>
      <c r="DJ70">
        <f t="shared" ref="DJ70:DJ76" si="42">DF70</f>
        <v>3.46</v>
      </c>
      <c r="DK70">
        <v>1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ROW(Source!A81)</f>
        <v>81</v>
      </c>
      <c r="B71">
        <v>73953415</v>
      </c>
      <c r="C71">
        <v>73954665</v>
      </c>
      <c r="D71">
        <v>72589313</v>
      </c>
      <c r="E71">
        <v>1</v>
      </c>
      <c r="F71">
        <v>1</v>
      </c>
      <c r="G71">
        <v>1</v>
      </c>
      <c r="H71">
        <v>3</v>
      </c>
      <c r="I71" t="s">
        <v>453</v>
      </c>
      <c r="J71" t="s">
        <v>454</v>
      </c>
      <c r="K71" t="s">
        <v>455</v>
      </c>
      <c r="L71">
        <v>1346</v>
      </c>
      <c r="N71">
        <v>1009</v>
      </c>
      <c r="O71" t="s">
        <v>411</v>
      </c>
      <c r="P71" t="s">
        <v>411</v>
      </c>
      <c r="Q71">
        <v>1</v>
      </c>
      <c r="W71">
        <v>0</v>
      </c>
      <c r="X71">
        <v>-306130479</v>
      </c>
      <c r="Y71">
        <f t="shared" si="33"/>
        <v>3.5</v>
      </c>
      <c r="AA71">
        <v>57.52</v>
      </c>
      <c r="AB71">
        <v>0</v>
      </c>
      <c r="AC71">
        <v>0</v>
      </c>
      <c r="AD71">
        <v>0</v>
      </c>
      <c r="AE71">
        <v>41.38</v>
      </c>
      <c r="AF71">
        <v>0</v>
      </c>
      <c r="AG71">
        <v>0</v>
      </c>
      <c r="AH71">
        <v>0</v>
      </c>
      <c r="AI71">
        <v>1.39</v>
      </c>
      <c r="AJ71">
        <v>1</v>
      </c>
      <c r="AK71">
        <v>1</v>
      </c>
      <c r="AL71">
        <v>1</v>
      </c>
      <c r="AM71">
        <v>2</v>
      </c>
      <c r="AN71">
        <v>0</v>
      </c>
      <c r="AO71">
        <v>0</v>
      </c>
      <c r="AP71">
        <v>1</v>
      </c>
      <c r="AQ71">
        <v>1</v>
      </c>
      <c r="AR71">
        <v>0</v>
      </c>
      <c r="AS71" t="s">
        <v>3</v>
      </c>
      <c r="AT71">
        <v>3.5</v>
      </c>
      <c r="AU71" t="s">
        <v>3</v>
      </c>
      <c r="AV71">
        <v>0</v>
      </c>
      <c r="AW71">
        <v>2</v>
      </c>
      <c r="AX71">
        <v>73954699</v>
      </c>
      <c r="AY71">
        <v>1</v>
      </c>
      <c r="AZ71">
        <v>0</v>
      </c>
      <c r="BA71">
        <v>78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144.83000000000001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144.83000000000001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CV71">
        <v>0</v>
      </c>
      <c r="CW71">
        <v>0</v>
      </c>
      <c r="CX71">
        <f>ROUND(Y71*Source!I81,7)</f>
        <v>7</v>
      </c>
      <c r="CY71">
        <f t="shared" si="39"/>
        <v>57.52</v>
      </c>
      <c r="CZ71">
        <f t="shared" si="40"/>
        <v>41.38</v>
      </c>
      <c r="DA71">
        <f t="shared" si="41"/>
        <v>1.39</v>
      </c>
      <c r="DB71">
        <f t="shared" si="34"/>
        <v>144.83000000000001</v>
      </c>
      <c r="DC71">
        <f t="shared" si="35"/>
        <v>0</v>
      </c>
      <c r="DD71" t="s">
        <v>3</v>
      </c>
      <c r="DE71" t="s">
        <v>3</v>
      </c>
      <c r="DF71">
        <f>ROUND(ROUND(AE71*AI71,2)*CX71,2)</f>
        <v>402.64</v>
      </c>
      <c r="DG71">
        <f t="shared" si="38"/>
        <v>0</v>
      </c>
      <c r="DH71">
        <f t="shared" si="36"/>
        <v>0</v>
      </c>
      <c r="DI71">
        <f t="shared" si="37"/>
        <v>0</v>
      </c>
      <c r="DJ71">
        <f t="shared" si="42"/>
        <v>402.64</v>
      </c>
      <c r="DK71">
        <v>0</v>
      </c>
      <c r="DL71" t="s">
        <v>3</v>
      </c>
      <c r="DM71">
        <v>0</v>
      </c>
      <c r="DN71" t="s">
        <v>3</v>
      </c>
      <c r="DO71">
        <v>0</v>
      </c>
    </row>
    <row r="72" spans="1:119" x14ac:dyDescent="0.2">
      <c r="A72">
        <f>ROW(Source!A81)</f>
        <v>81</v>
      </c>
      <c r="B72">
        <v>73953415</v>
      </c>
      <c r="C72">
        <v>73954665</v>
      </c>
      <c r="D72">
        <v>72591353</v>
      </c>
      <c r="E72">
        <v>1</v>
      </c>
      <c r="F72">
        <v>1</v>
      </c>
      <c r="G72">
        <v>1</v>
      </c>
      <c r="H72">
        <v>3</v>
      </c>
      <c r="I72" t="s">
        <v>404</v>
      </c>
      <c r="J72" t="s">
        <v>405</v>
      </c>
      <c r="K72" t="s">
        <v>406</v>
      </c>
      <c r="L72">
        <v>1383</v>
      </c>
      <c r="N72">
        <v>1013</v>
      </c>
      <c r="O72" t="s">
        <v>407</v>
      </c>
      <c r="P72" t="s">
        <v>407</v>
      </c>
      <c r="Q72">
        <v>1</v>
      </c>
      <c r="W72">
        <v>0</v>
      </c>
      <c r="X72">
        <v>86017057</v>
      </c>
      <c r="Y72">
        <f t="shared" si="33"/>
        <v>0.16200000000000001</v>
      </c>
      <c r="AA72">
        <v>9.5500000000000007</v>
      </c>
      <c r="AB72">
        <v>0</v>
      </c>
      <c r="AC72">
        <v>0</v>
      </c>
      <c r="AD72">
        <v>0</v>
      </c>
      <c r="AE72">
        <v>9.5500000000000007</v>
      </c>
      <c r="AF72">
        <v>0</v>
      </c>
      <c r="AG72">
        <v>0</v>
      </c>
      <c r="AH72">
        <v>0</v>
      </c>
      <c r="AI72">
        <v>1</v>
      </c>
      <c r="AJ72">
        <v>1</v>
      </c>
      <c r="AK72">
        <v>1</v>
      </c>
      <c r="AL72">
        <v>1</v>
      </c>
      <c r="AM72">
        <v>-2</v>
      </c>
      <c r="AN72">
        <v>0</v>
      </c>
      <c r="AO72">
        <v>0</v>
      </c>
      <c r="AP72">
        <v>1</v>
      </c>
      <c r="AQ72">
        <v>1</v>
      </c>
      <c r="AR72">
        <v>0</v>
      </c>
      <c r="AS72" t="s">
        <v>3</v>
      </c>
      <c r="AT72">
        <v>0.16200000000000001</v>
      </c>
      <c r="AU72" t="s">
        <v>3</v>
      </c>
      <c r="AV72">
        <v>0</v>
      </c>
      <c r="AW72">
        <v>2</v>
      </c>
      <c r="AX72">
        <v>73954700</v>
      </c>
      <c r="AY72">
        <v>1</v>
      </c>
      <c r="AZ72">
        <v>0</v>
      </c>
      <c r="BA72">
        <v>79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1.5471000000000001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1.5471000000000001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CV72">
        <v>0</v>
      </c>
      <c r="CW72">
        <v>0</v>
      </c>
      <c r="CX72">
        <f>ROUND(Y72*Source!I81,7)</f>
        <v>0.32400000000000001</v>
      </c>
      <c r="CY72">
        <f t="shared" si="39"/>
        <v>9.5500000000000007</v>
      </c>
      <c r="CZ72">
        <f t="shared" si="40"/>
        <v>9.5500000000000007</v>
      </c>
      <c r="DA72">
        <f t="shared" si="41"/>
        <v>1</v>
      </c>
      <c r="DB72">
        <f t="shared" si="34"/>
        <v>1.55</v>
      </c>
      <c r="DC72">
        <f t="shared" si="35"/>
        <v>0</v>
      </c>
      <c r="DD72" t="s">
        <v>3</v>
      </c>
      <c r="DE72" t="s">
        <v>3</v>
      </c>
      <c r="DF72">
        <f>ROUND(ROUND(AE72,2)*CX72,2)</f>
        <v>3.09</v>
      </c>
      <c r="DG72">
        <f t="shared" si="38"/>
        <v>0</v>
      </c>
      <c r="DH72">
        <f t="shared" si="36"/>
        <v>0</v>
      </c>
      <c r="DI72">
        <f t="shared" si="37"/>
        <v>0</v>
      </c>
      <c r="DJ72">
        <f t="shared" si="42"/>
        <v>3.09</v>
      </c>
      <c r="DK72">
        <v>1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ROW(Source!A81)</f>
        <v>81</v>
      </c>
      <c r="B73">
        <v>73953415</v>
      </c>
      <c r="C73">
        <v>73954665</v>
      </c>
      <c r="D73">
        <v>72592092</v>
      </c>
      <c r="E73">
        <v>1</v>
      </c>
      <c r="F73">
        <v>1</v>
      </c>
      <c r="G73">
        <v>1</v>
      </c>
      <c r="H73">
        <v>3</v>
      </c>
      <c r="I73" t="s">
        <v>408</v>
      </c>
      <c r="J73" t="s">
        <v>409</v>
      </c>
      <c r="K73" t="s">
        <v>410</v>
      </c>
      <c r="L73">
        <v>1346</v>
      </c>
      <c r="N73">
        <v>1009</v>
      </c>
      <c r="O73" t="s">
        <v>411</v>
      </c>
      <c r="P73" t="s">
        <v>411</v>
      </c>
      <c r="Q73">
        <v>1</v>
      </c>
      <c r="W73">
        <v>0</v>
      </c>
      <c r="X73">
        <v>743240341</v>
      </c>
      <c r="Y73">
        <f t="shared" si="33"/>
        <v>0.09</v>
      </c>
      <c r="AA73">
        <v>131.85</v>
      </c>
      <c r="AB73">
        <v>0</v>
      </c>
      <c r="AC73">
        <v>0</v>
      </c>
      <c r="AD73">
        <v>0</v>
      </c>
      <c r="AE73">
        <v>131.85</v>
      </c>
      <c r="AF73">
        <v>0</v>
      </c>
      <c r="AG73">
        <v>0</v>
      </c>
      <c r="AH73">
        <v>0</v>
      </c>
      <c r="AI73">
        <v>1</v>
      </c>
      <c r="AJ73">
        <v>1</v>
      </c>
      <c r="AK73">
        <v>1</v>
      </c>
      <c r="AL73">
        <v>1</v>
      </c>
      <c r="AM73">
        <v>-2</v>
      </c>
      <c r="AN73">
        <v>0</v>
      </c>
      <c r="AO73">
        <v>0</v>
      </c>
      <c r="AP73">
        <v>1</v>
      </c>
      <c r="AQ73">
        <v>1</v>
      </c>
      <c r="AR73">
        <v>0</v>
      </c>
      <c r="AS73" t="s">
        <v>3</v>
      </c>
      <c r="AT73">
        <v>0.09</v>
      </c>
      <c r="AU73" t="s">
        <v>3</v>
      </c>
      <c r="AV73">
        <v>0</v>
      </c>
      <c r="AW73">
        <v>2</v>
      </c>
      <c r="AX73">
        <v>73954701</v>
      </c>
      <c r="AY73">
        <v>1</v>
      </c>
      <c r="AZ73">
        <v>0</v>
      </c>
      <c r="BA73">
        <v>80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11.866499999999998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11.866499999999998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CV73">
        <v>0</v>
      </c>
      <c r="CW73">
        <v>0</v>
      </c>
      <c r="CX73">
        <f>ROUND(Y73*Source!I81,7)</f>
        <v>0.18</v>
      </c>
      <c r="CY73">
        <f t="shared" si="39"/>
        <v>131.85</v>
      </c>
      <c r="CZ73">
        <f t="shared" si="40"/>
        <v>131.85</v>
      </c>
      <c r="DA73">
        <f t="shared" si="41"/>
        <v>1</v>
      </c>
      <c r="DB73">
        <f t="shared" si="34"/>
        <v>11.87</v>
      </c>
      <c r="DC73">
        <f t="shared" si="35"/>
        <v>0</v>
      </c>
      <c r="DD73" t="s">
        <v>3</v>
      </c>
      <c r="DE73" t="s">
        <v>3</v>
      </c>
      <c r="DF73">
        <f>ROUND(ROUND(AE73,2)*CX73,2)</f>
        <v>23.73</v>
      </c>
      <c r="DG73">
        <f t="shared" si="38"/>
        <v>0</v>
      </c>
      <c r="DH73">
        <f t="shared" si="36"/>
        <v>0</v>
      </c>
      <c r="DI73">
        <f t="shared" si="37"/>
        <v>0</v>
      </c>
      <c r="DJ73">
        <f t="shared" si="42"/>
        <v>23.73</v>
      </c>
      <c r="DK73">
        <v>1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ROW(Source!A81)</f>
        <v>81</v>
      </c>
      <c r="B74">
        <v>73953415</v>
      </c>
      <c r="C74">
        <v>73954665</v>
      </c>
      <c r="D74">
        <v>72594458</v>
      </c>
      <c r="E74">
        <v>1</v>
      </c>
      <c r="F74">
        <v>1</v>
      </c>
      <c r="G74">
        <v>1</v>
      </c>
      <c r="H74">
        <v>3</v>
      </c>
      <c r="I74" t="s">
        <v>484</v>
      </c>
      <c r="J74" t="s">
        <v>485</v>
      </c>
      <c r="K74" t="s">
        <v>486</v>
      </c>
      <c r="L74">
        <v>1339</v>
      </c>
      <c r="N74">
        <v>1007</v>
      </c>
      <c r="O74" t="s">
        <v>48</v>
      </c>
      <c r="P74" t="s">
        <v>48</v>
      </c>
      <c r="Q74">
        <v>1</v>
      </c>
      <c r="W74">
        <v>0</v>
      </c>
      <c r="X74">
        <v>-695340793</v>
      </c>
      <c r="Y74">
        <f t="shared" si="33"/>
        <v>0.02</v>
      </c>
      <c r="AA74">
        <v>2017.76</v>
      </c>
      <c r="AB74">
        <v>0</v>
      </c>
      <c r="AC74">
        <v>0</v>
      </c>
      <c r="AD74">
        <v>0</v>
      </c>
      <c r="AE74">
        <v>565.20000000000005</v>
      </c>
      <c r="AF74">
        <v>0</v>
      </c>
      <c r="AG74">
        <v>0</v>
      </c>
      <c r="AH74">
        <v>0</v>
      </c>
      <c r="AI74">
        <v>3.57</v>
      </c>
      <c r="AJ74">
        <v>1</v>
      </c>
      <c r="AK74">
        <v>1</v>
      </c>
      <c r="AL74">
        <v>1</v>
      </c>
      <c r="AM74">
        <v>2</v>
      </c>
      <c r="AN74">
        <v>0</v>
      </c>
      <c r="AO74">
        <v>0</v>
      </c>
      <c r="AP74">
        <v>1</v>
      </c>
      <c r="AQ74">
        <v>1</v>
      </c>
      <c r="AR74">
        <v>0</v>
      </c>
      <c r="AS74" t="s">
        <v>3</v>
      </c>
      <c r="AT74">
        <v>0.02</v>
      </c>
      <c r="AU74" t="s">
        <v>3</v>
      </c>
      <c r="AV74">
        <v>0</v>
      </c>
      <c r="AW74">
        <v>2</v>
      </c>
      <c r="AX74">
        <v>73954702</v>
      </c>
      <c r="AY74">
        <v>1</v>
      </c>
      <c r="AZ74">
        <v>0</v>
      </c>
      <c r="BA74">
        <v>81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11.304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</v>
      </c>
      <c r="BQ74">
        <v>11.304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CV74">
        <v>0</v>
      </c>
      <c r="CW74">
        <v>0</v>
      </c>
      <c r="CX74">
        <f>ROUND(Y74*Source!I81,7)</f>
        <v>0.04</v>
      </c>
      <c r="CY74">
        <f t="shared" si="39"/>
        <v>2017.76</v>
      </c>
      <c r="CZ74">
        <f t="shared" si="40"/>
        <v>565.20000000000005</v>
      </c>
      <c r="DA74">
        <f t="shared" si="41"/>
        <v>3.57</v>
      </c>
      <c r="DB74">
        <f t="shared" si="34"/>
        <v>11.3</v>
      </c>
      <c r="DC74">
        <f t="shared" si="35"/>
        <v>0</v>
      </c>
      <c r="DD74" t="s">
        <v>3</v>
      </c>
      <c r="DE74" t="s">
        <v>3</v>
      </c>
      <c r="DF74">
        <f>ROUND(ROUND(AE74*AI74,2)*CX74,2)</f>
        <v>80.709999999999994</v>
      </c>
      <c r="DG74">
        <f t="shared" si="38"/>
        <v>0</v>
      </c>
      <c r="DH74">
        <f t="shared" si="36"/>
        <v>0</v>
      </c>
      <c r="DI74">
        <f t="shared" si="37"/>
        <v>0</v>
      </c>
      <c r="DJ74">
        <f t="shared" si="42"/>
        <v>80.709999999999994</v>
      </c>
      <c r="DK74">
        <v>0</v>
      </c>
      <c r="DL74" t="s">
        <v>3</v>
      </c>
      <c r="DM74">
        <v>0</v>
      </c>
      <c r="DN74" t="s">
        <v>3</v>
      </c>
      <c r="DO74">
        <v>0</v>
      </c>
    </row>
    <row r="75" spans="1:119" x14ac:dyDescent="0.2">
      <c r="A75">
        <f>ROW(Source!A81)</f>
        <v>81</v>
      </c>
      <c r="B75">
        <v>73953415</v>
      </c>
      <c r="C75">
        <v>73954665</v>
      </c>
      <c r="D75">
        <v>72594935</v>
      </c>
      <c r="E75">
        <v>1</v>
      </c>
      <c r="F75">
        <v>1</v>
      </c>
      <c r="G75">
        <v>1</v>
      </c>
      <c r="H75">
        <v>3</v>
      </c>
      <c r="I75" t="s">
        <v>487</v>
      </c>
      <c r="J75" t="s">
        <v>488</v>
      </c>
      <c r="K75" t="s">
        <v>489</v>
      </c>
      <c r="L75">
        <v>1339</v>
      </c>
      <c r="N75">
        <v>1007</v>
      </c>
      <c r="O75" t="s">
        <v>48</v>
      </c>
      <c r="P75" t="s">
        <v>48</v>
      </c>
      <c r="Q75">
        <v>1</v>
      </c>
      <c r="W75">
        <v>0</v>
      </c>
      <c r="X75">
        <v>-1490999673</v>
      </c>
      <c r="Y75">
        <f t="shared" si="33"/>
        <v>1E-3</v>
      </c>
      <c r="AA75">
        <v>6441.93</v>
      </c>
      <c r="AB75">
        <v>0</v>
      </c>
      <c r="AC75">
        <v>0</v>
      </c>
      <c r="AD75">
        <v>0</v>
      </c>
      <c r="AE75">
        <v>4442.71</v>
      </c>
      <c r="AF75">
        <v>0</v>
      </c>
      <c r="AG75">
        <v>0</v>
      </c>
      <c r="AH75">
        <v>0</v>
      </c>
      <c r="AI75">
        <v>1.45</v>
      </c>
      <c r="AJ75">
        <v>1</v>
      </c>
      <c r="AK75">
        <v>1</v>
      </c>
      <c r="AL75">
        <v>1</v>
      </c>
      <c r="AM75">
        <v>2</v>
      </c>
      <c r="AN75">
        <v>0</v>
      </c>
      <c r="AO75">
        <v>0</v>
      </c>
      <c r="AP75">
        <v>1</v>
      </c>
      <c r="AQ75">
        <v>1</v>
      </c>
      <c r="AR75">
        <v>0</v>
      </c>
      <c r="AS75" t="s">
        <v>3</v>
      </c>
      <c r="AT75">
        <v>1E-3</v>
      </c>
      <c r="AU75" t="s">
        <v>3</v>
      </c>
      <c r="AV75">
        <v>0</v>
      </c>
      <c r="AW75">
        <v>2</v>
      </c>
      <c r="AX75">
        <v>73954703</v>
      </c>
      <c r="AY75">
        <v>1</v>
      </c>
      <c r="AZ75">
        <v>0</v>
      </c>
      <c r="BA75">
        <v>82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4.4427099999999999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4.4427099999999999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CV75">
        <v>0</v>
      </c>
      <c r="CW75">
        <v>0</v>
      </c>
      <c r="CX75">
        <f>ROUND(Y75*Source!I81,7)</f>
        <v>2E-3</v>
      </c>
      <c r="CY75">
        <f t="shared" si="39"/>
        <v>6441.93</v>
      </c>
      <c r="CZ75">
        <f t="shared" si="40"/>
        <v>4442.71</v>
      </c>
      <c r="DA75">
        <f t="shared" si="41"/>
        <v>1.45</v>
      </c>
      <c r="DB75">
        <f t="shared" si="34"/>
        <v>4.4400000000000004</v>
      </c>
      <c r="DC75">
        <f t="shared" si="35"/>
        <v>0</v>
      </c>
      <c r="DD75" t="s">
        <v>3</v>
      </c>
      <c r="DE75" t="s">
        <v>3</v>
      </c>
      <c r="DF75">
        <f>ROUND(ROUND(AE75*AI75,2)*CX75,2)</f>
        <v>12.88</v>
      </c>
      <c r="DG75">
        <f t="shared" si="38"/>
        <v>0</v>
      </c>
      <c r="DH75">
        <f t="shared" si="36"/>
        <v>0</v>
      </c>
      <c r="DI75">
        <f t="shared" si="37"/>
        <v>0</v>
      </c>
      <c r="DJ75">
        <f t="shared" si="42"/>
        <v>12.88</v>
      </c>
      <c r="DK75">
        <v>0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ROW(Source!A81)</f>
        <v>81</v>
      </c>
      <c r="B76">
        <v>73953415</v>
      </c>
      <c r="C76">
        <v>73954665</v>
      </c>
      <c r="D76">
        <v>72614776</v>
      </c>
      <c r="E76">
        <v>1</v>
      </c>
      <c r="F76">
        <v>1</v>
      </c>
      <c r="G76">
        <v>1</v>
      </c>
      <c r="H76">
        <v>3</v>
      </c>
      <c r="I76" t="s">
        <v>175</v>
      </c>
      <c r="J76" t="s">
        <v>177</v>
      </c>
      <c r="K76" t="s">
        <v>176</v>
      </c>
      <c r="L76">
        <v>1371</v>
      </c>
      <c r="N76">
        <v>1013</v>
      </c>
      <c r="O76" t="s">
        <v>130</v>
      </c>
      <c r="P76" t="s">
        <v>130</v>
      </c>
      <c r="Q76">
        <v>1</v>
      </c>
      <c r="W76">
        <v>0</v>
      </c>
      <c r="X76">
        <v>-450449238</v>
      </c>
      <c r="Y76">
        <f t="shared" si="33"/>
        <v>1</v>
      </c>
      <c r="AA76">
        <v>12222.23</v>
      </c>
      <c r="AB76">
        <v>0</v>
      </c>
      <c r="AC76">
        <v>0</v>
      </c>
      <c r="AD76">
        <v>0</v>
      </c>
      <c r="AE76">
        <v>8792.9699999999993</v>
      </c>
      <c r="AF76">
        <v>0</v>
      </c>
      <c r="AG76">
        <v>0</v>
      </c>
      <c r="AH76">
        <v>0</v>
      </c>
      <c r="AI76">
        <v>1.39</v>
      </c>
      <c r="AJ76">
        <v>1</v>
      </c>
      <c r="AK76">
        <v>1</v>
      </c>
      <c r="AL76">
        <v>1</v>
      </c>
      <c r="AM76">
        <v>0</v>
      </c>
      <c r="AN76">
        <v>0</v>
      </c>
      <c r="AO76">
        <v>0</v>
      </c>
      <c r="AP76">
        <v>1</v>
      </c>
      <c r="AQ76">
        <v>0</v>
      </c>
      <c r="AR76">
        <v>0</v>
      </c>
      <c r="AS76" t="s">
        <v>3</v>
      </c>
      <c r="AT76">
        <v>1</v>
      </c>
      <c r="AU76" t="s">
        <v>3</v>
      </c>
      <c r="AV76">
        <v>0</v>
      </c>
      <c r="AW76">
        <v>1</v>
      </c>
      <c r="AX76">
        <v>-1</v>
      </c>
      <c r="AY76">
        <v>0</v>
      </c>
      <c r="AZ76">
        <v>0</v>
      </c>
      <c r="BA76" t="s">
        <v>3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CV76">
        <v>0</v>
      </c>
      <c r="CW76">
        <v>0</v>
      </c>
      <c r="CX76">
        <f>ROUND(Y76*Source!I81,7)</f>
        <v>2</v>
      </c>
      <c r="CY76">
        <f t="shared" si="39"/>
        <v>12222.23</v>
      </c>
      <c r="CZ76">
        <f t="shared" si="40"/>
        <v>8792.9699999999993</v>
      </c>
      <c r="DA76">
        <f t="shared" si="41"/>
        <v>1.39</v>
      </c>
      <c r="DB76">
        <f t="shared" si="34"/>
        <v>8792.9699999999993</v>
      </c>
      <c r="DC76">
        <f t="shared" si="35"/>
        <v>0</v>
      </c>
      <c r="DD76" t="s">
        <v>3</v>
      </c>
      <c r="DE76" t="s">
        <v>3</v>
      </c>
      <c r="DF76">
        <f>ROUND(ROUND(AE76*AI76,2)*CX76,2)</f>
        <v>24444.46</v>
      </c>
      <c r="DG76">
        <f t="shared" si="38"/>
        <v>0</v>
      </c>
      <c r="DH76">
        <f t="shared" si="36"/>
        <v>0</v>
      </c>
      <c r="DI76">
        <f t="shared" si="37"/>
        <v>0</v>
      </c>
      <c r="DJ76">
        <f t="shared" si="42"/>
        <v>24444.46</v>
      </c>
      <c r="DK76">
        <v>0</v>
      </c>
      <c r="DL76" t="s">
        <v>3</v>
      </c>
      <c r="DM76">
        <v>0</v>
      </c>
      <c r="DN76" t="s">
        <v>3</v>
      </c>
      <c r="DO76">
        <v>0</v>
      </c>
    </row>
    <row r="77" spans="1:119" x14ac:dyDescent="0.2">
      <c r="A77">
        <f>ROW(Source!A83)</f>
        <v>83</v>
      </c>
      <c r="B77">
        <v>73953415</v>
      </c>
      <c r="C77">
        <v>73953862</v>
      </c>
      <c r="D77">
        <v>72518669</v>
      </c>
      <c r="E77">
        <v>119</v>
      </c>
      <c r="F77">
        <v>1</v>
      </c>
      <c r="G77">
        <v>1</v>
      </c>
      <c r="H77">
        <v>1</v>
      </c>
      <c r="I77" t="s">
        <v>490</v>
      </c>
      <c r="J77" t="s">
        <v>3</v>
      </c>
      <c r="K77" t="s">
        <v>491</v>
      </c>
      <c r="L77">
        <v>1191</v>
      </c>
      <c r="N77">
        <v>1013</v>
      </c>
      <c r="O77" t="s">
        <v>359</v>
      </c>
      <c r="P77" t="s">
        <v>359</v>
      </c>
      <c r="Q77">
        <v>1</v>
      </c>
      <c r="W77">
        <v>0</v>
      </c>
      <c r="X77">
        <v>1903532093</v>
      </c>
      <c r="Y77">
        <f t="shared" si="33"/>
        <v>5.91</v>
      </c>
      <c r="AA77">
        <v>0</v>
      </c>
      <c r="AB77">
        <v>0</v>
      </c>
      <c r="AC77">
        <v>0</v>
      </c>
      <c r="AD77">
        <v>430.11</v>
      </c>
      <c r="AE77">
        <v>0</v>
      </c>
      <c r="AF77">
        <v>0</v>
      </c>
      <c r="AG77">
        <v>0</v>
      </c>
      <c r="AH77">
        <v>430.11</v>
      </c>
      <c r="AI77">
        <v>1</v>
      </c>
      <c r="AJ77">
        <v>1</v>
      </c>
      <c r="AK77">
        <v>1</v>
      </c>
      <c r="AL77">
        <v>1</v>
      </c>
      <c r="AM77">
        <v>-2</v>
      </c>
      <c r="AN77">
        <v>0</v>
      </c>
      <c r="AO77">
        <v>0</v>
      </c>
      <c r="AP77">
        <v>0</v>
      </c>
      <c r="AQ77">
        <v>1</v>
      </c>
      <c r="AR77">
        <v>0</v>
      </c>
      <c r="AS77" t="s">
        <v>3</v>
      </c>
      <c r="AT77">
        <v>5.91</v>
      </c>
      <c r="AU77" t="s">
        <v>3</v>
      </c>
      <c r="AV77">
        <v>1</v>
      </c>
      <c r="AW77">
        <v>2</v>
      </c>
      <c r="AX77">
        <v>73953879</v>
      </c>
      <c r="AY77">
        <v>1</v>
      </c>
      <c r="AZ77">
        <v>0</v>
      </c>
      <c r="BA77">
        <v>86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2541.9501</v>
      </c>
      <c r="BN77">
        <v>5.91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2541.9501</v>
      </c>
      <c r="BU77">
        <v>5.91</v>
      </c>
      <c r="BV77">
        <v>0</v>
      </c>
      <c r="BW77">
        <v>1</v>
      </c>
      <c r="CU77">
        <f>ROUND(AT77*Source!I83*AH77*AL77,2)</f>
        <v>2541.9499999999998</v>
      </c>
      <c r="CV77">
        <f>ROUND(Y77*Source!I83,7)</f>
        <v>5.91</v>
      </c>
      <c r="CW77">
        <v>0</v>
      </c>
      <c r="CX77">
        <f>ROUND(Y77*Source!I83,7)</f>
        <v>5.91</v>
      </c>
      <c r="CY77">
        <f>AD77</f>
        <v>430.11</v>
      </c>
      <c r="CZ77">
        <f>AH77</f>
        <v>430.11</v>
      </c>
      <c r="DA77">
        <f>AL77</f>
        <v>1</v>
      </c>
      <c r="DB77">
        <f t="shared" si="34"/>
        <v>2541.9499999999998</v>
      </c>
      <c r="DC77">
        <f t="shared" si="35"/>
        <v>0</v>
      </c>
      <c r="DD77" t="s">
        <v>3</v>
      </c>
      <c r="DE77" t="s">
        <v>3</v>
      </c>
      <c r="DF77">
        <f t="shared" ref="DF77:DF82" si="43">ROUND(ROUND(AE77,2)*CX77,2)</f>
        <v>0</v>
      </c>
      <c r="DG77">
        <f t="shared" si="38"/>
        <v>0</v>
      </c>
      <c r="DH77">
        <f t="shared" si="36"/>
        <v>0</v>
      </c>
      <c r="DI77">
        <f t="shared" si="37"/>
        <v>2541.9499999999998</v>
      </c>
      <c r="DJ77">
        <f>DI77</f>
        <v>2541.9499999999998</v>
      </c>
      <c r="DK77">
        <v>1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ROW(Source!A83)</f>
        <v>83</v>
      </c>
      <c r="B78">
        <v>73953415</v>
      </c>
      <c r="C78">
        <v>73953862</v>
      </c>
      <c r="D78">
        <v>72518826</v>
      </c>
      <c r="E78">
        <v>119</v>
      </c>
      <c r="F78">
        <v>1</v>
      </c>
      <c r="G78">
        <v>1</v>
      </c>
      <c r="H78">
        <v>1</v>
      </c>
      <c r="I78" t="s">
        <v>357</v>
      </c>
      <c r="J78" t="s">
        <v>3</v>
      </c>
      <c r="K78" t="s">
        <v>358</v>
      </c>
      <c r="L78">
        <v>1191</v>
      </c>
      <c r="N78">
        <v>1013</v>
      </c>
      <c r="O78" t="s">
        <v>359</v>
      </c>
      <c r="P78" t="s">
        <v>359</v>
      </c>
      <c r="Q78">
        <v>1</v>
      </c>
      <c r="W78">
        <v>0</v>
      </c>
      <c r="X78">
        <v>-1417349443</v>
      </c>
      <c r="Y78">
        <f t="shared" si="33"/>
        <v>0.14000000000000001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1</v>
      </c>
      <c r="AM78">
        <v>-2</v>
      </c>
      <c r="AN78">
        <v>0</v>
      </c>
      <c r="AO78">
        <v>0</v>
      </c>
      <c r="AP78">
        <v>0</v>
      </c>
      <c r="AQ78">
        <v>1</v>
      </c>
      <c r="AR78">
        <v>0</v>
      </c>
      <c r="AS78" t="s">
        <v>3</v>
      </c>
      <c r="AT78">
        <v>0.14000000000000001</v>
      </c>
      <c r="AU78" t="s">
        <v>3</v>
      </c>
      <c r="AV78">
        <v>2</v>
      </c>
      <c r="AW78">
        <v>2</v>
      </c>
      <c r="AX78">
        <v>73953880</v>
      </c>
      <c r="AY78">
        <v>1</v>
      </c>
      <c r="AZ78">
        <v>0</v>
      </c>
      <c r="BA78">
        <v>87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CV78">
        <v>0</v>
      </c>
      <c r="CW78">
        <v>0</v>
      </c>
      <c r="CX78">
        <f>ROUND(Y78*Source!I83,7)</f>
        <v>0.14000000000000001</v>
      </c>
      <c r="CY78">
        <f>AD78</f>
        <v>0</v>
      </c>
      <c r="CZ78">
        <f>AH78</f>
        <v>0</v>
      </c>
      <c r="DA78">
        <f>AL78</f>
        <v>1</v>
      </c>
      <c r="DB78">
        <f t="shared" si="34"/>
        <v>0</v>
      </c>
      <c r="DC78">
        <f t="shared" si="35"/>
        <v>0</v>
      </c>
      <c r="DD78" t="s">
        <v>3</v>
      </c>
      <c r="DE78" t="s">
        <v>3</v>
      </c>
      <c r="DF78">
        <f t="shared" si="43"/>
        <v>0</v>
      </c>
      <c r="DG78">
        <f t="shared" si="38"/>
        <v>0</v>
      </c>
      <c r="DH78">
        <f t="shared" si="36"/>
        <v>0</v>
      </c>
      <c r="DI78">
        <f t="shared" si="37"/>
        <v>0</v>
      </c>
      <c r="DJ78">
        <f>DI78</f>
        <v>0</v>
      </c>
      <c r="DK78">
        <v>0</v>
      </c>
      <c r="DL78" t="s">
        <v>3</v>
      </c>
      <c r="DM78">
        <v>0</v>
      </c>
      <c r="DN78" t="s">
        <v>3</v>
      </c>
      <c r="DO78">
        <v>0</v>
      </c>
    </row>
    <row r="79" spans="1:119" x14ac:dyDescent="0.2">
      <c r="A79">
        <f>ROW(Source!A83)</f>
        <v>83</v>
      </c>
      <c r="B79">
        <v>73953415</v>
      </c>
      <c r="C79">
        <v>73953862</v>
      </c>
      <c r="D79">
        <v>72646931</v>
      </c>
      <c r="E79">
        <v>1</v>
      </c>
      <c r="F79">
        <v>1</v>
      </c>
      <c r="G79">
        <v>1</v>
      </c>
      <c r="H79">
        <v>2</v>
      </c>
      <c r="I79" t="s">
        <v>441</v>
      </c>
      <c r="J79" t="s">
        <v>442</v>
      </c>
      <c r="K79" t="s">
        <v>443</v>
      </c>
      <c r="L79">
        <v>1368</v>
      </c>
      <c r="N79">
        <v>1011</v>
      </c>
      <c r="O79" t="s">
        <v>363</v>
      </c>
      <c r="P79" t="s">
        <v>363</v>
      </c>
      <c r="Q79">
        <v>1</v>
      </c>
      <c r="W79">
        <v>0</v>
      </c>
      <c r="X79">
        <v>4063365</v>
      </c>
      <c r="Y79">
        <f t="shared" si="33"/>
        <v>0.14000000000000001</v>
      </c>
      <c r="AA79">
        <v>0</v>
      </c>
      <c r="AB79">
        <v>655.95</v>
      </c>
      <c r="AC79">
        <v>400.24</v>
      </c>
      <c r="AD79">
        <v>0</v>
      </c>
      <c r="AE79">
        <v>0</v>
      </c>
      <c r="AF79">
        <v>655.95</v>
      </c>
      <c r="AG79">
        <v>400.24</v>
      </c>
      <c r="AH79">
        <v>0</v>
      </c>
      <c r="AI79">
        <v>1</v>
      </c>
      <c r="AJ79">
        <v>1</v>
      </c>
      <c r="AK79">
        <v>1</v>
      </c>
      <c r="AL79">
        <v>1</v>
      </c>
      <c r="AM79">
        <v>-2</v>
      </c>
      <c r="AN79">
        <v>0</v>
      </c>
      <c r="AO79">
        <v>0</v>
      </c>
      <c r="AP79">
        <v>0</v>
      </c>
      <c r="AQ79">
        <v>1</v>
      </c>
      <c r="AR79">
        <v>0</v>
      </c>
      <c r="AS79" t="s">
        <v>3</v>
      </c>
      <c r="AT79">
        <v>0.14000000000000001</v>
      </c>
      <c r="AU79" t="s">
        <v>3</v>
      </c>
      <c r="AV79">
        <v>1</v>
      </c>
      <c r="AW79">
        <v>2</v>
      </c>
      <c r="AX79">
        <v>73953881</v>
      </c>
      <c r="AY79">
        <v>1</v>
      </c>
      <c r="AZ79">
        <v>0</v>
      </c>
      <c r="BA79">
        <v>88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91.833000000000013</v>
      </c>
      <c r="BL79">
        <v>56.033600000000007</v>
      </c>
      <c r="BM79">
        <v>0</v>
      </c>
      <c r="BN79">
        <v>0</v>
      </c>
      <c r="BO79">
        <v>0.14000000000000001</v>
      </c>
      <c r="BP79">
        <v>1</v>
      </c>
      <c r="BQ79">
        <v>0</v>
      </c>
      <c r="BR79">
        <v>91.833000000000013</v>
      </c>
      <c r="BS79">
        <v>56.033600000000007</v>
      </c>
      <c r="BT79">
        <v>0</v>
      </c>
      <c r="BU79">
        <v>0</v>
      </c>
      <c r="BV79">
        <v>0.14000000000000001</v>
      </c>
      <c r="BW79">
        <v>1</v>
      </c>
      <c r="CV79">
        <v>0</v>
      </c>
      <c r="CW79">
        <f>ROUND(Y79*Source!I83*DO79,7)</f>
        <v>0.14000000000000001</v>
      </c>
      <c r="CX79">
        <f>ROUND(Y79*Source!I83,7)</f>
        <v>0.14000000000000001</v>
      </c>
      <c r="CY79">
        <f>AB79</f>
        <v>655.95</v>
      </c>
      <c r="CZ79">
        <f>AF79</f>
        <v>655.95</v>
      </c>
      <c r="DA79">
        <f>AJ79</f>
        <v>1</v>
      </c>
      <c r="DB79">
        <f t="shared" si="34"/>
        <v>91.83</v>
      </c>
      <c r="DC79">
        <f t="shared" si="35"/>
        <v>56.03</v>
      </c>
      <c r="DD79" t="s">
        <v>3</v>
      </c>
      <c r="DE79" t="s">
        <v>3</v>
      </c>
      <c r="DF79">
        <f t="shared" si="43"/>
        <v>0</v>
      </c>
      <c r="DG79">
        <f t="shared" si="38"/>
        <v>91.83</v>
      </c>
      <c r="DH79">
        <f t="shared" si="36"/>
        <v>56.03</v>
      </c>
      <c r="DI79">
        <f t="shared" si="37"/>
        <v>0</v>
      </c>
      <c r="DJ79">
        <f>DG79+DH79</f>
        <v>147.86000000000001</v>
      </c>
      <c r="DK79">
        <v>1</v>
      </c>
      <c r="DL79" t="s">
        <v>400</v>
      </c>
      <c r="DM79">
        <v>4</v>
      </c>
      <c r="DN79" t="s">
        <v>359</v>
      </c>
      <c r="DO79">
        <v>1</v>
      </c>
    </row>
    <row r="80" spans="1:119" x14ac:dyDescent="0.2">
      <c r="A80">
        <f>ROW(Source!A83)</f>
        <v>83</v>
      </c>
      <c r="B80">
        <v>73953415</v>
      </c>
      <c r="C80">
        <v>73953862</v>
      </c>
      <c r="D80">
        <v>72647091</v>
      </c>
      <c r="E80">
        <v>1</v>
      </c>
      <c r="F80">
        <v>1</v>
      </c>
      <c r="G80">
        <v>1</v>
      </c>
      <c r="H80">
        <v>2</v>
      </c>
      <c r="I80" t="s">
        <v>444</v>
      </c>
      <c r="J80" t="s">
        <v>445</v>
      </c>
      <c r="K80" t="s">
        <v>446</v>
      </c>
      <c r="L80">
        <v>1368</v>
      </c>
      <c r="N80">
        <v>1011</v>
      </c>
      <c r="O80" t="s">
        <v>363</v>
      </c>
      <c r="P80" t="s">
        <v>363</v>
      </c>
      <c r="Q80">
        <v>1</v>
      </c>
      <c r="W80">
        <v>0</v>
      </c>
      <c r="X80">
        <v>84725822</v>
      </c>
      <c r="Y80">
        <f t="shared" si="33"/>
        <v>0.8</v>
      </c>
      <c r="AA80">
        <v>0</v>
      </c>
      <c r="AB80">
        <v>5.66</v>
      </c>
      <c r="AC80">
        <v>0</v>
      </c>
      <c r="AD80">
        <v>0</v>
      </c>
      <c r="AE80">
        <v>0</v>
      </c>
      <c r="AF80">
        <v>4.3499999999999996</v>
      </c>
      <c r="AG80">
        <v>0</v>
      </c>
      <c r="AH80">
        <v>0</v>
      </c>
      <c r="AI80">
        <v>1</v>
      </c>
      <c r="AJ80">
        <v>1.3</v>
      </c>
      <c r="AK80">
        <v>1</v>
      </c>
      <c r="AL80">
        <v>1</v>
      </c>
      <c r="AM80">
        <v>2</v>
      </c>
      <c r="AN80">
        <v>0</v>
      </c>
      <c r="AO80">
        <v>0</v>
      </c>
      <c r="AP80">
        <v>0</v>
      </c>
      <c r="AQ80">
        <v>1</v>
      </c>
      <c r="AR80">
        <v>0</v>
      </c>
      <c r="AS80" t="s">
        <v>3</v>
      </c>
      <c r="AT80">
        <v>0.8</v>
      </c>
      <c r="AU80" t="s">
        <v>3</v>
      </c>
      <c r="AV80">
        <v>1</v>
      </c>
      <c r="AW80">
        <v>2</v>
      </c>
      <c r="AX80">
        <v>73953882</v>
      </c>
      <c r="AY80">
        <v>1</v>
      </c>
      <c r="AZ80">
        <v>0</v>
      </c>
      <c r="BA80">
        <v>89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3.48</v>
      </c>
      <c r="BL80">
        <v>0</v>
      </c>
      <c r="BM80">
        <v>0</v>
      </c>
      <c r="BN80">
        <v>0</v>
      </c>
      <c r="BO80">
        <v>0</v>
      </c>
      <c r="BP80">
        <v>1</v>
      </c>
      <c r="BQ80">
        <v>0</v>
      </c>
      <c r="BR80">
        <v>3.48</v>
      </c>
      <c r="BS80">
        <v>0</v>
      </c>
      <c r="BT80">
        <v>0</v>
      </c>
      <c r="BU80">
        <v>0</v>
      </c>
      <c r="BV80">
        <v>0</v>
      </c>
      <c r="BW80">
        <v>1</v>
      </c>
      <c r="CV80">
        <v>0</v>
      </c>
      <c r="CW80">
        <f>ROUND(Y80*Source!I83*DO80,7)</f>
        <v>0</v>
      </c>
      <c r="CX80">
        <f>ROUND(Y80*Source!I83,7)</f>
        <v>0.8</v>
      </c>
      <c r="CY80">
        <f>AB80</f>
        <v>5.66</v>
      </c>
      <c r="CZ80">
        <f>AF80</f>
        <v>4.3499999999999996</v>
      </c>
      <c r="DA80">
        <f>AJ80</f>
        <v>1.3</v>
      </c>
      <c r="DB80">
        <f t="shared" si="34"/>
        <v>3.48</v>
      </c>
      <c r="DC80">
        <f t="shared" si="35"/>
        <v>0</v>
      </c>
      <c r="DD80" t="s">
        <v>3</v>
      </c>
      <c r="DE80" t="s">
        <v>3</v>
      </c>
      <c r="DF80">
        <f t="shared" si="43"/>
        <v>0</v>
      </c>
      <c r="DG80">
        <f>ROUND(ROUND(AF80*AJ80,2)*CX80,2)</f>
        <v>4.53</v>
      </c>
      <c r="DH80">
        <f t="shared" si="36"/>
        <v>0</v>
      </c>
      <c r="DI80">
        <f t="shared" si="37"/>
        <v>0</v>
      </c>
      <c r="DJ80">
        <f>DG80+DH80</f>
        <v>4.53</v>
      </c>
      <c r="DK80">
        <v>0</v>
      </c>
      <c r="DL80" t="s">
        <v>3</v>
      </c>
      <c r="DM80">
        <v>0</v>
      </c>
      <c r="DN80" t="s">
        <v>3</v>
      </c>
      <c r="DO80">
        <v>0</v>
      </c>
    </row>
    <row r="81" spans="1:119" x14ac:dyDescent="0.2">
      <c r="A81">
        <f>ROW(Source!A83)</f>
        <v>83</v>
      </c>
      <c r="B81">
        <v>73953415</v>
      </c>
      <c r="C81">
        <v>73953862</v>
      </c>
      <c r="D81">
        <v>72647129</v>
      </c>
      <c r="E81">
        <v>1</v>
      </c>
      <c r="F81">
        <v>1</v>
      </c>
      <c r="G81">
        <v>1</v>
      </c>
      <c r="H81">
        <v>2</v>
      </c>
      <c r="I81" t="s">
        <v>394</v>
      </c>
      <c r="J81" t="s">
        <v>395</v>
      </c>
      <c r="K81" t="s">
        <v>396</v>
      </c>
      <c r="L81">
        <v>1368</v>
      </c>
      <c r="N81">
        <v>1011</v>
      </c>
      <c r="O81" t="s">
        <v>363</v>
      </c>
      <c r="P81" t="s">
        <v>363</v>
      </c>
      <c r="Q81">
        <v>1</v>
      </c>
      <c r="W81">
        <v>0</v>
      </c>
      <c r="X81">
        <v>1678177714</v>
      </c>
      <c r="Y81">
        <f t="shared" si="33"/>
        <v>2.4500000000000002</v>
      </c>
      <c r="AA81">
        <v>0</v>
      </c>
      <c r="AB81">
        <v>43.87</v>
      </c>
      <c r="AC81">
        <v>0</v>
      </c>
      <c r="AD81">
        <v>0</v>
      </c>
      <c r="AE81">
        <v>0</v>
      </c>
      <c r="AF81">
        <v>43.87</v>
      </c>
      <c r="AG81">
        <v>0</v>
      </c>
      <c r="AH81">
        <v>0</v>
      </c>
      <c r="AI81">
        <v>1</v>
      </c>
      <c r="AJ81">
        <v>1</v>
      </c>
      <c r="AK81">
        <v>1</v>
      </c>
      <c r="AL81">
        <v>1</v>
      </c>
      <c r="AM81">
        <v>-2</v>
      </c>
      <c r="AN81">
        <v>0</v>
      </c>
      <c r="AO81">
        <v>0</v>
      </c>
      <c r="AP81">
        <v>0</v>
      </c>
      <c r="AQ81">
        <v>1</v>
      </c>
      <c r="AR81">
        <v>0</v>
      </c>
      <c r="AS81" t="s">
        <v>3</v>
      </c>
      <c r="AT81">
        <v>2.4500000000000002</v>
      </c>
      <c r="AU81" t="s">
        <v>3</v>
      </c>
      <c r="AV81">
        <v>1</v>
      </c>
      <c r="AW81">
        <v>2</v>
      </c>
      <c r="AX81">
        <v>73953883</v>
      </c>
      <c r="AY81">
        <v>1</v>
      </c>
      <c r="AZ81">
        <v>0</v>
      </c>
      <c r="BA81">
        <v>90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107.4815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0</v>
      </c>
      <c r="BR81">
        <v>107.4815</v>
      </c>
      <c r="BS81">
        <v>0</v>
      </c>
      <c r="BT81">
        <v>0</v>
      </c>
      <c r="BU81">
        <v>0</v>
      </c>
      <c r="BV81">
        <v>0</v>
      </c>
      <c r="BW81">
        <v>1</v>
      </c>
      <c r="CV81">
        <v>0</v>
      </c>
      <c r="CW81">
        <f>ROUND(Y81*Source!I83*DO81,7)</f>
        <v>0</v>
      </c>
      <c r="CX81">
        <f>ROUND(Y81*Source!I83,7)</f>
        <v>2.4500000000000002</v>
      </c>
      <c r="CY81">
        <f>AB81</f>
        <v>43.87</v>
      </c>
      <c r="CZ81">
        <f>AF81</f>
        <v>43.87</v>
      </c>
      <c r="DA81">
        <f>AJ81</f>
        <v>1</v>
      </c>
      <c r="DB81">
        <f t="shared" si="34"/>
        <v>107.48</v>
      </c>
      <c r="DC81">
        <f t="shared" si="35"/>
        <v>0</v>
      </c>
      <c r="DD81" t="s">
        <v>3</v>
      </c>
      <c r="DE81" t="s">
        <v>3</v>
      </c>
      <c r="DF81">
        <f t="shared" si="43"/>
        <v>0</v>
      </c>
      <c r="DG81">
        <f t="shared" ref="DG81:DG94" si="44">ROUND(ROUND(AF81,2)*CX81,2)</f>
        <v>107.48</v>
      </c>
      <c r="DH81">
        <f t="shared" si="36"/>
        <v>0</v>
      </c>
      <c r="DI81">
        <f t="shared" si="37"/>
        <v>0</v>
      </c>
      <c r="DJ81">
        <f>DG81+DH81</f>
        <v>107.48</v>
      </c>
      <c r="DK81">
        <v>1</v>
      </c>
      <c r="DL81" t="s">
        <v>3</v>
      </c>
      <c r="DM81">
        <v>0</v>
      </c>
      <c r="DN81" t="s">
        <v>3</v>
      </c>
      <c r="DO81">
        <v>0</v>
      </c>
    </row>
    <row r="82" spans="1:119" x14ac:dyDescent="0.2">
      <c r="A82">
        <f>ROW(Source!A83)</f>
        <v>83</v>
      </c>
      <c r="B82">
        <v>73953415</v>
      </c>
      <c r="C82">
        <v>73953862</v>
      </c>
      <c r="D82">
        <v>72589309</v>
      </c>
      <c r="E82">
        <v>1</v>
      </c>
      <c r="F82">
        <v>1</v>
      </c>
      <c r="G82">
        <v>1</v>
      </c>
      <c r="H82">
        <v>3</v>
      </c>
      <c r="I82" t="s">
        <v>450</v>
      </c>
      <c r="J82" t="s">
        <v>451</v>
      </c>
      <c r="K82" t="s">
        <v>452</v>
      </c>
      <c r="L82">
        <v>1339</v>
      </c>
      <c r="N82">
        <v>1007</v>
      </c>
      <c r="O82" t="s">
        <v>48</v>
      </c>
      <c r="P82" t="s">
        <v>48</v>
      </c>
      <c r="Q82">
        <v>1</v>
      </c>
      <c r="W82">
        <v>0</v>
      </c>
      <c r="X82">
        <v>481898357</v>
      </c>
      <c r="Y82">
        <f t="shared" si="33"/>
        <v>0.3</v>
      </c>
      <c r="AA82">
        <v>115.4</v>
      </c>
      <c r="AB82">
        <v>0</v>
      </c>
      <c r="AC82">
        <v>0</v>
      </c>
      <c r="AD82">
        <v>0</v>
      </c>
      <c r="AE82">
        <v>115.4</v>
      </c>
      <c r="AF82">
        <v>0</v>
      </c>
      <c r="AG82">
        <v>0</v>
      </c>
      <c r="AH82">
        <v>0</v>
      </c>
      <c r="AI82">
        <v>1</v>
      </c>
      <c r="AJ82">
        <v>1</v>
      </c>
      <c r="AK82">
        <v>1</v>
      </c>
      <c r="AL82">
        <v>1</v>
      </c>
      <c r="AM82">
        <v>-2</v>
      </c>
      <c r="AN82">
        <v>0</v>
      </c>
      <c r="AO82">
        <v>0</v>
      </c>
      <c r="AP82">
        <v>0</v>
      </c>
      <c r="AQ82">
        <v>1</v>
      </c>
      <c r="AR82">
        <v>0</v>
      </c>
      <c r="AS82" t="s">
        <v>3</v>
      </c>
      <c r="AT82">
        <v>0.3</v>
      </c>
      <c r="AU82" t="s">
        <v>3</v>
      </c>
      <c r="AV82">
        <v>0</v>
      </c>
      <c r="AW82">
        <v>2</v>
      </c>
      <c r="AX82">
        <v>73953884</v>
      </c>
      <c r="AY82">
        <v>1</v>
      </c>
      <c r="AZ82">
        <v>0</v>
      </c>
      <c r="BA82">
        <v>91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34.619999999999997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1</v>
      </c>
      <c r="BQ82">
        <v>34.619999999999997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1</v>
      </c>
      <c r="CV82">
        <v>0</v>
      </c>
      <c r="CW82">
        <v>0</v>
      </c>
      <c r="CX82">
        <f>ROUND(Y82*Source!I83,7)</f>
        <v>0.3</v>
      </c>
      <c r="CY82">
        <f t="shared" ref="CY82:CY92" si="45">AA82</f>
        <v>115.4</v>
      </c>
      <c r="CZ82">
        <f t="shared" ref="CZ82:CZ92" si="46">AE82</f>
        <v>115.4</v>
      </c>
      <c r="DA82">
        <f t="shared" ref="DA82:DA92" si="47">AI82</f>
        <v>1</v>
      </c>
      <c r="DB82">
        <f t="shared" si="34"/>
        <v>34.619999999999997</v>
      </c>
      <c r="DC82">
        <f t="shared" si="35"/>
        <v>0</v>
      </c>
      <c r="DD82" t="s">
        <v>3</v>
      </c>
      <c r="DE82" t="s">
        <v>3</v>
      </c>
      <c r="DF82">
        <f t="shared" si="43"/>
        <v>34.619999999999997</v>
      </c>
      <c r="DG82">
        <f t="shared" si="44"/>
        <v>0</v>
      </c>
      <c r="DH82">
        <f t="shared" si="36"/>
        <v>0</v>
      </c>
      <c r="DI82">
        <f t="shared" si="37"/>
        <v>0</v>
      </c>
      <c r="DJ82">
        <f t="shared" ref="DJ82:DJ92" si="48">DF82</f>
        <v>34.619999999999997</v>
      </c>
      <c r="DK82">
        <v>1</v>
      </c>
      <c r="DL82" t="s">
        <v>3</v>
      </c>
      <c r="DM82">
        <v>0</v>
      </c>
      <c r="DN82" t="s">
        <v>3</v>
      </c>
      <c r="DO82">
        <v>0</v>
      </c>
    </row>
    <row r="83" spans="1:119" x14ac:dyDescent="0.2">
      <c r="A83">
        <f>ROW(Source!A83)</f>
        <v>83</v>
      </c>
      <c r="B83">
        <v>73953415</v>
      </c>
      <c r="C83">
        <v>73953862</v>
      </c>
      <c r="D83">
        <v>72589313</v>
      </c>
      <c r="E83">
        <v>1</v>
      </c>
      <c r="F83">
        <v>1</v>
      </c>
      <c r="G83">
        <v>1</v>
      </c>
      <c r="H83">
        <v>3</v>
      </c>
      <c r="I83" t="s">
        <v>453</v>
      </c>
      <c r="J83" t="s">
        <v>454</v>
      </c>
      <c r="K83" t="s">
        <v>455</v>
      </c>
      <c r="L83">
        <v>1346</v>
      </c>
      <c r="N83">
        <v>1009</v>
      </c>
      <c r="O83" t="s">
        <v>411</v>
      </c>
      <c r="P83" t="s">
        <v>411</v>
      </c>
      <c r="Q83">
        <v>1</v>
      </c>
      <c r="W83">
        <v>0</v>
      </c>
      <c r="X83">
        <v>-306130479</v>
      </c>
      <c r="Y83">
        <f t="shared" si="33"/>
        <v>0.06</v>
      </c>
      <c r="AA83">
        <v>57.52</v>
      </c>
      <c r="AB83">
        <v>0</v>
      </c>
      <c r="AC83">
        <v>0</v>
      </c>
      <c r="AD83">
        <v>0</v>
      </c>
      <c r="AE83">
        <v>41.38</v>
      </c>
      <c r="AF83">
        <v>0</v>
      </c>
      <c r="AG83">
        <v>0</v>
      </c>
      <c r="AH83">
        <v>0</v>
      </c>
      <c r="AI83">
        <v>1.39</v>
      </c>
      <c r="AJ83">
        <v>1</v>
      </c>
      <c r="AK83">
        <v>1</v>
      </c>
      <c r="AL83">
        <v>1</v>
      </c>
      <c r="AM83">
        <v>2</v>
      </c>
      <c r="AN83">
        <v>0</v>
      </c>
      <c r="AO83">
        <v>0</v>
      </c>
      <c r="AP83">
        <v>0</v>
      </c>
      <c r="AQ83">
        <v>1</v>
      </c>
      <c r="AR83">
        <v>0</v>
      </c>
      <c r="AS83" t="s">
        <v>3</v>
      </c>
      <c r="AT83">
        <v>0.06</v>
      </c>
      <c r="AU83" t="s">
        <v>3</v>
      </c>
      <c r="AV83">
        <v>0</v>
      </c>
      <c r="AW83">
        <v>2</v>
      </c>
      <c r="AX83">
        <v>73953885</v>
      </c>
      <c r="AY83">
        <v>1</v>
      </c>
      <c r="AZ83">
        <v>0</v>
      </c>
      <c r="BA83">
        <v>92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2.4828000000000001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1</v>
      </c>
      <c r="BQ83">
        <v>2.4828000000000001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CV83">
        <v>0</v>
      </c>
      <c r="CW83">
        <v>0</v>
      </c>
      <c r="CX83">
        <f>ROUND(Y83*Source!I83,7)</f>
        <v>0.06</v>
      </c>
      <c r="CY83">
        <f t="shared" si="45"/>
        <v>57.52</v>
      </c>
      <c r="CZ83">
        <f t="shared" si="46"/>
        <v>41.38</v>
      </c>
      <c r="DA83">
        <f t="shared" si="47"/>
        <v>1.39</v>
      </c>
      <c r="DB83">
        <f t="shared" si="34"/>
        <v>2.48</v>
      </c>
      <c r="DC83">
        <f t="shared" si="35"/>
        <v>0</v>
      </c>
      <c r="DD83" t="s">
        <v>3</v>
      </c>
      <c r="DE83" t="s">
        <v>3</v>
      </c>
      <c r="DF83">
        <f>ROUND(ROUND(AE83*AI83,2)*CX83,2)</f>
        <v>3.45</v>
      </c>
      <c r="DG83">
        <f t="shared" si="44"/>
        <v>0</v>
      </c>
      <c r="DH83">
        <f t="shared" si="36"/>
        <v>0</v>
      </c>
      <c r="DI83">
        <f t="shared" si="37"/>
        <v>0</v>
      </c>
      <c r="DJ83">
        <f t="shared" si="48"/>
        <v>3.45</v>
      </c>
      <c r="DK83">
        <v>0</v>
      </c>
      <c r="DL83" t="s">
        <v>3</v>
      </c>
      <c r="DM83">
        <v>0</v>
      </c>
      <c r="DN83" t="s">
        <v>3</v>
      </c>
      <c r="DO83">
        <v>0</v>
      </c>
    </row>
    <row r="84" spans="1:119" x14ac:dyDescent="0.2">
      <c r="A84">
        <f>ROW(Source!A83)</f>
        <v>83</v>
      </c>
      <c r="B84">
        <v>73953415</v>
      </c>
      <c r="C84">
        <v>73953862</v>
      </c>
      <c r="D84">
        <v>72591353</v>
      </c>
      <c r="E84">
        <v>1</v>
      </c>
      <c r="F84">
        <v>1</v>
      </c>
      <c r="G84">
        <v>1</v>
      </c>
      <c r="H84">
        <v>3</v>
      </c>
      <c r="I84" t="s">
        <v>404</v>
      </c>
      <c r="J84" t="s">
        <v>405</v>
      </c>
      <c r="K84" t="s">
        <v>406</v>
      </c>
      <c r="L84">
        <v>1383</v>
      </c>
      <c r="N84">
        <v>1013</v>
      </c>
      <c r="O84" t="s">
        <v>407</v>
      </c>
      <c r="P84" t="s">
        <v>407</v>
      </c>
      <c r="Q84">
        <v>1</v>
      </c>
      <c r="W84">
        <v>0</v>
      </c>
      <c r="X84">
        <v>86017057</v>
      </c>
      <c r="Y84">
        <f t="shared" si="33"/>
        <v>0.45</v>
      </c>
      <c r="AA84">
        <v>9.5500000000000007</v>
      </c>
      <c r="AB84">
        <v>0</v>
      </c>
      <c r="AC84">
        <v>0</v>
      </c>
      <c r="AD84">
        <v>0</v>
      </c>
      <c r="AE84">
        <v>9.5500000000000007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1</v>
      </c>
      <c r="AL84">
        <v>1</v>
      </c>
      <c r="AM84">
        <v>-2</v>
      </c>
      <c r="AN84">
        <v>0</v>
      </c>
      <c r="AO84">
        <v>0</v>
      </c>
      <c r="AP84">
        <v>0</v>
      </c>
      <c r="AQ84">
        <v>1</v>
      </c>
      <c r="AR84">
        <v>0</v>
      </c>
      <c r="AS84" t="s">
        <v>3</v>
      </c>
      <c r="AT84">
        <v>0.45</v>
      </c>
      <c r="AU84" t="s">
        <v>3</v>
      </c>
      <c r="AV84">
        <v>0</v>
      </c>
      <c r="AW84">
        <v>2</v>
      </c>
      <c r="AX84">
        <v>73953886</v>
      </c>
      <c r="AY84">
        <v>1</v>
      </c>
      <c r="AZ84">
        <v>0</v>
      </c>
      <c r="BA84">
        <v>93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4.2975000000000003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1</v>
      </c>
      <c r="BQ84">
        <v>4.2975000000000003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</v>
      </c>
      <c r="CV84">
        <v>0</v>
      </c>
      <c r="CW84">
        <v>0</v>
      </c>
      <c r="CX84">
        <f>ROUND(Y84*Source!I83,7)</f>
        <v>0.45</v>
      </c>
      <c r="CY84">
        <f t="shared" si="45"/>
        <v>9.5500000000000007</v>
      </c>
      <c r="CZ84">
        <f t="shared" si="46"/>
        <v>9.5500000000000007</v>
      </c>
      <c r="DA84">
        <f t="shared" si="47"/>
        <v>1</v>
      </c>
      <c r="DB84">
        <f t="shared" si="34"/>
        <v>4.3</v>
      </c>
      <c r="DC84">
        <f t="shared" si="35"/>
        <v>0</v>
      </c>
      <c r="DD84" t="s">
        <v>3</v>
      </c>
      <c r="DE84" t="s">
        <v>3</v>
      </c>
      <c r="DF84">
        <f>ROUND(ROUND(AE84,2)*CX84,2)</f>
        <v>4.3</v>
      </c>
      <c r="DG84">
        <f t="shared" si="44"/>
        <v>0</v>
      </c>
      <c r="DH84">
        <f t="shared" si="36"/>
        <v>0</v>
      </c>
      <c r="DI84">
        <f t="shared" si="37"/>
        <v>0</v>
      </c>
      <c r="DJ84">
        <f t="shared" si="48"/>
        <v>4.3</v>
      </c>
      <c r="DK84">
        <v>1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ROW(Source!A83)</f>
        <v>83</v>
      </c>
      <c r="B85">
        <v>73953415</v>
      </c>
      <c r="C85">
        <v>73953862</v>
      </c>
      <c r="D85">
        <v>72592092</v>
      </c>
      <c r="E85">
        <v>1</v>
      </c>
      <c r="F85">
        <v>1</v>
      </c>
      <c r="G85">
        <v>1</v>
      </c>
      <c r="H85">
        <v>3</v>
      </c>
      <c r="I85" t="s">
        <v>408</v>
      </c>
      <c r="J85" t="s">
        <v>409</v>
      </c>
      <c r="K85" t="s">
        <v>410</v>
      </c>
      <c r="L85">
        <v>1346</v>
      </c>
      <c r="N85">
        <v>1009</v>
      </c>
      <c r="O85" t="s">
        <v>411</v>
      </c>
      <c r="P85" t="s">
        <v>411</v>
      </c>
      <c r="Q85">
        <v>1</v>
      </c>
      <c r="W85">
        <v>0</v>
      </c>
      <c r="X85">
        <v>743240341</v>
      </c>
      <c r="Y85">
        <f t="shared" si="33"/>
        <v>0.72</v>
      </c>
      <c r="AA85">
        <v>131.85</v>
      </c>
      <c r="AB85">
        <v>0</v>
      </c>
      <c r="AC85">
        <v>0</v>
      </c>
      <c r="AD85">
        <v>0</v>
      </c>
      <c r="AE85">
        <v>131.85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1</v>
      </c>
      <c r="AM85">
        <v>-2</v>
      </c>
      <c r="AN85">
        <v>0</v>
      </c>
      <c r="AO85">
        <v>0</v>
      </c>
      <c r="AP85">
        <v>0</v>
      </c>
      <c r="AQ85">
        <v>1</v>
      </c>
      <c r="AR85">
        <v>0</v>
      </c>
      <c r="AS85" t="s">
        <v>3</v>
      </c>
      <c r="AT85">
        <v>0.72</v>
      </c>
      <c r="AU85" t="s">
        <v>3</v>
      </c>
      <c r="AV85">
        <v>0</v>
      </c>
      <c r="AW85">
        <v>2</v>
      </c>
      <c r="AX85">
        <v>73953887</v>
      </c>
      <c r="AY85">
        <v>1</v>
      </c>
      <c r="AZ85">
        <v>0</v>
      </c>
      <c r="BA85">
        <v>94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94.931999999999988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94.931999999999988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CV85">
        <v>0</v>
      </c>
      <c r="CW85">
        <v>0</v>
      </c>
      <c r="CX85">
        <f>ROUND(Y85*Source!I83,7)</f>
        <v>0.72</v>
      </c>
      <c r="CY85">
        <f t="shared" si="45"/>
        <v>131.85</v>
      </c>
      <c r="CZ85">
        <f t="shared" si="46"/>
        <v>131.85</v>
      </c>
      <c r="DA85">
        <f t="shared" si="47"/>
        <v>1</v>
      </c>
      <c r="DB85">
        <f t="shared" si="34"/>
        <v>94.93</v>
      </c>
      <c r="DC85">
        <f t="shared" si="35"/>
        <v>0</v>
      </c>
      <c r="DD85" t="s">
        <v>3</v>
      </c>
      <c r="DE85" t="s">
        <v>3</v>
      </c>
      <c r="DF85">
        <f>ROUND(ROUND(AE85,2)*CX85,2)</f>
        <v>94.93</v>
      </c>
      <c r="DG85">
        <f t="shared" si="44"/>
        <v>0</v>
      </c>
      <c r="DH85">
        <f t="shared" si="36"/>
        <v>0</v>
      </c>
      <c r="DI85">
        <f t="shared" si="37"/>
        <v>0</v>
      </c>
      <c r="DJ85">
        <f t="shared" si="48"/>
        <v>94.93</v>
      </c>
      <c r="DK85">
        <v>1</v>
      </c>
      <c r="DL85" t="s">
        <v>3</v>
      </c>
      <c r="DM85">
        <v>0</v>
      </c>
      <c r="DN85" t="s">
        <v>3</v>
      </c>
      <c r="DO85">
        <v>0</v>
      </c>
    </row>
    <row r="86" spans="1:119" x14ac:dyDescent="0.2">
      <c r="A86">
        <f>ROW(Source!A83)</f>
        <v>83</v>
      </c>
      <c r="B86">
        <v>73953415</v>
      </c>
      <c r="C86">
        <v>73953862</v>
      </c>
      <c r="D86">
        <v>72592868</v>
      </c>
      <c r="E86">
        <v>1</v>
      </c>
      <c r="F86">
        <v>1</v>
      </c>
      <c r="G86">
        <v>1</v>
      </c>
      <c r="H86">
        <v>3</v>
      </c>
      <c r="I86" t="s">
        <v>492</v>
      </c>
      <c r="J86" t="s">
        <v>493</v>
      </c>
      <c r="K86" t="s">
        <v>494</v>
      </c>
      <c r="L86">
        <v>1346</v>
      </c>
      <c r="N86">
        <v>1009</v>
      </c>
      <c r="O86" t="s">
        <v>411</v>
      </c>
      <c r="P86" t="s">
        <v>411</v>
      </c>
      <c r="Q86">
        <v>1</v>
      </c>
      <c r="W86">
        <v>0</v>
      </c>
      <c r="X86">
        <v>1721255317</v>
      </c>
      <c r="Y86">
        <f t="shared" si="33"/>
        <v>0.75</v>
      </c>
      <c r="AA86">
        <v>195.92</v>
      </c>
      <c r="AB86">
        <v>0</v>
      </c>
      <c r="AC86">
        <v>0</v>
      </c>
      <c r="AD86">
        <v>0</v>
      </c>
      <c r="AE86">
        <v>174.93</v>
      </c>
      <c r="AF86">
        <v>0</v>
      </c>
      <c r="AG86">
        <v>0</v>
      </c>
      <c r="AH86">
        <v>0</v>
      </c>
      <c r="AI86">
        <v>1.1200000000000001</v>
      </c>
      <c r="AJ86">
        <v>1</v>
      </c>
      <c r="AK86">
        <v>1</v>
      </c>
      <c r="AL86">
        <v>1</v>
      </c>
      <c r="AM86">
        <v>2</v>
      </c>
      <c r="AN86">
        <v>0</v>
      </c>
      <c r="AO86">
        <v>0</v>
      </c>
      <c r="AP86">
        <v>0</v>
      </c>
      <c r="AQ86">
        <v>1</v>
      </c>
      <c r="AR86">
        <v>0</v>
      </c>
      <c r="AS86" t="s">
        <v>3</v>
      </c>
      <c r="AT86">
        <v>0.75</v>
      </c>
      <c r="AU86" t="s">
        <v>3</v>
      </c>
      <c r="AV86">
        <v>0</v>
      </c>
      <c r="AW86">
        <v>2</v>
      </c>
      <c r="AX86">
        <v>73953888</v>
      </c>
      <c r="AY86">
        <v>1</v>
      </c>
      <c r="AZ86">
        <v>0</v>
      </c>
      <c r="BA86">
        <v>95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131.19749999999999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131.19749999999999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CV86">
        <v>0</v>
      </c>
      <c r="CW86">
        <v>0</v>
      </c>
      <c r="CX86">
        <f>ROUND(Y86*Source!I83,7)</f>
        <v>0.75</v>
      </c>
      <c r="CY86">
        <f t="shared" si="45"/>
        <v>195.92</v>
      </c>
      <c r="CZ86">
        <f t="shared" si="46"/>
        <v>174.93</v>
      </c>
      <c r="DA86">
        <f t="shared" si="47"/>
        <v>1.1200000000000001</v>
      </c>
      <c r="DB86">
        <f t="shared" si="34"/>
        <v>131.19999999999999</v>
      </c>
      <c r="DC86">
        <f t="shared" si="35"/>
        <v>0</v>
      </c>
      <c r="DD86" t="s">
        <v>3</v>
      </c>
      <c r="DE86" t="s">
        <v>3</v>
      </c>
      <c r="DF86">
        <f>ROUND(ROUND(AE86*AI86,2)*CX86,2)</f>
        <v>146.94</v>
      </c>
      <c r="DG86">
        <f t="shared" si="44"/>
        <v>0</v>
      </c>
      <c r="DH86">
        <f t="shared" si="36"/>
        <v>0</v>
      </c>
      <c r="DI86">
        <f t="shared" si="37"/>
        <v>0</v>
      </c>
      <c r="DJ86">
        <f t="shared" si="48"/>
        <v>146.94</v>
      </c>
      <c r="DK86">
        <v>0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ROW(Source!A83)</f>
        <v>83</v>
      </c>
      <c r="B87">
        <v>73953415</v>
      </c>
      <c r="C87">
        <v>73953862</v>
      </c>
      <c r="D87">
        <v>72610535</v>
      </c>
      <c r="E87">
        <v>1</v>
      </c>
      <c r="F87">
        <v>1</v>
      </c>
      <c r="G87">
        <v>1</v>
      </c>
      <c r="H87">
        <v>3</v>
      </c>
      <c r="I87" t="s">
        <v>418</v>
      </c>
      <c r="J87" t="s">
        <v>419</v>
      </c>
      <c r="K87" t="s">
        <v>420</v>
      </c>
      <c r="L87">
        <v>1348</v>
      </c>
      <c r="N87">
        <v>1009</v>
      </c>
      <c r="O87" t="s">
        <v>248</v>
      </c>
      <c r="P87" t="s">
        <v>248</v>
      </c>
      <c r="Q87">
        <v>1000</v>
      </c>
      <c r="W87">
        <v>0</v>
      </c>
      <c r="X87">
        <v>2036013562</v>
      </c>
      <c r="Y87">
        <f t="shared" si="33"/>
        <v>1.8000000000000001E-4</v>
      </c>
      <c r="AA87">
        <v>104956.62</v>
      </c>
      <c r="AB87">
        <v>0</v>
      </c>
      <c r="AC87">
        <v>0</v>
      </c>
      <c r="AD87">
        <v>0</v>
      </c>
      <c r="AE87">
        <v>74437.320000000007</v>
      </c>
      <c r="AF87">
        <v>0</v>
      </c>
      <c r="AG87">
        <v>0</v>
      </c>
      <c r="AH87">
        <v>0</v>
      </c>
      <c r="AI87">
        <v>1.41</v>
      </c>
      <c r="AJ87">
        <v>1</v>
      </c>
      <c r="AK87">
        <v>1</v>
      </c>
      <c r="AL87">
        <v>1</v>
      </c>
      <c r="AM87">
        <v>2</v>
      </c>
      <c r="AN87">
        <v>0</v>
      </c>
      <c r="AO87">
        <v>0</v>
      </c>
      <c r="AP87">
        <v>0</v>
      </c>
      <c r="AQ87">
        <v>1</v>
      </c>
      <c r="AR87">
        <v>0</v>
      </c>
      <c r="AS87" t="s">
        <v>3</v>
      </c>
      <c r="AT87">
        <v>1.8000000000000001E-4</v>
      </c>
      <c r="AU87" t="s">
        <v>3</v>
      </c>
      <c r="AV87">
        <v>0</v>
      </c>
      <c r="AW87">
        <v>2</v>
      </c>
      <c r="AX87">
        <v>73953889</v>
      </c>
      <c r="AY87">
        <v>1</v>
      </c>
      <c r="AZ87">
        <v>0</v>
      </c>
      <c r="BA87">
        <v>96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13.398717600000001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1</v>
      </c>
      <c r="BQ87">
        <v>13.398717600000001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CV87">
        <v>0</v>
      </c>
      <c r="CW87">
        <v>0</v>
      </c>
      <c r="CX87">
        <f>ROUND(Y87*Source!I83,7)</f>
        <v>1.8000000000000001E-4</v>
      </c>
      <c r="CY87">
        <f t="shared" si="45"/>
        <v>104956.62</v>
      </c>
      <c r="CZ87">
        <f t="shared" si="46"/>
        <v>74437.320000000007</v>
      </c>
      <c r="DA87">
        <f t="shared" si="47"/>
        <v>1.41</v>
      </c>
      <c r="DB87">
        <f t="shared" si="34"/>
        <v>13.4</v>
      </c>
      <c r="DC87">
        <f t="shared" si="35"/>
        <v>0</v>
      </c>
      <c r="DD87" t="s">
        <v>3</v>
      </c>
      <c r="DE87" t="s">
        <v>3</v>
      </c>
      <c r="DF87">
        <f>ROUND(ROUND(AE87*AI87,2)*CX87,2)</f>
        <v>18.89</v>
      </c>
      <c r="DG87">
        <f t="shared" si="44"/>
        <v>0</v>
      </c>
      <c r="DH87">
        <f t="shared" si="36"/>
        <v>0</v>
      </c>
      <c r="DI87">
        <f t="shared" si="37"/>
        <v>0</v>
      </c>
      <c r="DJ87">
        <f t="shared" si="48"/>
        <v>18.89</v>
      </c>
      <c r="DK87">
        <v>0</v>
      </c>
      <c r="DL87" t="s">
        <v>3</v>
      </c>
      <c r="DM87">
        <v>0</v>
      </c>
      <c r="DN87" t="s">
        <v>3</v>
      </c>
      <c r="DO87">
        <v>0</v>
      </c>
    </row>
    <row r="88" spans="1:119" x14ac:dyDescent="0.2">
      <c r="A88">
        <f>ROW(Source!A83)</f>
        <v>83</v>
      </c>
      <c r="B88">
        <v>73953415</v>
      </c>
      <c r="C88">
        <v>73953862</v>
      </c>
      <c r="D88">
        <v>72610602</v>
      </c>
      <c r="E88">
        <v>1</v>
      </c>
      <c r="F88">
        <v>1</v>
      </c>
      <c r="G88">
        <v>1</v>
      </c>
      <c r="H88">
        <v>3</v>
      </c>
      <c r="I88" t="s">
        <v>495</v>
      </c>
      <c r="J88" t="s">
        <v>496</v>
      </c>
      <c r="K88" t="s">
        <v>497</v>
      </c>
      <c r="L88">
        <v>1348</v>
      </c>
      <c r="N88">
        <v>1009</v>
      </c>
      <c r="O88" t="s">
        <v>248</v>
      </c>
      <c r="P88" t="s">
        <v>248</v>
      </c>
      <c r="Q88">
        <v>1000</v>
      </c>
      <c r="W88">
        <v>0</v>
      </c>
      <c r="X88">
        <v>299465815</v>
      </c>
      <c r="Y88">
        <f t="shared" si="33"/>
        <v>1.8000000000000001E-4</v>
      </c>
      <c r="AA88">
        <v>158068.17000000001</v>
      </c>
      <c r="AB88">
        <v>0</v>
      </c>
      <c r="AC88">
        <v>0</v>
      </c>
      <c r="AD88">
        <v>0</v>
      </c>
      <c r="AE88">
        <v>118848.25</v>
      </c>
      <c r="AF88">
        <v>0</v>
      </c>
      <c r="AG88">
        <v>0</v>
      </c>
      <c r="AH88">
        <v>0</v>
      </c>
      <c r="AI88">
        <v>1.33</v>
      </c>
      <c r="AJ88">
        <v>1</v>
      </c>
      <c r="AK88">
        <v>1</v>
      </c>
      <c r="AL88">
        <v>1</v>
      </c>
      <c r="AM88">
        <v>2</v>
      </c>
      <c r="AN88">
        <v>0</v>
      </c>
      <c r="AO88">
        <v>0</v>
      </c>
      <c r="AP88">
        <v>0</v>
      </c>
      <c r="AQ88">
        <v>1</v>
      </c>
      <c r="AR88">
        <v>0</v>
      </c>
      <c r="AS88" t="s">
        <v>3</v>
      </c>
      <c r="AT88">
        <v>1.8000000000000001E-4</v>
      </c>
      <c r="AU88" t="s">
        <v>3</v>
      </c>
      <c r="AV88">
        <v>0</v>
      </c>
      <c r="AW88">
        <v>2</v>
      </c>
      <c r="AX88">
        <v>73953890</v>
      </c>
      <c r="AY88">
        <v>1</v>
      </c>
      <c r="AZ88">
        <v>0</v>
      </c>
      <c r="BA88">
        <v>97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21.392685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21.392685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CV88">
        <v>0</v>
      </c>
      <c r="CW88">
        <v>0</v>
      </c>
      <c r="CX88">
        <f>ROUND(Y88*Source!I83,7)</f>
        <v>1.8000000000000001E-4</v>
      </c>
      <c r="CY88">
        <f t="shared" si="45"/>
        <v>158068.17000000001</v>
      </c>
      <c r="CZ88">
        <f t="shared" si="46"/>
        <v>118848.25</v>
      </c>
      <c r="DA88">
        <f t="shared" si="47"/>
        <v>1.33</v>
      </c>
      <c r="DB88">
        <f t="shared" si="34"/>
        <v>21.39</v>
      </c>
      <c r="DC88">
        <f t="shared" si="35"/>
        <v>0</v>
      </c>
      <c r="DD88" t="s">
        <v>3</v>
      </c>
      <c r="DE88" t="s">
        <v>3</v>
      </c>
      <c r="DF88">
        <f>ROUND(ROUND(AE88*AI88,2)*CX88,2)</f>
        <v>28.45</v>
      </c>
      <c r="DG88">
        <f t="shared" si="44"/>
        <v>0</v>
      </c>
      <c r="DH88">
        <f t="shared" si="36"/>
        <v>0</v>
      </c>
      <c r="DI88">
        <f t="shared" si="37"/>
        <v>0</v>
      </c>
      <c r="DJ88">
        <f t="shared" si="48"/>
        <v>28.45</v>
      </c>
      <c r="DK88">
        <v>0</v>
      </c>
      <c r="DL88" t="s">
        <v>3</v>
      </c>
      <c r="DM88">
        <v>0</v>
      </c>
      <c r="DN88" t="s">
        <v>3</v>
      </c>
      <c r="DO88">
        <v>0</v>
      </c>
    </row>
    <row r="89" spans="1:119" x14ac:dyDescent="0.2">
      <c r="A89">
        <f>ROW(Source!A83)</f>
        <v>83</v>
      </c>
      <c r="B89">
        <v>73953415</v>
      </c>
      <c r="C89">
        <v>73953862</v>
      </c>
      <c r="D89">
        <v>72610848</v>
      </c>
      <c r="E89">
        <v>1</v>
      </c>
      <c r="F89">
        <v>1</v>
      </c>
      <c r="G89">
        <v>1</v>
      </c>
      <c r="H89">
        <v>3</v>
      </c>
      <c r="I89" t="s">
        <v>498</v>
      </c>
      <c r="J89" t="s">
        <v>499</v>
      </c>
      <c r="K89" t="s">
        <v>500</v>
      </c>
      <c r="L89">
        <v>1348</v>
      </c>
      <c r="N89">
        <v>1009</v>
      </c>
      <c r="O89" t="s">
        <v>248</v>
      </c>
      <c r="P89" t="s">
        <v>248</v>
      </c>
      <c r="Q89">
        <v>1000</v>
      </c>
      <c r="W89">
        <v>0</v>
      </c>
      <c r="X89">
        <v>-942127258</v>
      </c>
      <c r="Y89">
        <f t="shared" si="33"/>
        <v>2.0000000000000002E-5</v>
      </c>
      <c r="AA89">
        <v>461619.07</v>
      </c>
      <c r="AB89">
        <v>0</v>
      </c>
      <c r="AC89">
        <v>0</v>
      </c>
      <c r="AD89">
        <v>0</v>
      </c>
      <c r="AE89">
        <v>344491.84</v>
      </c>
      <c r="AF89">
        <v>0</v>
      </c>
      <c r="AG89">
        <v>0</v>
      </c>
      <c r="AH89">
        <v>0</v>
      </c>
      <c r="AI89">
        <v>1.34</v>
      </c>
      <c r="AJ89">
        <v>1</v>
      </c>
      <c r="AK89">
        <v>1</v>
      </c>
      <c r="AL89">
        <v>1</v>
      </c>
      <c r="AM89">
        <v>2</v>
      </c>
      <c r="AN89">
        <v>0</v>
      </c>
      <c r="AO89">
        <v>0</v>
      </c>
      <c r="AP89">
        <v>0</v>
      </c>
      <c r="AQ89">
        <v>1</v>
      </c>
      <c r="AR89">
        <v>0</v>
      </c>
      <c r="AS89" t="s">
        <v>3</v>
      </c>
      <c r="AT89">
        <v>2.0000000000000002E-5</v>
      </c>
      <c r="AU89" t="s">
        <v>3</v>
      </c>
      <c r="AV89">
        <v>0</v>
      </c>
      <c r="AW89">
        <v>2</v>
      </c>
      <c r="AX89">
        <v>73953891</v>
      </c>
      <c r="AY89">
        <v>1</v>
      </c>
      <c r="AZ89">
        <v>0</v>
      </c>
      <c r="BA89">
        <v>98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6.8898368000000012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6.8898368000000012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CV89">
        <v>0</v>
      </c>
      <c r="CW89">
        <v>0</v>
      </c>
      <c r="CX89">
        <f>ROUND(Y89*Source!I83,7)</f>
        <v>2.0000000000000002E-5</v>
      </c>
      <c r="CY89">
        <f t="shared" si="45"/>
        <v>461619.07</v>
      </c>
      <c r="CZ89">
        <f t="shared" si="46"/>
        <v>344491.84</v>
      </c>
      <c r="DA89">
        <f t="shared" si="47"/>
        <v>1.34</v>
      </c>
      <c r="DB89">
        <f t="shared" si="34"/>
        <v>6.89</v>
      </c>
      <c r="DC89">
        <f t="shared" si="35"/>
        <v>0</v>
      </c>
      <c r="DD89" t="s">
        <v>3</v>
      </c>
      <c r="DE89" t="s">
        <v>3</v>
      </c>
      <c r="DF89">
        <f>ROUND(ROUND(AE89*AI89,2)*CX89,2)</f>
        <v>9.23</v>
      </c>
      <c r="DG89">
        <f t="shared" si="44"/>
        <v>0</v>
      </c>
      <c r="DH89">
        <f t="shared" si="36"/>
        <v>0</v>
      </c>
      <c r="DI89">
        <f t="shared" si="37"/>
        <v>0</v>
      </c>
      <c r="DJ89">
        <f t="shared" si="48"/>
        <v>9.23</v>
      </c>
      <c r="DK89">
        <v>0</v>
      </c>
      <c r="DL89" t="s">
        <v>3</v>
      </c>
      <c r="DM89">
        <v>0</v>
      </c>
      <c r="DN89" t="s">
        <v>3</v>
      </c>
      <c r="DO89">
        <v>0</v>
      </c>
    </row>
    <row r="90" spans="1:119" x14ac:dyDescent="0.2">
      <c r="A90">
        <f>ROW(Source!A83)</f>
        <v>83</v>
      </c>
      <c r="B90">
        <v>73953415</v>
      </c>
      <c r="C90">
        <v>73953862</v>
      </c>
      <c r="D90">
        <v>72629460</v>
      </c>
      <c r="E90">
        <v>1</v>
      </c>
      <c r="F90">
        <v>1</v>
      </c>
      <c r="G90">
        <v>1</v>
      </c>
      <c r="H90">
        <v>3</v>
      </c>
      <c r="I90" t="s">
        <v>137</v>
      </c>
      <c r="J90" t="s">
        <v>139</v>
      </c>
      <c r="K90" t="s">
        <v>138</v>
      </c>
      <c r="L90">
        <v>1301</v>
      </c>
      <c r="N90">
        <v>1003</v>
      </c>
      <c r="O90" t="s">
        <v>122</v>
      </c>
      <c r="P90" t="s">
        <v>122</v>
      </c>
      <c r="Q90">
        <v>1</v>
      </c>
      <c r="W90">
        <v>0</v>
      </c>
      <c r="X90">
        <v>918212004</v>
      </c>
      <c r="Y90">
        <f t="shared" si="33"/>
        <v>5.8</v>
      </c>
      <c r="AA90">
        <v>201.05</v>
      </c>
      <c r="AB90">
        <v>0</v>
      </c>
      <c r="AC90">
        <v>0</v>
      </c>
      <c r="AD90">
        <v>0</v>
      </c>
      <c r="AE90">
        <v>201.05</v>
      </c>
      <c r="AF90">
        <v>0</v>
      </c>
      <c r="AG90">
        <v>0</v>
      </c>
      <c r="AH90">
        <v>0</v>
      </c>
      <c r="AI90">
        <v>1</v>
      </c>
      <c r="AJ90">
        <v>1</v>
      </c>
      <c r="AK90">
        <v>1</v>
      </c>
      <c r="AL90">
        <v>1</v>
      </c>
      <c r="AM90">
        <v>-2</v>
      </c>
      <c r="AN90">
        <v>0</v>
      </c>
      <c r="AO90">
        <v>0</v>
      </c>
      <c r="AP90">
        <v>0</v>
      </c>
      <c r="AQ90">
        <v>1</v>
      </c>
      <c r="AR90">
        <v>0</v>
      </c>
      <c r="AS90" t="s">
        <v>3</v>
      </c>
      <c r="AT90">
        <v>5.8</v>
      </c>
      <c r="AU90" t="s">
        <v>3</v>
      </c>
      <c r="AV90">
        <v>0</v>
      </c>
      <c r="AW90">
        <v>2</v>
      </c>
      <c r="AX90">
        <v>73953893</v>
      </c>
      <c r="AY90">
        <v>1</v>
      </c>
      <c r="AZ90">
        <v>0</v>
      </c>
      <c r="BA90">
        <v>100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1166.0899999999999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1166.0899999999999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CV90">
        <v>0</v>
      </c>
      <c r="CW90">
        <v>0</v>
      </c>
      <c r="CX90">
        <f>ROUND(Y90*Source!I83,7)</f>
        <v>5.8</v>
      </c>
      <c r="CY90">
        <f t="shared" si="45"/>
        <v>201.05</v>
      </c>
      <c r="CZ90">
        <f t="shared" si="46"/>
        <v>201.05</v>
      </c>
      <c r="DA90">
        <f t="shared" si="47"/>
        <v>1</v>
      </c>
      <c r="DB90">
        <f t="shared" si="34"/>
        <v>1166.0899999999999</v>
      </c>
      <c r="DC90">
        <f t="shared" si="35"/>
        <v>0</v>
      </c>
      <c r="DD90" t="s">
        <v>3</v>
      </c>
      <c r="DE90" t="s">
        <v>3</v>
      </c>
      <c r="DF90">
        <f>ROUND(ROUND(AE90,2)*CX90,2)</f>
        <v>1166.0899999999999</v>
      </c>
      <c r="DG90">
        <f t="shared" si="44"/>
        <v>0</v>
      </c>
      <c r="DH90">
        <f t="shared" si="36"/>
        <v>0</v>
      </c>
      <c r="DI90">
        <f t="shared" si="37"/>
        <v>0</v>
      </c>
      <c r="DJ90">
        <f t="shared" si="48"/>
        <v>1166.0899999999999</v>
      </c>
      <c r="DK90">
        <v>1</v>
      </c>
      <c r="DL90" t="s">
        <v>3</v>
      </c>
      <c r="DM90">
        <v>0</v>
      </c>
      <c r="DN90" t="s">
        <v>3</v>
      </c>
      <c r="DO90">
        <v>0</v>
      </c>
    </row>
    <row r="91" spans="1:119" x14ac:dyDescent="0.2">
      <c r="A91">
        <f>ROW(Source!A83)</f>
        <v>83</v>
      </c>
      <c r="B91">
        <v>73953415</v>
      </c>
      <c r="C91">
        <v>73953862</v>
      </c>
      <c r="D91">
        <v>72630654</v>
      </c>
      <c r="E91">
        <v>1</v>
      </c>
      <c r="F91">
        <v>1</v>
      </c>
      <c r="G91">
        <v>1</v>
      </c>
      <c r="H91">
        <v>3</v>
      </c>
      <c r="I91" t="s">
        <v>501</v>
      </c>
      <c r="J91" t="s">
        <v>502</v>
      </c>
      <c r="K91" t="s">
        <v>503</v>
      </c>
      <c r="L91">
        <v>1371</v>
      </c>
      <c r="N91">
        <v>1013</v>
      </c>
      <c r="O91" t="s">
        <v>130</v>
      </c>
      <c r="P91" t="s">
        <v>130</v>
      </c>
      <c r="Q91">
        <v>1</v>
      </c>
      <c r="W91">
        <v>0</v>
      </c>
      <c r="X91">
        <v>-463467976</v>
      </c>
      <c r="Y91">
        <f t="shared" si="33"/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1</v>
      </c>
      <c r="AK91">
        <v>1</v>
      </c>
      <c r="AL91">
        <v>1</v>
      </c>
      <c r="AM91">
        <v>3</v>
      </c>
      <c r="AN91">
        <v>0</v>
      </c>
      <c r="AO91">
        <v>0</v>
      </c>
      <c r="AP91">
        <v>0</v>
      </c>
      <c r="AQ91">
        <v>1</v>
      </c>
      <c r="AR91">
        <v>0</v>
      </c>
      <c r="AS91" t="s">
        <v>3</v>
      </c>
      <c r="AT91">
        <v>0</v>
      </c>
      <c r="AU91" t="s">
        <v>3</v>
      </c>
      <c r="AV91">
        <v>0</v>
      </c>
      <c r="AW91">
        <v>2</v>
      </c>
      <c r="AX91">
        <v>73953894</v>
      </c>
      <c r="AY91">
        <v>2</v>
      </c>
      <c r="AZ91">
        <v>22528</v>
      </c>
      <c r="BA91">
        <v>101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CV91">
        <v>0</v>
      </c>
      <c r="CW91">
        <v>0</v>
      </c>
      <c r="CX91">
        <f>ROUND(Y91*Source!I83,7)</f>
        <v>0</v>
      </c>
      <c r="CY91">
        <f t="shared" si="45"/>
        <v>0</v>
      </c>
      <c r="CZ91">
        <f t="shared" si="46"/>
        <v>0</v>
      </c>
      <c r="DA91">
        <f t="shared" si="47"/>
        <v>1</v>
      </c>
      <c r="DB91">
        <f t="shared" si="34"/>
        <v>0</v>
      </c>
      <c r="DC91">
        <f t="shared" si="35"/>
        <v>0</v>
      </c>
      <c r="DD91" t="s">
        <v>3</v>
      </c>
      <c r="DE91" t="s">
        <v>3</v>
      </c>
      <c r="DF91">
        <f>ROUND(ROUND(AE91,2)*CX91,2)</f>
        <v>0</v>
      </c>
      <c r="DG91">
        <f t="shared" si="44"/>
        <v>0</v>
      </c>
      <c r="DH91">
        <f t="shared" si="36"/>
        <v>0</v>
      </c>
      <c r="DI91">
        <f t="shared" si="37"/>
        <v>0</v>
      </c>
      <c r="DJ91">
        <f t="shared" si="48"/>
        <v>0</v>
      </c>
      <c r="DK91">
        <v>2</v>
      </c>
      <c r="DL91" t="s">
        <v>3</v>
      </c>
      <c r="DM91">
        <v>0</v>
      </c>
      <c r="DN91" t="s">
        <v>3</v>
      </c>
      <c r="DO91">
        <v>0</v>
      </c>
    </row>
    <row r="92" spans="1:119" x14ac:dyDescent="0.2">
      <c r="A92">
        <f>ROW(Source!A83)</f>
        <v>83</v>
      </c>
      <c r="B92">
        <v>73953415</v>
      </c>
      <c r="C92">
        <v>73953862</v>
      </c>
      <c r="D92">
        <v>72631043</v>
      </c>
      <c r="E92">
        <v>1</v>
      </c>
      <c r="F92">
        <v>1</v>
      </c>
      <c r="G92">
        <v>1</v>
      </c>
      <c r="H92">
        <v>3</v>
      </c>
      <c r="I92" t="s">
        <v>504</v>
      </c>
      <c r="J92" t="s">
        <v>505</v>
      </c>
      <c r="K92" t="s">
        <v>506</v>
      </c>
      <c r="L92">
        <v>1371</v>
      </c>
      <c r="N92">
        <v>1013</v>
      </c>
      <c r="O92" t="s">
        <v>130</v>
      </c>
      <c r="P92" t="s">
        <v>130</v>
      </c>
      <c r="Q92">
        <v>1</v>
      </c>
      <c r="W92">
        <v>0</v>
      </c>
      <c r="X92">
        <v>1711106771</v>
      </c>
      <c r="Y92">
        <f t="shared" si="33"/>
        <v>2</v>
      </c>
      <c r="AA92">
        <v>85.02</v>
      </c>
      <c r="AB92">
        <v>0</v>
      </c>
      <c r="AC92">
        <v>0</v>
      </c>
      <c r="AD92">
        <v>0</v>
      </c>
      <c r="AE92">
        <v>75.239999999999995</v>
      </c>
      <c r="AF92">
        <v>0</v>
      </c>
      <c r="AG92">
        <v>0</v>
      </c>
      <c r="AH92">
        <v>0</v>
      </c>
      <c r="AI92">
        <v>1.1299999999999999</v>
      </c>
      <c r="AJ92">
        <v>1</v>
      </c>
      <c r="AK92">
        <v>1</v>
      </c>
      <c r="AL92">
        <v>1</v>
      </c>
      <c r="AM92">
        <v>2</v>
      </c>
      <c r="AN92">
        <v>0</v>
      </c>
      <c r="AO92">
        <v>0</v>
      </c>
      <c r="AP92">
        <v>0</v>
      </c>
      <c r="AQ92">
        <v>1</v>
      </c>
      <c r="AR92">
        <v>0</v>
      </c>
      <c r="AS92" t="s">
        <v>3</v>
      </c>
      <c r="AT92">
        <v>2</v>
      </c>
      <c r="AU92" t="s">
        <v>3</v>
      </c>
      <c r="AV92">
        <v>0</v>
      </c>
      <c r="AW92">
        <v>2</v>
      </c>
      <c r="AX92">
        <v>73953895</v>
      </c>
      <c r="AY92">
        <v>1</v>
      </c>
      <c r="AZ92">
        <v>6144</v>
      </c>
      <c r="BA92">
        <v>102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150.47999999999999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1</v>
      </c>
      <c r="BQ92">
        <v>150.47999999999999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1</v>
      </c>
      <c r="CV92">
        <v>0</v>
      </c>
      <c r="CW92">
        <v>0</v>
      </c>
      <c r="CX92">
        <f>ROUND(Y92*Source!I83,7)</f>
        <v>2</v>
      </c>
      <c r="CY92">
        <f t="shared" si="45"/>
        <v>85.02</v>
      </c>
      <c r="CZ92">
        <f t="shared" si="46"/>
        <v>75.239999999999995</v>
      </c>
      <c r="DA92">
        <f t="shared" si="47"/>
        <v>1.1299999999999999</v>
      </c>
      <c r="DB92">
        <f t="shared" si="34"/>
        <v>150.47999999999999</v>
      </c>
      <c r="DC92">
        <f t="shared" si="35"/>
        <v>0</v>
      </c>
      <c r="DD92" t="s">
        <v>3</v>
      </c>
      <c r="DE92" t="s">
        <v>3</v>
      </c>
      <c r="DF92">
        <f>ROUND(ROUND(AE92*AI92,2)*CX92,2)</f>
        <v>170.04</v>
      </c>
      <c r="DG92">
        <f t="shared" si="44"/>
        <v>0</v>
      </c>
      <c r="DH92">
        <f t="shared" si="36"/>
        <v>0</v>
      </c>
      <c r="DI92">
        <f t="shared" si="37"/>
        <v>0</v>
      </c>
      <c r="DJ92">
        <f t="shared" si="48"/>
        <v>170.04</v>
      </c>
      <c r="DK92">
        <v>0</v>
      </c>
      <c r="DL92" t="s">
        <v>3</v>
      </c>
      <c r="DM92">
        <v>0</v>
      </c>
      <c r="DN92" t="s">
        <v>3</v>
      </c>
      <c r="DO92">
        <v>0</v>
      </c>
    </row>
    <row r="93" spans="1:119" x14ac:dyDescent="0.2">
      <c r="A93">
        <f>ROW(Source!A85)</f>
        <v>85</v>
      </c>
      <c r="B93">
        <v>73953415</v>
      </c>
      <c r="C93">
        <v>73953908</v>
      </c>
      <c r="D93">
        <v>72518642</v>
      </c>
      <c r="E93">
        <v>119</v>
      </c>
      <c r="F93">
        <v>1</v>
      </c>
      <c r="G93">
        <v>1</v>
      </c>
      <c r="H93">
        <v>1</v>
      </c>
      <c r="I93" t="s">
        <v>507</v>
      </c>
      <c r="J93" t="s">
        <v>3</v>
      </c>
      <c r="K93" t="s">
        <v>508</v>
      </c>
      <c r="L93">
        <v>1191</v>
      </c>
      <c r="N93">
        <v>1013</v>
      </c>
      <c r="O93" t="s">
        <v>359</v>
      </c>
      <c r="P93" t="s">
        <v>359</v>
      </c>
      <c r="Q93">
        <v>1</v>
      </c>
      <c r="W93">
        <v>0</v>
      </c>
      <c r="X93">
        <v>-715079457</v>
      </c>
      <c r="Y93">
        <f t="shared" si="33"/>
        <v>27</v>
      </c>
      <c r="AA93">
        <v>0</v>
      </c>
      <c r="AB93">
        <v>0</v>
      </c>
      <c r="AC93">
        <v>0</v>
      </c>
      <c r="AD93">
        <v>377.84</v>
      </c>
      <c r="AE93">
        <v>0</v>
      </c>
      <c r="AF93">
        <v>0</v>
      </c>
      <c r="AG93">
        <v>0</v>
      </c>
      <c r="AH93">
        <v>377.84</v>
      </c>
      <c r="AI93">
        <v>1</v>
      </c>
      <c r="AJ93">
        <v>1</v>
      </c>
      <c r="AK93">
        <v>1</v>
      </c>
      <c r="AL93">
        <v>1</v>
      </c>
      <c r="AM93">
        <v>-2</v>
      </c>
      <c r="AN93">
        <v>0</v>
      </c>
      <c r="AO93">
        <v>0</v>
      </c>
      <c r="AP93">
        <v>1</v>
      </c>
      <c r="AQ93">
        <v>1</v>
      </c>
      <c r="AR93">
        <v>0</v>
      </c>
      <c r="AS93" t="s">
        <v>3</v>
      </c>
      <c r="AT93">
        <v>27</v>
      </c>
      <c r="AU93" t="s">
        <v>3</v>
      </c>
      <c r="AV93">
        <v>1</v>
      </c>
      <c r="AW93">
        <v>2</v>
      </c>
      <c r="AX93">
        <v>73953914</v>
      </c>
      <c r="AY93">
        <v>1</v>
      </c>
      <c r="AZ93">
        <v>0</v>
      </c>
      <c r="BA93">
        <v>103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10201.679999999998</v>
      </c>
      <c r="BN93">
        <v>27</v>
      </c>
      <c r="BO93">
        <v>0</v>
      </c>
      <c r="BP93">
        <v>1</v>
      </c>
      <c r="BQ93">
        <v>0</v>
      </c>
      <c r="BR93">
        <v>0</v>
      </c>
      <c r="BS93">
        <v>0</v>
      </c>
      <c r="BT93">
        <v>10201.679999999998</v>
      </c>
      <c r="BU93">
        <v>27</v>
      </c>
      <c r="BV93">
        <v>0</v>
      </c>
      <c r="BW93">
        <v>1</v>
      </c>
      <c r="CU93">
        <f>ROUND(AT93*Source!I85*AH93*AL93,2)</f>
        <v>2274.9699999999998</v>
      </c>
      <c r="CV93">
        <f>ROUND(Y93*Source!I85,7)</f>
        <v>6.0209999999999999</v>
      </c>
      <c r="CW93">
        <v>0</v>
      </c>
      <c r="CX93">
        <f>ROUND(Y93*Source!I85,7)</f>
        <v>6.0209999999999999</v>
      </c>
      <c r="CY93">
        <f>AD93</f>
        <v>377.84</v>
      </c>
      <c r="CZ93">
        <f>AH93</f>
        <v>377.84</v>
      </c>
      <c r="DA93">
        <f>AL93</f>
        <v>1</v>
      </c>
      <c r="DB93">
        <f t="shared" si="34"/>
        <v>10201.68</v>
      </c>
      <c r="DC93">
        <f t="shared" si="35"/>
        <v>0</v>
      </c>
      <c r="DD93" t="s">
        <v>3</v>
      </c>
      <c r="DE93" t="s">
        <v>3</v>
      </c>
      <c r="DF93">
        <f t="shared" ref="DF93:DF111" si="49">ROUND(ROUND(AE93,2)*CX93,2)</f>
        <v>0</v>
      </c>
      <c r="DG93">
        <f t="shared" si="44"/>
        <v>0</v>
      </c>
      <c r="DH93">
        <f t="shared" si="36"/>
        <v>0</v>
      </c>
      <c r="DI93">
        <f t="shared" si="37"/>
        <v>2274.9699999999998</v>
      </c>
      <c r="DJ93">
        <f>DI93</f>
        <v>2274.9699999999998</v>
      </c>
      <c r="DK93">
        <v>1</v>
      </c>
      <c r="DL93" t="s">
        <v>3</v>
      </c>
      <c r="DM93">
        <v>0</v>
      </c>
      <c r="DN93" t="s">
        <v>3</v>
      </c>
      <c r="DO93">
        <v>0</v>
      </c>
    </row>
    <row r="94" spans="1:119" x14ac:dyDescent="0.2">
      <c r="A94">
        <f>ROW(Source!A85)</f>
        <v>85</v>
      </c>
      <c r="B94">
        <v>73953415</v>
      </c>
      <c r="C94">
        <v>73953908</v>
      </c>
      <c r="D94">
        <v>72518826</v>
      </c>
      <c r="E94">
        <v>119</v>
      </c>
      <c r="F94">
        <v>1</v>
      </c>
      <c r="G94">
        <v>1</v>
      </c>
      <c r="H94">
        <v>1</v>
      </c>
      <c r="I94" t="s">
        <v>357</v>
      </c>
      <c r="J94" t="s">
        <v>3</v>
      </c>
      <c r="K94" t="s">
        <v>358</v>
      </c>
      <c r="L94">
        <v>1191</v>
      </c>
      <c r="N94">
        <v>1013</v>
      </c>
      <c r="O94" t="s">
        <v>359</v>
      </c>
      <c r="P94" t="s">
        <v>359</v>
      </c>
      <c r="Q94">
        <v>1</v>
      </c>
      <c r="W94">
        <v>0</v>
      </c>
      <c r="X94">
        <v>-1417349443</v>
      </c>
      <c r="Y94">
        <f t="shared" si="33"/>
        <v>7.42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1</v>
      </c>
      <c r="AM94">
        <v>-2</v>
      </c>
      <c r="AN94">
        <v>0</v>
      </c>
      <c r="AO94">
        <v>0</v>
      </c>
      <c r="AP94">
        <v>1</v>
      </c>
      <c r="AQ94">
        <v>1</v>
      </c>
      <c r="AR94">
        <v>0</v>
      </c>
      <c r="AS94" t="s">
        <v>3</v>
      </c>
      <c r="AT94">
        <v>7.42</v>
      </c>
      <c r="AU94" t="s">
        <v>3</v>
      </c>
      <c r="AV94">
        <v>2</v>
      </c>
      <c r="AW94">
        <v>2</v>
      </c>
      <c r="AX94">
        <v>73953915</v>
      </c>
      <c r="AY94">
        <v>1</v>
      </c>
      <c r="AZ94">
        <v>0</v>
      </c>
      <c r="BA94">
        <v>104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CV94">
        <v>0</v>
      </c>
      <c r="CW94">
        <v>0</v>
      </c>
      <c r="CX94">
        <f>ROUND(Y94*Source!I85,7)</f>
        <v>1.65466</v>
      </c>
      <c r="CY94">
        <f>AD94</f>
        <v>0</v>
      </c>
      <c r="CZ94">
        <f>AH94</f>
        <v>0</v>
      </c>
      <c r="DA94">
        <f>AL94</f>
        <v>1</v>
      </c>
      <c r="DB94">
        <f t="shared" si="34"/>
        <v>0</v>
      </c>
      <c r="DC94">
        <f t="shared" si="35"/>
        <v>0</v>
      </c>
      <c r="DD94" t="s">
        <v>3</v>
      </c>
      <c r="DE94" t="s">
        <v>3</v>
      </c>
      <c r="DF94">
        <f t="shared" si="49"/>
        <v>0</v>
      </c>
      <c r="DG94">
        <f t="shared" si="44"/>
        <v>0</v>
      </c>
      <c r="DH94">
        <f t="shared" si="36"/>
        <v>0</v>
      </c>
      <c r="DI94">
        <f t="shared" si="37"/>
        <v>0</v>
      </c>
      <c r="DJ94">
        <f>DI94</f>
        <v>0</v>
      </c>
      <c r="DK94">
        <v>0</v>
      </c>
      <c r="DL94" t="s">
        <v>3</v>
      </c>
      <c r="DM94">
        <v>0</v>
      </c>
      <c r="DN94" t="s">
        <v>3</v>
      </c>
      <c r="DO94">
        <v>0</v>
      </c>
    </row>
    <row r="95" spans="1:119" x14ac:dyDescent="0.2">
      <c r="A95">
        <f>ROW(Source!A85)</f>
        <v>85</v>
      </c>
      <c r="B95">
        <v>73953415</v>
      </c>
      <c r="C95">
        <v>73953908</v>
      </c>
      <c r="D95">
        <v>72646779</v>
      </c>
      <c r="E95">
        <v>1</v>
      </c>
      <c r="F95">
        <v>1</v>
      </c>
      <c r="G95">
        <v>1</v>
      </c>
      <c r="H95">
        <v>2</v>
      </c>
      <c r="I95" t="s">
        <v>509</v>
      </c>
      <c r="J95" t="s">
        <v>510</v>
      </c>
      <c r="K95" t="s">
        <v>511</v>
      </c>
      <c r="L95">
        <v>1368</v>
      </c>
      <c r="N95">
        <v>1011</v>
      </c>
      <c r="O95" t="s">
        <v>363</v>
      </c>
      <c r="P95" t="s">
        <v>363</v>
      </c>
      <c r="Q95">
        <v>1</v>
      </c>
      <c r="W95">
        <v>0</v>
      </c>
      <c r="X95">
        <v>-1026261040</v>
      </c>
      <c r="Y95">
        <f t="shared" si="33"/>
        <v>7.42</v>
      </c>
      <c r="AA95">
        <v>0</v>
      </c>
      <c r="AB95">
        <v>1343.94</v>
      </c>
      <c r="AC95">
        <v>459.98</v>
      </c>
      <c r="AD95">
        <v>0</v>
      </c>
      <c r="AE95">
        <v>0</v>
      </c>
      <c r="AF95">
        <v>995.51</v>
      </c>
      <c r="AG95">
        <v>459.98</v>
      </c>
      <c r="AH95">
        <v>0</v>
      </c>
      <c r="AI95">
        <v>1</v>
      </c>
      <c r="AJ95">
        <v>1.35</v>
      </c>
      <c r="AK95">
        <v>1</v>
      </c>
      <c r="AL95">
        <v>1</v>
      </c>
      <c r="AM95">
        <v>2</v>
      </c>
      <c r="AN95">
        <v>0</v>
      </c>
      <c r="AO95">
        <v>0</v>
      </c>
      <c r="AP95">
        <v>1</v>
      </c>
      <c r="AQ95">
        <v>1</v>
      </c>
      <c r="AR95">
        <v>0</v>
      </c>
      <c r="AS95" t="s">
        <v>3</v>
      </c>
      <c r="AT95">
        <v>7.42</v>
      </c>
      <c r="AU95" t="s">
        <v>3</v>
      </c>
      <c r="AV95">
        <v>1</v>
      </c>
      <c r="AW95">
        <v>2</v>
      </c>
      <c r="AX95">
        <v>73953916</v>
      </c>
      <c r="AY95">
        <v>1</v>
      </c>
      <c r="AZ95">
        <v>0</v>
      </c>
      <c r="BA95">
        <v>105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7386.6841999999997</v>
      </c>
      <c r="BL95">
        <v>3413.0516000000002</v>
      </c>
      <c r="BM95">
        <v>0</v>
      </c>
      <c r="BN95">
        <v>0</v>
      </c>
      <c r="BO95">
        <v>7.42</v>
      </c>
      <c r="BP95">
        <v>1</v>
      </c>
      <c r="BQ95">
        <v>0</v>
      </c>
      <c r="BR95">
        <v>7386.6841999999997</v>
      </c>
      <c r="BS95">
        <v>3413.0516000000002</v>
      </c>
      <c r="BT95">
        <v>0</v>
      </c>
      <c r="BU95">
        <v>0</v>
      </c>
      <c r="BV95">
        <v>7.42</v>
      </c>
      <c r="BW95">
        <v>1</v>
      </c>
      <c r="CV95">
        <v>0</v>
      </c>
      <c r="CW95">
        <f>ROUND(Y95*Source!I85*DO95,7)</f>
        <v>1.65466</v>
      </c>
      <c r="CX95">
        <f>ROUND(Y95*Source!I85,7)</f>
        <v>1.65466</v>
      </c>
      <c r="CY95">
        <f>AB95</f>
        <v>1343.94</v>
      </c>
      <c r="CZ95">
        <f>AF95</f>
        <v>995.51</v>
      </c>
      <c r="DA95">
        <f>AJ95</f>
        <v>1.35</v>
      </c>
      <c r="DB95">
        <f t="shared" si="34"/>
        <v>7386.68</v>
      </c>
      <c r="DC95">
        <f t="shared" si="35"/>
        <v>3413.05</v>
      </c>
      <c r="DD95" t="s">
        <v>3</v>
      </c>
      <c r="DE95" t="s">
        <v>3</v>
      </c>
      <c r="DF95">
        <f t="shared" si="49"/>
        <v>0</v>
      </c>
      <c r="DG95">
        <f>ROUND(ROUND(AF95*AJ95,2)*CX95,2)</f>
        <v>2223.7600000000002</v>
      </c>
      <c r="DH95">
        <f t="shared" si="36"/>
        <v>761.11</v>
      </c>
      <c r="DI95">
        <f t="shared" si="37"/>
        <v>0</v>
      </c>
      <c r="DJ95">
        <f>DG95+DH95</f>
        <v>2984.8700000000003</v>
      </c>
      <c r="DK95">
        <v>0</v>
      </c>
      <c r="DL95" t="s">
        <v>372</v>
      </c>
      <c r="DM95">
        <v>5</v>
      </c>
      <c r="DN95" t="s">
        <v>359</v>
      </c>
      <c r="DO95">
        <v>1</v>
      </c>
    </row>
    <row r="96" spans="1:119" x14ac:dyDescent="0.2">
      <c r="A96">
        <f>ROW(Source!A85)</f>
        <v>85</v>
      </c>
      <c r="B96">
        <v>73953415</v>
      </c>
      <c r="C96">
        <v>73953908</v>
      </c>
      <c r="D96">
        <v>72646972</v>
      </c>
      <c r="E96">
        <v>1</v>
      </c>
      <c r="F96">
        <v>1</v>
      </c>
      <c r="G96">
        <v>1</v>
      </c>
      <c r="H96">
        <v>2</v>
      </c>
      <c r="I96" t="s">
        <v>512</v>
      </c>
      <c r="J96" t="s">
        <v>513</v>
      </c>
      <c r="K96" t="s">
        <v>514</v>
      </c>
      <c r="L96">
        <v>1368</v>
      </c>
      <c r="N96">
        <v>1011</v>
      </c>
      <c r="O96" t="s">
        <v>363</v>
      </c>
      <c r="P96" t="s">
        <v>363</v>
      </c>
      <c r="Q96">
        <v>1</v>
      </c>
      <c r="W96">
        <v>0</v>
      </c>
      <c r="X96">
        <v>559791142</v>
      </c>
      <c r="Y96">
        <f t="shared" si="33"/>
        <v>7.42</v>
      </c>
      <c r="AA96">
        <v>0</v>
      </c>
      <c r="AB96">
        <v>60.91</v>
      </c>
      <c r="AC96">
        <v>0</v>
      </c>
      <c r="AD96">
        <v>0</v>
      </c>
      <c r="AE96">
        <v>0</v>
      </c>
      <c r="AF96">
        <v>34.409999999999997</v>
      </c>
      <c r="AG96">
        <v>0</v>
      </c>
      <c r="AH96">
        <v>0</v>
      </c>
      <c r="AI96">
        <v>1</v>
      </c>
      <c r="AJ96">
        <v>1.77</v>
      </c>
      <c r="AK96">
        <v>1</v>
      </c>
      <c r="AL96">
        <v>1</v>
      </c>
      <c r="AM96">
        <v>2</v>
      </c>
      <c r="AN96">
        <v>0</v>
      </c>
      <c r="AO96">
        <v>0</v>
      </c>
      <c r="AP96">
        <v>1</v>
      </c>
      <c r="AQ96">
        <v>1</v>
      </c>
      <c r="AR96">
        <v>0</v>
      </c>
      <c r="AS96" t="s">
        <v>3</v>
      </c>
      <c r="AT96">
        <v>7.42</v>
      </c>
      <c r="AU96" t="s">
        <v>3</v>
      </c>
      <c r="AV96">
        <v>1</v>
      </c>
      <c r="AW96">
        <v>2</v>
      </c>
      <c r="AX96">
        <v>73953917</v>
      </c>
      <c r="AY96">
        <v>1</v>
      </c>
      <c r="AZ96">
        <v>0</v>
      </c>
      <c r="BA96">
        <v>106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255.32219999999998</v>
      </c>
      <c r="BL96">
        <v>0</v>
      </c>
      <c r="BM96">
        <v>0</v>
      </c>
      <c r="BN96">
        <v>0</v>
      </c>
      <c r="BO96">
        <v>0</v>
      </c>
      <c r="BP96">
        <v>1</v>
      </c>
      <c r="BQ96">
        <v>0</v>
      </c>
      <c r="BR96">
        <v>255.32219999999998</v>
      </c>
      <c r="BS96">
        <v>0</v>
      </c>
      <c r="BT96">
        <v>0</v>
      </c>
      <c r="BU96">
        <v>0</v>
      </c>
      <c r="BV96">
        <v>0</v>
      </c>
      <c r="BW96">
        <v>1</v>
      </c>
      <c r="CV96">
        <v>0</v>
      </c>
      <c r="CW96">
        <f>ROUND(Y96*Source!I85*DO96,7)</f>
        <v>0</v>
      </c>
      <c r="CX96">
        <f>ROUND(Y96*Source!I85,7)</f>
        <v>1.65466</v>
      </c>
      <c r="CY96">
        <f>AB96</f>
        <v>60.91</v>
      </c>
      <c r="CZ96">
        <f>AF96</f>
        <v>34.409999999999997</v>
      </c>
      <c r="DA96">
        <f>AJ96</f>
        <v>1.77</v>
      </c>
      <c r="DB96">
        <f t="shared" si="34"/>
        <v>255.32</v>
      </c>
      <c r="DC96">
        <f t="shared" si="35"/>
        <v>0</v>
      </c>
      <c r="DD96" t="s">
        <v>3</v>
      </c>
      <c r="DE96" t="s">
        <v>3</v>
      </c>
      <c r="DF96">
        <f t="shared" si="49"/>
        <v>0</v>
      </c>
      <c r="DG96">
        <f>ROUND(ROUND(AF96*AJ96,2)*CX96,2)</f>
        <v>100.79</v>
      </c>
      <c r="DH96">
        <f t="shared" si="36"/>
        <v>0</v>
      </c>
      <c r="DI96">
        <f t="shared" si="37"/>
        <v>0</v>
      </c>
      <c r="DJ96">
        <f>DG96+DH96</f>
        <v>100.79</v>
      </c>
      <c r="DK96">
        <v>0</v>
      </c>
      <c r="DL96" t="s">
        <v>3</v>
      </c>
      <c r="DM96">
        <v>0</v>
      </c>
      <c r="DN96" t="s">
        <v>3</v>
      </c>
      <c r="DO96">
        <v>0</v>
      </c>
    </row>
    <row r="97" spans="1:119" x14ac:dyDescent="0.2">
      <c r="A97">
        <f>ROW(Source!A85)</f>
        <v>85</v>
      </c>
      <c r="B97">
        <v>73953415</v>
      </c>
      <c r="C97">
        <v>73953908</v>
      </c>
      <c r="D97">
        <v>72524853</v>
      </c>
      <c r="E97">
        <v>119</v>
      </c>
      <c r="F97">
        <v>1</v>
      </c>
      <c r="G97">
        <v>1</v>
      </c>
      <c r="H97">
        <v>3</v>
      </c>
      <c r="I97" t="s">
        <v>197</v>
      </c>
      <c r="J97" t="s">
        <v>3</v>
      </c>
      <c r="K97" t="s">
        <v>198</v>
      </c>
      <c r="L97">
        <v>3277935</v>
      </c>
      <c r="N97">
        <v>1013</v>
      </c>
      <c r="O97" t="s">
        <v>199</v>
      </c>
      <c r="P97" t="s">
        <v>199</v>
      </c>
      <c r="Q97">
        <v>1</v>
      </c>
      <c r="W97">
        <v>0</v>
      </c>
      <c r="X97">
        <v>274903907</v>
      </c>
      <c r="Y97">
        <f t="shared" ref="Y97:Y133" si="50">AT97</f>
        <v>2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</v>
      </c>
      <c r="AJ97">
        <v>1</v>
      </c>
      <c r="AK97">
        <v>1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 t="s">
        <v>3</v>
      </c>
      <c r="AT97">
        <v>2</v>
      </c>
      <c r="AU97" t="s">
        <v>3</v>
      </c>
      <c r="AV97">
        <v>0</v>
      </c>
      <c r="AW97">
        <v>2</v>
      </c>
      <c r="AX97">
        <v>73953918</v>
      </c>
      <c r="AY97">
        <v>1</v>
      </c>
      <c r="AZ97">
        <v>0</v>
      </c>
      <c r="BA97">
        <v>107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CV97">
        <v>0</v>
      </c>
      <c r="CW97">
        <v>0</v>
      </c>
      <c r="CX97">
        <f>ROUND(Y97*Source!I85,7)</f>
        <v>0.44600000000000001</v>
      </c>
      <c r="CY97">
        <f>AA97</f>
        <v>0</v>
      </c>
      <c r="CZ97">
        <f>AE97</f>
        <v>0</v>
      </c>
      <c r="DA97">
        <f>AI97</f>
        <v>1</v>
      </c>
      <c r="DB97">
        <f t="shared" ref="DB97:DB133" si="51">ROUND(ROUND(AT97*CZ97,2),6)</f>
        <v>0</v>
      </c>
      <c r="DC97">
        <f t="shared" ref="DC97:DC133" si="52">ROUND(ROUND(AT97*AG97,2),6)</f>
        <v>0</v>
      </c>
      <c r="DD97" t="s">
        <v>3</v>
      </c>
      <c r="DE97" t="s">
        <v>3</v>
      </c>
      <c r="DF97">
        <f t="shared" si="49"/>
        <v>0</v>
      </c>
      <c r="DG97">
        <f>ROUND(ROUND(AF97,2)*CX97,2)</f>
        <v>0</v>
      </c>
      <c r="DH97">
        <f t="shared" ref="DH97:DH133" si="53">ROUND(ROUND(AG97,2)*CX97,2)</f>
        <v>0</v>
      </c>
      <c r="DI97">
        <f t="shared" ref="DI97:DI133" si="54">ROUND(ROUND(AH97,2)*CX97,2)</f>
        <v>0</v>
      </c>
      <c r="DJ97">
        <f>DF97</f>
        <v>0</v>
      </c>
      <c r="DK97">
        <v>0</v>
      </c>
      <c r="DL97" t="s">
        <v>3</v>
      </c>
      <c r="DM97">
        <v>0</v>
      </c>
      <c r="DN97" t="s">
        <v>3</v>
      </c>
      <c r="DO97">
        <v>0</v>
      </c>
    </row>
    <row r="98" spans="1:119" x14ac:dyDescent="0.2">
      <c r="A98">
        <f>ROW(Source!A88)</f>
        <v>88</v>
      </c>
      <c r="B98">
        <v>73953415</v>
      </c>
      <c r="C98">
        <v>73953921</v>
      </c>
      <c r="D98">
        <v>72518642</v>
      </c>
      <c r="E98">
        <v>119</v>
      </c>
      <c r="F98">
        <v>1</v>
      </c>
      <c r="G98">
        <v>1</v>
      </c>
      <c r="H98">
        <v>1</v>
      </c>
      <c r="I98" t="s">
        <v>507</v>
      </c>
      <c r="J98" t="s">
        <v>3</v>
      </c>
      <c r="K98" t="s">
        <v>508</v>
      </c>
      <c r="L98">
        <v>1191</v>
      </c>
      <c r="N98">
        <v>1013</v>
      </c>
      <c r="O98" t="s">
        <v>359</v>
      </c>
      <c r="P98" t="s">
        <v>359</v>
      </c>
      <c r="Q98">
        <v>1</v>
      </c>
      <c r="W98">
        <v>0</v>
      </c>
      <c r="X98">
        <v>-715079457</v>
      </c>
      <c r="Y98">
        <f t="shared" si="50"/>
        <v>27</v>
      </c>
      <c r="AA98">
        <v>0</v>
      </c>
      <c r="AB98">
        <v>0</v>
      </c>
      <c r="AC98">
        <v>0</v>
      </c>
      <c r="AD98">
        <v>377.84</v>
      </c>
      <c r="AE98">
        <v>0</v>
      </c>
      <c r="AF98">
        <v>0</v>
      </c>
      <c r="AG98">
        <v>0</v>
      </c>
      <c r="AH98">
        <v>377.84</v>
      </c>
      <c r="AI98">
        <v>1</v>
      </c>
      <c r="AJ98">
        <v>1</v>
      </c>
      <c r="AK98">
        <v>1</v>
      </c>
      <c r="AL98">
        <v>1</v>
      </c>
      <c r="AM98">
        <v>-2</v>
      </c>
      <c r="AN98">
        <v>0</v>
      </c>
      <c r="AO98">
        <v>0</v>
      </c>
      <c r="AP98">
        <v>1</v>
      </c>
      <c r="AQ98">
        <v>1</v>
      </c>
      <c r="AR98">
        <v>0</v>
      </c>
      <c r="AS98" t="s">
        <v>3</v>
      </c>
      <c r="AT98">
        <v>27</v>
      </c>
      <c r="AU98" t="s">
        <v>3</v>
      </c>
      <c r="AV98">
        <v>1</v>
      </c>
      <c r="AW98">
        <v>2</v>
      </c>
      <c r="AX98">
        <v>73953927</v>
      </c>
      <c r="AY98">
        <v>1</v>
      </c>
      <c r="AZ98">
        <v>0</v>
      </c>
      <c r="BA98">
        <v>108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10201.679999999998</v>
      </c>
      <c r="BN98">
        <v>27</v>
      </c>
      <c r="BO98">
        <v>0</v>
      </c>
      <c r="BP98">
        <v>1</v>
      </c>
      <c r="BQ98">
        <v>0</v>
      </c>
      <c r="BR98">
        <v>0</v>
      </c>
      <c r="BS98">
        <v>0</v>
      </c>
      <c r="BT98">
        <v>10201.679999999998</v>
      </c>
      <c r="BU98">
        <v>27</v>
      </c>
      <c r="BV98">
        <v>0</v>
      </c>
      <c r="BW98">
        <v>1</v>
      </c>
      <c r="CU98">
        <f>ROUND(AT98*Source!I88*AH98*AL98,2)</f>
        <v>2274.9699999999998</v>
      </c>
      <c r="CV98">
        <f>ROUND(Y98*Source!I88,7)</f>
        <v>6.0209999999999999</v>
      </c>
      <c r="CW98">
        <v>0</v>
      </c>
      <c r="CX98">
        <f>ROUND(Y98*Source!I88,7)</f>
        <v>6.0209999999999999</v>
      </c>
      <c r="CY98">
        <f>AD98</f>
        <v>377.84</v>
      </c>
      <c r="CZ98">
        <f>AH98</f>
        <v>377.84</v>
      </c>
      <c r="DA98">
        <f>AL98</f>
        <v>1</v>
      </c>
      <c r="DB98">
        <f t="shared" si="51"/>
        <v>10201.68</v>
      </c>
      <c r="DC98">
        <f t="shared" si="52"/>
        <v>0</v>
      </c>
      <c r="DD98" t="s">
        <v>3</v>
      </c>
      <c r="DE98" t="s">
        <v>3</v>
      </c>
      <c r="DF98">
        <f t="shared" si="49"/>
        <v>0</v>
      </c>
      <c r="DG98">
        <f>ROUND(ROUND(AF98,2)*CX98,2)</f>
        <v>0</v>
      </c>
      <c r="DH98">
        <f t="shared" si="53"/>
        <v>0</v>
      </c>
      <c r="DI98">
        <f t="shared" si="54"/>
        <v>2274.9699999999998</v>
      </c>
      <c r="DJ98">
        <f>DI98</f>
        <v>2274.9699999999998</v>
      </c>
      <c r="DK98">
        <v>1</v>
      </c>
      <c r="DL98" t="s">
        <v>3</v>
      </c>
      <c r="DM98">
        <v>0</v>
      </c>
      <c r="DN98" t="s">
        <v>3</v>
      </c>
      <c r="DO98">
        <v>0</v>
      </c>
    </row>
    <row r="99" spans="1:119" x14ac:dyDescent="0.2">
      <c r="A99">
        <f>ROW(Source!A88)</f>
        <v>88</v>
      </c>
      <c r="B99">
        <v>73953415</v>
      </c>
      <c r="C99">
        <v>73953921</v>
      </c>
      <c r="D99">
        <v>72518826</v>
      </c>
      <c r="E99">
        <v>119</v>
      </c>
      <c r="F99">
        <v>1</v>
      </c>
      <c r="G99">
        <v>1</v>
      </c>
      <c r="H99">
        <v>1</v>
      </c>
      <c r="I99" t="s">
        <v>357</v>
      </c>
      <c r="J99" t="s">
        <v>3</v>
      </c>
      <c r="K99" t="s">
        <v>358</v>
      </c>
      <c r="L99">
        <v>1191</v>
      </c>
      <c r="N99">
        <v>1013</v>
      </c>
      <c r="O99" t="s">
        <v>359</v>
      </c>
      <c r="P99" t="s">
        <v>359</v>
      </c>
      <c r="Q99">
        <v>1</v>
      </c>
      <c r="W99">
        <v>0</v>
      </c>
      <c r="X99">
        <v>-1417349443</v>
      </c>
      <c r="Y99">
        <f t="shared" si="50"/>
        <v>7.42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1</v>
      </c>
      <c r="AK99">
        <v>1</v>
      </c>
      <c r="AL99">
        <v>1</v>
      </c>
      <c r="AM99">
        <v>-2</v>
      </c>
      <c r="AN99">
        <v>0</v>
      </c>
      <c r="AO99">
        <v>0</v>
      </c>
      <c r="AP99">
        <v>1</v>
      </c>
      <c r="AQ99">
        <v>1</v>
      </c>
      <c r="AR99">
        <v>0</v>
      </c>
      <c r="AS99" t="s">
        <v>3</v>
      </c>
      <c r="AT99">
        <v>7.42</v>
      </c>
      <c r="AU99" t="s">
        <v>3</v>
      </c>
      <c r="AV99">
        <v>2</v>
      </c>
      <c r="AW99">
        <v>2</v>
      </c>
      <c r="AX99">
        <v>73953928</v>
      </c>
      <c r="AY99">
        <v>1</v>
      </c>
      <c r="AZ99">
        <v>0</v>
      </c>
      <c r="BA99">
        <v>109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CV99">
        <v>0</v>
      </c>
      <c r="CW99">
        <v>0</v>
      </c>
      <c r="CX99">
        <f>ROUND(Y99*Source!I88,7)</f>
        <v>1.65466</v>
      </c>
      <c r="CY99">
        <f>AD99</f>
        <v>0</v>
      </c>
      <c r="CZ99">
        <f>AH99</f>
        <v>0</v>
      </c>
      <c r="DA99">
        <f>AL99</f>
        <v>1</v>
      </c>
      <c r="DB99">
        <f t="shared" si="51"/>
        <v>0</v>
      </c>
      <c r="DC99">
        <f t="shared" si="52"/>
        <v>0</v>
      </c>
      <c r="DD99" t="s">
        <v>3</v>
      </c>
      <c r="DE99" t="s">
        <v>3</v>
      </c>
      <c r="DF99">
        <f t="shared" si="49"/>
        <v>0</v>
      </c>
      <c r="DG99">
        <f>ROUND(ROUND(AF99,2)*CX99,2)</f>
        <v>0</v>
      </c>
      <c r="DH99">
        <f t="shared" si="53"/>
        <v>0</v>
      </c>
      <c r="DI99">
        <f t="shared" si="54"/>
        <v>0</v>
      </c>
      <c r="DJ99">
        <f>DI99</f>
        <v>0</v>
      </c>
      <c r="DK99">
        <v>0</v>
      </c>
      <c r="DL99" t="s">
        <v>3</v>
      </c>
      <c r="DM99">
        <v>0</v>
      </c>
      <c r="DN99" t="s">
        <v>3</v>
      </c>
      <c r="DO99">
        <v>0</v>
      </c>
    </row>
    <row r="100" spans="1:119" x14ac:dyDescent="0.2">
      <c r="A100">
        <f>ROW(Source!A88)</f>
        <v>88</v>
      </c>
      <c r="B100">
        <v>73953415</v>
      </c>
      <c r="C100">
        <v>73953921</v>
      </c>
      <c r="D100">
        <v>72646779</v>
      </c>
      <c r="E100">
        <v>1</v>
      </c>
      <c r="F100">
        <v>1</v>
      </c>
      <c r="G100">
        <v>1</v>
      </c>
      <c r="H100">
        <v>2</v>
      </c>
      <c r="I100" t="s">
        <v>509</v>
      </c>
      <c r="J100" t="s">
        <v>510</v>
      </c>
      <c r="K100" t="s">
        <v>511</v>
      </c>
      <c r="L100">
        <v>1368</v>
      </c>
      <c r="N100">
        <v>1011</v>
      </c>
      <c r="O100" t="s">
        <v>363</v>
      </c>
      <c r="P100" t="s">
        <v>363</v>
      </c>
      <c r="Q100">
        <v>1</v>
      </c>
      <c r="W100">
        <v>0</v>
      </c>
      <c r="X100">
        <v>-1026261040</v>
      </c>
      <c r="Y100">
        <f t="shared" si="50"/>
        <v>7.42</v>
      </c>
      <c r="AA100">
        <v>0</v>
      </c>
      <c r="AB100">
        <v>1343.94</v>
      </c>
      <c r="AC100">
        <v>459.98</v>
      </c>
      <c r="AD100">
        <v>0</v>
      </c>
      <c r="AE100">
        <v>0</v>
      </c>
      <c r="AF100">
        <v>995.51</v>
      </c>
      <c r="AG100">
        <v>459.98</v>
      </c>
      <c r="AH100">
        <v>0</v>
      </c>
      <c r="AI100">
        <v>1</v>
      </c>
      <c r="AJ100">
        <v>1.35</v>
      </c>
      <c r="AK100">
        <v>1</v>
      </c>
      <c r="AL100">
        <v>1</v>
      </c>
      <c r="AM100">
        <v>2</v>
      </c>
      <c r="AN100">
        <v>0</v>
      </c>
      <c r="AO100">
        <v>0</v>
      </c>
      <c r="AP100">
        <v>1</v>
      </c>
      <c r="AQ100">
        <v>1</v>
      </c>
      <c r="AR100">
        <v>0</v>
      </c>
      <c r="AS100" t="s">
        <v>3</v>
      </c>
      <c r="AT100">
        <v>7.42</v>
      </c>
      <c r="AU100" t="s">
        <v>3</v>
      </c>
      <c r="AV100">
        <v>1</v>
      </c>
      <c r="AW100">
        <v>2</v>
      </c>
      <c r="AX100">
        <v>73953929</v>
      </c>
      <c r="AY100">
        <v>1</v>
      </c>
      <c r="AZ100">
        <v>0</v>
      </c>
      <c r="BA100">
        <v>110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7386.6841999999997</v>
      </c>
      <c r="BL100">
        <v>3413.0516000000002</v>
      </c>
      <c r="BM100">
        <v>0</v>
      </c>
      <c r="BN100">
        <v>0</v>
      </c>
      <c r="BO100">
        <v>7.42</v>
      </c>
      <c r="BP100">
        <v>1</v>
      </c>
      <c r="BQ100">
        <v>0</v>
      </c>
      <c r="BR100">
        <v>7386.6841999999997</v>
      </c>
      <c r="BS100">
        <v>3413.0516000000002</v>
      </c>
      <c r="BT100">
        <v>0</v>
      </c>
      <c r="BU100">
        <v>0</v>
      </c>
      <c r="BV100">
        <v>7.42</v>
      </c>
      <c r="BW100">
        <v>1</v>
      </c>
      <c r="CV100">
        <v>0</v>
      </c>
      <c r="CW100">
        <f>ROUND(Y100*Source!I88*DO100,7)</f>
        <v>1.65466</v>
      </c>
      <c r="CX100">
        <f>ROUND(Y100*Source!I88,7)</f>
        <v>1.65466</v>
      </c>
      <c r="CY100">
        <f>AB100</f>
        <v>1343.94</v>
      </c>
      <c r="CZ100">
        <f>AF100</f>
        <v>995.51</v>
      </c>
      <c r="DA100">
        <f>AJ100</f>
        <v>1.35</v>
      </c>
      <c r="DB100">
        <f t="shared" si="51"/>
        <v>7386.68</v>
      </c>
      <c r="DC100">
        <f t="shared" si="52"/>
        <v>3413.05</v>
      </c>
      <c r="DD100" t="s">
        <v>3</v>
      </c>
      <c r="DE100" t="s">
        <v>3</v>
      </c>
      <c r="DF100">
        <f t="shared" si="49"/>
        <v>0</v>
      </c>
      <c r="DG100">
        <f>ROUND(ROUND(AF100*AJ100,2)*CX100,2)</f>
        <v>2223.7600000000002</v>
      </c>
      <c r="DH100">
        <f t="shared" si="53"/>
        <v>761.11</v>
      </c>
      <c r="DI100">
        <f t="shared" si="54"/>
        <v>0</v>
      </c>
      <c r="DJ100">
        <f>DG100+DH100</f>
        <v>2984.8700000000003</v>
      </c>
      <c r="DK100">
        <v>0</v>
      </c>
      <c r="DL100" t="s">
        <v>372</v>
      </c>
      <c r="DM100">
        <v>5</v>
      </c>
      <c r="DN100" t="s">
        <v>359</v>
      </c>
      <c r="DO100">
        <v>1</v>
      </c>
    </row>
    <row r="101" spans="1:119" x14ac:dyDescent="0.2">
      <c r="A101">
        <f>ROW(Source!A88)</f>
        <v>88</v>
      </c>
      <c r="B101">
        <v>73953415</v>
      </c>
      <c r="C101">
        <v>73953921</v>
      </c>
      <c r="D101">
        <v>72646972</v>
      </c>
      <c r="E101">
        <v>1</v>
      </c>
      <c r="F101">
        <v>1</v>
      </c>
      <c r="G101">
        <v>1</v>
      </c>
      <c r="H101">
        <v>2</v>
      </c>
      <c r="I101" t="s">
        <v>512</v>
      </c>
      <c r="J101" t="s">
        <v>513</v>
      </c>
      <c r="K101" t="s">
        <v>514</v>
      </c>
      <c r="L101">
        <v>1368</v>
      </c>
      <c r="N101">
        <v>1011</v>
      </c>
      <c r="O101" t="s">
        <v>363</v>
      </c>
      <c r="P101" t="s">
        <v>363</v>
      </c>
      <c r="Q101">
        <v>1</v>
      </c>
      <c r="W101">
        <v>0</v>
      </c>
      <c r="X101">
        <v>559791142</v>
      </c>
      <c r="Y101">
        <f t="shared" si="50"/>
        <v>7.42</v>
      </c>
      <c r="AA101">
        <v>0</v>
      </c>
      <c r="AB101">
        <v>60.91</v>
      </c>
      <c r="AC101">
        <v>0</v>
      </c>
      <c r="AD101">
        <v>0</v>
      </c>
      <c r="AE101">
        <v>0</v>
      </c>
      <c r="AF101">
        <v>34.409999999999997</v>
      </c>
      <c r="AG101">
        <v>0</v>
      </c>
      <c r="AH101">
        <v>0</v>
      </c>
      <c r="AI101">
        <v>1</v>
      </c>
      <c r="AJ101">
        <v>1.77</v>
      </c>
      <c r="AK101">
        <v>1</v>
      </c>
      <c r="AL101">
        <v>1</v>
      </c>
      <c r="AM101">
        <v>2</v>
      </c>
      <c r="AN101">
        <v>0</v>
      </c>
      <c r="AO101">
        <v>0</v>
      </c>
      <c r="AP101">
        <v>1</v>
      </c>
      <c r="AQ101">
        <v>1</v>
      </c>
      <c r="AR101">
        <v>0</v>
      </c>
      <c r="AS101" t="s">
        <v>3</v>
      </c>
      <c r="AT101">
        <v>7.42</v>
      </c>
      <c r="AU101" t="s">
        <v>3</v>
      </c>
      <c r="AV101">
        <v>1</v>
      </c>
      <c r="AW101">
        <v>2</v>
      </c>
      <c r="AX101">
        <v>73953930</v>
      </c>
      <c r="AY101">
        <v>1</v>
      </c>
      <c r="AZ101">
        <v>0</v>
      </c>
      <c r="BA101">
        <v>111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255.32219999999998</v>
      </c>
      <c r="BL101">
        <v>0</v>
      </c>
      <c r="BM101">
        <v>0</v>
      </c>
      <c r="BN101">
        <v>0</v>
      </c>
      <c r="BO101">
        <v>0</v>
      </c>
      <c r="BP101">
        <v>1</v>
      </c>
      <c r="BQ101">
        <v>0</v>
      </c>
      <c r="BR101">
        <v>255.32219999999998</v>
      </c>
      <c r="BS101">
        <v>0</v>
      </c>
      <c r="BT101">
        <v>0</v>
      </c>
      <c r="BU101">
        <v>0</v>
      </c>
      <c r="BV101">
        <v>0</v>
      </c>
      <c r="BW101">
        <v>1</v>
      </c>
      <c r="CV101">
        <v>0</v>
      </c>
      <c r="CW101">
        <f>ROUND(Y101*Source!I88*DO101,7)</f>
        <v>0</v>
      </c>
      <c r="CX101">
        <f>ROUND(Y101*Source!I88,7)</f>
        <v>1.65466</v>
      </c>
      <c r="CY101">
        <f>AB101</f>
        <v>60.91</v>
      </c>
      <c r="CZ101">
        <f>AF101</f>
        <v>34.409999999999997</v>
      </c>
      <c r="DA101">
        <f>AJ101</f>
        <v>1.77</v>
      </c>
      <c r="DB101">
        <f t="shared" si="51"/>
        <v>255.32</v>
      </c>
      <c r="DC101">
        <f t="shared" si="52"/>
        <v>0</v>
      </c>
      <c r="DD101" t="s">
        <v>3</v>
      </c>
      <c r="DE101" t="s">
        <v>3</v>
      </c>
      <c r="DF101">
        <f t="shared" si="49"/>
        <v>0</v>
      </c>
      <c r="DG101">
        <f>ROUND(ROUND(AF101*AJ101,2)*CX101,2)</f>
        <v>100.79</v>
      </c>
      <c r="DH101">
        <f t="shared" si="53"/>
        <v>0</v>
      </c>
      <c r="DI101">
        <f t="shared" si="54"/>
        <v>0</v>
      </c>
      <c r="DJ101">
        <f>DG101+DH101</f>
        <v>100.79</v>
      </c>
      <c r="DK101">
        <v>0</v>
      </c>
      <c r="DL101" t="s">
        <v>3</v>
      </c>
      <c r="DM101">
        <v>0</v>
      </c>
      <c r="DN101" t="s">
        <v>3</v>
      </c>
      <c r="DO101">
        <v>0</v>
      </c>
    </row>
    <row r="102" spans="1:119" x14ac:dyDescent="0.2">
      <c r="A102">
        <f>ROW(Source!A88)</f>
        <v>88</v>
      </c>
      <c r="B102">
        <v>73953415</v>
      </c>
      <c r="C102">
        <v>73953921</v>
      </c>
      <c r="D102">
        <v>72524853</v>
      </c>
      <c r="E102">
        <v>119</v>
      </c>
      <c r="F102">
        <v>1</v>
      </c>
      <c r="G102">
        <v>1</v>
      </c>
      <c r="H102">
        <v>3</v>
      </c>
      <c r="I102" t="s">
        <v>197</v>
      </c>
      <c r="J102" t="s">
        <v>3</v>
      </c>
      <c r="K102" t="s">
        <v>198</v>
      </c>
      <c r="L102">
        <v>3277935</v>
      </c>
      <c r="N102">
        <v>1013</v>
      </c>
      <c r="O102" t="s">
        <v>199</v>
      </c>
      <c r="P102" t="s">
        <v>199</v>
      </c>
      <c r="Q102">
        <v>1</v>
      </c>
      <c r="W102">
        <v>0</v>
      </c>
      <c r="X102">
        <v>274903907</v>
      </c>
      <c r="Y102">
        <f t="shared" si="50"/>
        <v>2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1</v>
      </c>
      <c r="AL102">
        <v>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 t="s">
        <v>3</v>
      </c>
      <c r="AT102">
        <v>2</v>
      </c>
      <c r="AU102" t="s">
        <v>3</v>
      </c>
      <c r="AV102">
        <v>0</v>
      </c>
      <c r="AW102">
        <v>2</v>
      </c>
      <c r="AX102">
        <v>73953931</v>
      </c>
      <c r="AY102">
        <v>1</v>
      </c>
      <c r="AZ102">
        <v>0</v>
      </c>
      <c r="BA102">
        <v>112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CV102">
        <v>0</v>
      </c>
      <c r="CW102">
        <v>0</v>
      </c>
      <c r="CX102">
        <f>ROUND(Y102*Source!I88,7)</f>
        <v>0.44600000000000001</v>
      </c>
      <c r="CY102">
        <f>AA102</f>
        <v>0</v>
      </c>
      <c r="CZ102">
        <f>AE102</f>
        <v>0</v>
      </c>
      <c r="DA102">
        <f>AI102</f>
        <v>1</v>
      </c>
      <c r="DB102">
        <f t="shared" si="51"/>
        <v>0</v>
      </c>
      <c r="DC102">
        <f t="shared" si="52"/>
        <v>0</v>
      </c>
      <c r="DD102" t="s">
        <v>3</v>
      </c>
      <c r="DE102" t="s">
        <v>3</v>
      </c>
      <c r="DF102">
        <f t="shared" si="49"/>
        <v>0</v>
      </c>
      <c r="DG102">
        <f>ROUND(ROUND(AF102,2)*CX102,2)</f>
        <v>0</v>
      </c>
      <c r="DH102">
        <f t="shared" si="53"/>
        <v>0</v>
      </c>
      <c r="DI102">
        <f t="shared" si="54"/>
        <v>0</v>
      </c>
      <c r="DJ102">
        <f>DF102</f>
        <v>0</v>
      </c>
      <c r="DK102">
        <v>0</v>
      </c>
      <c r="DL102" t="s">
        <v>3</v>
      </c>
      <c r="DM102">
        <v>0</v>
      </c>
      <c r="DN102" t="s">
        <v>3</v>
      </c>
      <c r="DO102">
        <v>0</v>
      </c>
    </row>
    <row r="103" spans="1:119" x14ac:dyDescent="0.2">
      <c r="A103">
        <f>ROW(Source!A91)</f>
        <v>91</v>
      </c>
      <c r="B103">
        <v>73953415</v>
      </c>
      <c r="C103">
        <v>73953934</v>
      </c>
      <c r="D103">
        <v>72518610</v>
      </c>
      <c r="E103">
        <v>119</v>
      </c>
      <c r="F103">
        <v>1</v>
      </c>
      <c r="G103">
        <v>1</v>
      </c>
      <c r="H103">
        <v>1</v>
      </c>
      <c r="I103" t="s">
        <v>515</v>
      </c>
      <c r="J103" t="s">
        <v>3</v>
      </c>
      <c r="K103" t="s">
        <v>516</v>
      </c>
      <c r="L103">
        <v>1191</v>
      </c>
      <c r="N103">
        <v>1013</v>
      </c>
      <c r="O103" t="s">
        <v>359</v>
      </c>
      <c r="P103" t="s">
        <v>359</v>
      </c>
      <c r="Q103">
        <v>1</v>
      </c>
      <c r="W103">
        <v>0</v>
      </c>
      <c r="X103">
        <v>-1483035894</v>
      </c>
      <c r="Y103">
        <f t="shared" si="50"/>
        <v>11.35</v>
      </c>
      <c r="AA103">
        <v>0</v>
      </c>
      <c r="AB103">
        <v>0</v>
      </c>
      <c r="AC103">
        <v>0</v>
      </c>
      <c r="AD103">
        <v>337.52</v>
      </c>
      <c r="AE103">
        <v>0</v>
      </c>
      <c r="AF103">
        <v>0</v>
      </c>
      <c r="AG103">
        <v>0</v>
      </c>
      <c r="AH103">
        <v>337.52</v>
      </c>
      <c r="AI103">
        <v>1</v>
      </c>
      <c r="AJ103">
        <v>1</v>
      </c>
      <c r="AK103">
        <v>1</v>
      </c>
      <c r="AL103">
        <v>1</v>
      </c>
      <c r="AM103">
        <v>-2</v>
      </c>
      <c r="AN103">
        <v>0</v>
      </c>
      <c r="AO103">
        <v>0</v>
      </c>
      <c r="AP103">
        <v>1</v>
      </c>
      <c r="AQ103">
        <v>1</v>
      </c>
      <c r="AR103">
        <v>0</v>
      </c>
      <c r="AS103" t="s">
        <v>3</v>
      </c>
      <c r="AT103">
        <v>11.35</v>
      </c>
      <c r="AU103" t="s">
        <v>3</v>
      </c>
      <c r="AV103">
        <v>1</v>
      </c>
      <c r="AW103">
        <v>2</v>
      </c>
      <c r="AX103">
        <v>73953940</v>
      </c>
      <c r="AY103">
        <v>1</v>
      </c>
      <c r="AZ103">
        <v>0</v>
      </c>
      <c r="BA103">
        <v>113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3830.8519999999999</v>
      </c>
      <c r="BN103">
        <v>11.35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3830.8519999999999</v>
      </c>
      <c r="BU103">
        <v>11.35</v>
      </c>
      <c r="BV103">
        <v>0</v>
      </c>
      <c r="BW103">
        <v>1</v>
      </c>
      <c r="CU103">
        <f>ROUND(AT103*Source!I91*AH103*AL103,2)</f>
        <v>191.54</v>
      </c>
      <c r="CV103">
        <f>ROUND(Y103*Source!I91,7)</f>
        <v>0.5675</v>
      </c>
      <c r="CW103">
        <v>0</v>
      </c>
      <c r="CX103">
        <f>ROUND(Y103*Source!I91,7)</f>
        <v>0.5675</v>
      </c>
      <c r="CY103">
        <f>AD103</f>
        <v>337.52</v>
      </c>
      <c r="CZ103">
        <f>AH103</f>
        <v>337.52</v>
      </c>
      <c r="DA103">
        <f>AL103</f>
        <v>1</v>
      </c>
      <c r="DB103">
        <f t="shared" si="51"/>
        <v>3830.85</v>
      </c>
      <c r="DC103">
        <f t="shared" si="52"/>
        <v>0</v>
      </c>
      <c r="DD103" t="s">
        <v>3</v>
      </c>
      <c r="DE103" t="s">
        <v>3</v>
      </c>
      <c r="DF103">
        <f t="shared" si="49"/>
        <v>0</v>
      </c>
      <c r="DG103">
        <f>ROUND(ROUND(AF103,2)*CX103,2)</f>
        <v>0</v>
      </c>
      <c r="DH103">
        <f t="shared" si="53"/>
        <v>0</v>
      </c>
      <c r="DI103">
        <f t="shared" si="54"/>
        <v>191.54</v>
      </c>
      <c r="DJ103">
        <f>DI103</f>
        <v>191.54</v>
      </c>
      <c r="DK103">
        <v>1</v>
      </c>
      <c r="DL103" t="s">
        <v>3</v>
      </c>
      <c r="DM103">
        <v>0</v>
      </c>
      <c r="DN103" t="s">
        <v>3</v>
      </c>
      <c r="DO103">
        <v>0</v>
      </c>
    </row>
    <row r="104" spans="1:119" x14ac:dyDescent="0.2">
      <c r="A104">
        <f>ROW(Source!A91)</f>
        <v>91</v>
      </c>
      <c r="B104">
        <v>73953415</v>
      </c>
      <c r="C104">
        <v>73953934</v>
      </c>
      <c r="D104">
        <v>72518826</v>
      </c>
      <c r="E104">
        <v>119</v>
      </c>
      <c r="F104">
        <v>1</v>
      </c>
      <c r="G104">
        <v>1</v>
      </c>
      <c r="H104">
        <v>1</v>
      </c>
      <c r="I104" t="s">
        <v>357</v>
      </c>
      <c r="J104" t="s">
        <v>3</v>
      </c>
      <c r="K104" t="s">
        <v>358</v>
      </c>
      <c r="L104">
        <v>1191</v>
      </c>
      <c r="N104">
        <v>1013</v>
      </c>
      <c r="O104" t="s">
        <v>359</v>
      </c>
      <c r="P104" t="s">
        <v>359</v>
      </c>
      <c r="Q104">
        <v>1</v>
      </c>
      <c r="W104">
        <v>0</v>
      </c>
      <c r="X104">
        <v>-1417349443</v>
      </c>
      <c r="Y104">
        <f t="shared" si="50"/>
        <v>0.94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1</v>
      </c>
      <c r="AK104">
        <v>1</v>
      </c>
      <c r="AL104">
        <v>1</v>
      </c>
      <c r="AM104">
        <v>-2</v>
      </c>
      <c r="AN104">
        <v>0</v>
      </c>
      <c r="AO104">
        <v>0</v>
      </c>
      <c r="AP104">
        <v>1</v>
      </c>
      <c r="AQ104">
        <v>1</v>
      </c>
      <c r="AR104">
        <v>0</v>
      </c>
      <c r="AS104" t="s">
        <v>3</v>
      </c>
      <c r="AT104">
        <v>0.94</v>
      </c>
      <c r="AU104" t="s">
        <v>3</v>
      </c>
      <c r="AV104">
        <v>2</v>
      </c>
      <c r="AW104">
        <v>2</v>
      </c>
      <c r="AX104">
        <v>73953941</v>
      </c>
      <c r="AY104">
        <v>1</v>
      </c>
      <c r="AZ104">
        <v>0</v>
      </c>
      <c r="BA104">
        <v>114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CV104">
        <v>0</v>
      </c>
      <c r="CW104">
        <v>0</v>
      </c>
      <c r="CX104">
        <f>ROUND(Y104*Source!I91,7)</f>
        <v>4.7E-2</v>
      </c>
      <c r="CY104">
        <f>AD104</f>
        <v>0</v>
      </c>
      <c r="CZ104">
        <f>AH104</f>
        <v>0</v>
      </c>
      <c r="DA104">
        <f>AL104</f>
        <v>1</v>
      </c>
      <c r="DB104">
        <f t="shared" si="51"/>
        <v>0</v>
      </c>
      <c r="DC104">
        <f t="shared" si="52"/>
        <v>0</v>
      </c>
      <c r="DD104" t="s">
        <v>3</v>
      </c>
      <c r="DE104" t="s">
        <v>3</v>
      </c>
      <c r="DF104">
        <f t="shared" si="49"/>
        <v>0</v>
      </c>
      <c r="DG104">
        <f>ROUND(ROUND(AF104,2)*CX104,2)</f>
        <v>0</v>
      </c>
      <c r="DH104">
        <f t="shared" si="53"/>
        <v>0</v>
      </c>
      <c r="DI104">
        <f t="shared" si="54"/>
        <v>0</v>
      </c>
      <c r="DJ104">
        <f>DI104</f>
        <v>0</v>
      </c>
      <c r="DK104">
        <v>0</v>
      </c>
      <c r="DL104" t="s">
        <v>3</v>
      </c>
      <c r="DM104">
        <v>0</v>
      </c>
      <c r="DN104" t="s">
        <v>3</v>
      </c>
      <c r="DO104">
        <v>0</v>
      </c>
    </row>
    <row r="105" spans="1:119" x14ac:dyDescent="0.2">
      <c r="A105">
        <f>ROW(Source!A91)</f>
        <v>91</v>
      </c>
      <c r="B105">
        <v>73953415</v>
      </c>
      <c r="C105">
        <v>73953934</v>
      </c>
      <c r="D105">
        <v>72646876</v>
      </c>
      <c r="E105">
        <v>1</v>
      </c>
      <c r="F105">
        <v>1</v>
      </c>
      <c r="G105">
        <v>1</v>
      </c>
      <c r="H105">
        <v>2</v>
      </c>
      <c r="I105" t="s">
        <v>517</v>
      </c>
      <c r="J105" t="s">
        <v>518</v>
      </c>
      <c r="K105" t="s">
        <v>519</v>
      </c>
      <c r="L105">
        <v>1368</v>
      </c>
      <c r="N105">
        <v>1011</v>
      </c>
      <c r="O105" t="s">
        <v>363</v>
      </c>
      <c r="P105" t="s">
        <v>363</v>
      </c>
      <c r="Q105">
        <v>1</v>
      </c>
      <c r="W105">
        <v>0</v>
      </c>
      <c r="X105">
        <v>1085378362</v>
      </c>
      <c r="Y105">
        <f t="shared" si="50"/>
        <v>0.94</v>
      </c>
      <c r="AA105">
        <v>0</v>
      </c>
      <c r="AB105">
        <v>1202.99</v>
      </c>
      <c r="AC105">
        <v>400.24</v>
      </c>
      <c r="AD105">
        <v>0</v>
      </c>
      <c r="AE105">
        <v>0</v>
      </c>
      <c r="AF105">
        <v>865.46</v>
      </c>
      <c r="AG105">
        <v>400.24</v>
      </c>
      <c r="AH105">
        <v>0</v>
      </c>
      <c r="AI105">
        <v>1</v>
      </c>
      <c r="AJ105">
        <v>1.39</v>
      </c>
      <c r="AK105">
        <v>1</v>
      </c>
      <c r="AL105">
        <v>1</v>
      </c>
      <c r="AM105">
        <v>2</v>
      </c>
      <c r="AN105">
        <v>0</v>
      </c>
      <c r="AO105">
        <v>0</v>
      </c>
      <c r="AP105">
        <v>1</v>
      </c>
      <c r="AQ105">
        <v>1</v>
      </c>
      <c r="AR105">
        <v>0</v>
      </c>
      <c r="AS105" t="s">
        <v>3</v>
      </c>
      <c r="AT105">
        <v>0.94</v>
      </c>
      <c r="AU105" t="s">
        <v>3</v>
      </c>
      <c r="AV105">
        <v>1</v>
      </c>
      <c r="AW105">
        <v>2</v>
      </c>
      <c r="AX105">
        <v>73953942</v>
      </c>
      <c r="AY105">
        <v>1</v>
      </c>
      <c r="AZ105">
        <v>0</v>
      </c>
      <c r="BA105">
        <v>115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813.53239999999994</v>
      </c>
      <c r="BL105">
        <v>376.22559999999999</v>
      </c>
      <c r="BM105">
        <v>0</v>
      </c>
      <c r="BN105">
        <v>0</v>
      </c>
      <c r="BO105">
        <v>0.94</v>
      </c>
      <c r="BP105">
        <v>1</v>
      </c>
      <c r="BQ105">
        <v>0</v>
      </c>
      <c r="BR105">
        <v>813.53239999999994</v>
      </c>
      <c r="BS105">
        <v>376.22559999999999</v>
      </c>
      <c r="BT105">
        <v>0</v>
      </c>
      <c r="BU105">
        <v>0</v>
      </c>
      <c r="BV105">
        <v>0.94</v>
      </c>
      <c r="BW105">
        <v>1</v>
      </c>
      <c r="CV105">
        <v>0</v>
      </c>
      <c r="CW105">
        <f>ROUND(Y105*Source!I91*DO105,7)</f>
        <v>4.7E-2</v>
      </c>
      <c r="CX105">
        <f>ROUND(Y105*Source!I91,7)</f>
        <v>4.7E-2</v>
      </c>
      <c r="CY105">
        <f>AB105</f>
        <v>1202.99</v>
      </c>
      <c r="CZ105">
        <f>AF105</f>
        <v>865.46</v>
      </c>
      <c r="DA105">
        <f>AJ105</f>
        <v>1.39</v>
      </c>
      <c r="DB105">
        <f t="shared" si="51"/>
        <v>813.53</v>
      </c>
      <c r="DC105">
        <f t="shared" si="52"/>
        <v>376.23</v>
      </c>
      <c r="DD105" t="s">
        <v>3</v>
      </c>
      <c r="DE105" t="s">
        <v>3</v>
      </c>
      <c r="DF105">
        <f t="shared" si="49"/>
        <v>0</v>
      </c>
      <c r="DG105">
        <f>ROUND(ROUND(AF105*AJ105,2)*CX105,2)</f>
        <v>56.54</v>
      </c>
      <c r="DH105">
        <f t="shared" si="53"/>
        <v>18.809999999999999</v>
      </c>
      <c r="DI105">
        <f t="shared" si="54"/>
        <v>0</v>
      </c>
      <c r="DJ105">
        <f>DG105+DH105</f>
        <v>75.349999999999994</v>
      </c>
      <c r="DK105">
        <v>0</v>
      </c>
      <c r="DL105" t="s">
        <v>400</v>
      </c>
      <c r="DM105">
        <v>4</v>
      </c>
      <c r="DN105" t="s">
        <v>359</v>
      </c>
      <c r="DO105">
        <v>1</v>
      </c>
    </row>
    <row r="106" spans="1:119" x14ac:dyDescent="0.2">
      <c r="A106">
        <f>ROW(Source!A91)</f>
        <v>91</v>
      </c>
      <c r="B106">
        <v>73953415</v>
      </c>
      <c r="C106">
        <v>73953934</v>
      </c>
      <c r="D106">
        <v>72647549</v>
      </c>
      <c r="E106">
        <v>1</v>
      </c>
      <c r="F106">
        <v>1</v>
      </c>
      <c r="G106">
        <v>1</v>
      </c>
      <c r="H106">
        <v>2</v>
      </c>
      <c r="I106" t="s">
        <v>520</v>
      </c>
      <c r="J106" t="s">
        <v>521</v>
      </c>
      <c r="K106" t="s">
        <v>522</v>
      </c>
      <c r="L106">
        <v>1368</v>
      </c>
      <c r="N106">
        <v>1011</v>
      </c>
      <c r="O106" t="s">
        <v>363</v>
      </c>
      <c r="P106" t="s">
        <v>363</v>
      </c>
      <c r="Q106">
        <v>1</v>
      </c>
      <c r="W106">
        <v>0</v>
      </c>
      <c r="X106">
        <v>2139248268</v>
      </c>
      <c r="Y106">
        <f t="shared" si="50"/>
        <v>4.24</v>
      </c>
      <c r="AA106">
        <v>0</v>
      </c>
      <c r="AB106">
        <v>30.37</v>
      </c>
      <c r="AC106">
        <v>0</v>
      </c>
      <c r="AD106">
        <v>0</v>
      </c>
      <c r="AE106">
        <v>0</v>
      </c>
      <c r="AF106">
        <v>30.37</v>
      </c>
      <c r="AG106">
        <v>0</v>
      </c>
      <c r="AH106">
        <v>0</v>
      </c>
      <c r="AI106">
        <v>1</v>
      </c>
      <c r="AJ106">
        <v>1</v>
      </c>
      <c r="AK106">
        <v>1</v>
      </c>
      <c r="AL106">
        <v>1</v>
      </c>
      <c r="AM106">
        <v>-2</v>
      </c>
      <c r="AN106">
        <v>0</v>
      </c>
      <c r="AO106">
        <v>0</v>
      </c>
      <c r="AP106">
        <v>1</v>
      </c>
      <c r="AQ106">
        <v>1</v>
      </c>
      <c r="AR106">
        <v>0</v>
      </c>
      <c r="AS106" t="s">
        <v>3</v>
      </c>
      <c r="AT106">
        <v>4.24</v>
      </c>
      <c r="AU106" t="s">
        <v>3</v>
      </c>
      <c r="AV106">
        <v>1</v>
      </c>
      <c r="AW106">
        <v>2</v>
      </c>
      <c r="AX106">
        <v>73953943</v>
      </c>
      <c r="AY106">
        <v>1</v>
      </c>
      <c r="AZ106">
        <v>0</v>
      </c>
      <c r="BA106">
        <v>116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128.7688</v>
      </c>
      <c r="BL106">
        <v>0</v>
      </c>
      <c r="BM106">
        <v>0</v>
      </c>
      <c r="BN106">
        <v>0</v>
      </c>
      <c r="BO106">
        <v>0</v>
      </c>
      <c r="BP106">
        <v>1</v>
      </c>
      <c r="BQ106">
        <v>0</v>
      </c>
      <c r="BR106">
        <v>128.7688</v>
      </c>
      <c r="BS106">
        <v>0</v>
      </c>
      <c r="BT106">
        <v>0</v>
      </c>
      <c r="BU106">
        <v>0</v>
      </c>
      <c r="BV106">
        <v>0</v>
      </c>
      <c r="BW106">
        <v>1</v>
      </c>
      <c r="CV106">
        <v>0</v>
      </c>
      <c r="CW106">
        <f>ROUND(Y106*Source!I91*DO106,7)</f>
        <v>0</v>
      </c>
      <c r="CX106">
        <f>ROUND(Y106*Source!I91,7)</f>
        <v>0.21199999999999999</v>
      </c>
      <c r="CY106">
        <f>AB106</f>
        <v>30.37</v>
      </c>
      <c r="CZ106">
        <f>AF106</f>
        <v>30.37</v>
      </c>
      <c r="DA106">
        <f>AJ106</f>
        <v>1</v>
      </c>
      <c r="DB106">
        <f t="shared" si="51"/>
        <v>128.77000000000001</v>
      </c>
      <c r="DC106">
        <f t="shared" si="52"/>
        <v>0</v>
      </c>
      <c r="DD106" t="s">
        <v>3</v>
      </c>
      <c r="DE106" t="s">
        <v>3</v>
      </c>
      <c r="DF106">
        <f t="shared" si="49"/>
        <v>0</v>
      </c>
      <c r="DG106">
        <f>ROUND(ROUND(AF106,2)*CX106,2)</f>
        <v>6.44</v>
      </c>
      <c r="DH106">
        <f t="shared" si="53"/>
        <v>0</v>
      </c>
      <c r="DI106">
        <f t="shared" si="54"/>
        <v>0</v>
      </c>
      <c r="DJ106">
        <f>DG106+DH106</f>
        <v>6.44</v>
      </c>
      <c r="DK106">
        <v>1</v>
      </c>
      <c r="DL106" t="s">
        <v>3</v>
      </c>
      <c r="DM106">
        <v>0</v>
      </c>
      <c r="DN106" t="s">
        <v>3</v>
      </c>
      <c r="DO106">
        <v>0</v>
      </c>
    </row>
    <row r="107" spans="1:119" x14ac:dyDescent="0.2">
      <c r="A107">
        <f>ROW(Source!A94)</f>
        <v>94</v>
      </c>
      <c r="B107">
        <v>73953415</v>
      </c>
      <c r="C107">
        <v>73953948</v>
      </c>
      <c r="D107">
        <v>72518592</v>
      </c>
      <c r="E107">
        <v>119</v>
      </c>
      <c r="F107">
        <v>1</v>
      </c>
      <c r="G107">
        <v>1</v>
      </c>
      <c r="H107">
        <v>1</v>
      </c>
      <c r="I107" t="s">
        <v>365</v>
      </c>
      <c r="J107" t="s">
        <v>3</v>
      </c>
      <c r="K107" t="s">
        <v>366</v>
      </c>
      <c r="L107">
        <v>1191</v>
      </c>
      <c r="N107">
        <v>1013</v>
      </c>
      <c r="O107" t="s">
        <v>359</v>
      </c>
      <c r="P107" t="s">
        <v>359</v>
      </c>
      <c r="Q107">
        <v>1</v>
      </c>
      <c r="W107">
        <v>0</v>
      </c>
      <c r="X107">
        <v>370475345</v>
      </c>
      <c r="Y107">
        <f t="shared" si="50"/>
        <v>135</v>
      </c>
      <c r="AA107">
        <v>0</v>
      </c>
      <c r="AB107">
        <v>0</v>
      </c>
      <c r="AC107">
        <v>0</v>
      </c>
      <c r="AD107">
        <v>325.57</v>
      </c>
      <c r="AE107">
        <v>0</v>
      </c>
      <c r="AF107">
        <v>0</v>
      </c>
      <c r="AG107">
        <v>0</v>
      </c>
      <c r="AH107">
        <v>325.57</v>
      </c>
      <c r="AI107">
        <v>1</v>
      </c>
      <c r="AJ107">
        <v>1</v>
      </c>
      <c r="AK107">
        <v>1</v>
      </c>
      <c r="AL107">
        <v>1</v>
      </c>
      <c r="AM107">
        <v>-2</v>
      </c>
      <c r="AN107">
        <v>0</v>
      </c>
      <c r="AO107">
        <v>0</v>
      </c>
      <c r="AP107">
        <v>1</v>
      </c>
      <c r="AQ107">
        <v>1</v>
      </c>
      <c r="AR107">
        <v>0</v>
      </c>
      <c r="AS107" t="s">
        <v>3</v>
      </c>
      <c r="AT107">
        <v>135</v>
      </c>
      <c r="AU107" t="s">
        <v>3</v>
      </c>
      <c r="AV107">
        <v>1</v>
      </c>
      <c r="AW107">
        <v>2</v>
      </c>
      <c r="AX107">
        <v>73953957</v>
      </c>
      <c r="AY107">
        <v>1</v>
      </c>
      <c r="AZ107">
        <v>0</v>
      </c>
      <c r="BA107">
        <v>118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43951.95</v>
      </c>
      <c r="BN107">
        <v>135</v>
      </c>
      <c r="BO107">
        <v>0</v>
      </c>
      <c r="BP107">
        <v>1</v>
      </c>
      <c r="BQ107">
        <v>0</v>
      </c>
      <c r="BR107">
        <v>0</v>
      </c>
      <c r="BS107">
        <v>0</v>
      </c>
      <c r="BT107">
        <v>43951.95</v>
      </c>
      <c r="BU107">
        <v>135</v>
      </c>
      <c r="BV107">
        <v>0</v>
      </c>
      <c r="BW107">
        <v>1</v>
      </c>
      <c r="CU107">
        <f>ROUND(AT107*Source!I94*AH107*AL107,2)</f>
        <v>22.86</v>
      </c>
      <c r="CV107">
        <f>ROUND(Y107*Source!I94,7)</f>
        <v>7.0199999999999999E-2</v>
      </c>
      <c r="CW107">
        <v>0</v>
      </c>
      <c r="CX107">
        <f>ROUND(Y107*Source!I94,7)</f>
        <v>7.0199999999999999E-2</v>
      </c>
      <c r="CY107">
        <f>AD107</f>
        <v>325.57</v>
      </c>
      <c r="CZ107">
        <f>AH107</f>
        <v>325.57</v>
      </c>
      <c r="DA107">
        <f>AL107</f>
        <v>1</v>
      </c>
      <c r="DB107">
        <f t="shared" si="51"/>
        <v>43951.95</v>
      </c>
      <c r="DC107">
        <f t="shared" si="52"/>
        <v>0</v>
      </c>
      <c r="DD107" t="s">
        <v>3</v>
      </c>
      <c r="DE107" t="s">
        <v>3</v>
      </c>
      <c r="DF107">
        <f t="shared" si="49"/>
        <v>0</v>
      </c>
      <c r="DG107">
        <f>ROUND(ROUND(AF107,2)*CX107,2)</f>
        <v>0</v>
      </c>
      <c r="DH107">
        <f t="shared" si="53"/>
        <v>0</v>
      </c>
      <c r="DI107">
        <f t="shared" si="54"/>
        <v>22.86</v>
      </c>
      <c r="DJ107">
        <f>DI107</f>
        <v>22.86</v>
      </c>
      <c r="DK107">
        <v>1</v>
      </c>
      <c r="DL107" t="s">
        <v>3</v>
      </c>
      <c r="DM107">
        <v>0</v>
      </c>
      <c r="DN107" t="s">
        <v>3</v>
      </c>
      <c r="DO107">
        <v>0</v>
      </c>
    </row>
    <row r="108" spans="1:119" x14ac:dyDescent="0.2">
      <c r="A108">
        <f>ROW(Source!A94)</f>
        <v>94</v>
      </c>
      <c r="B108">
        <v>73953415</v>
      </c>
      <c r="C108">
        <v>73953948</v>
      </c>
      <c r="D108">
        <v>72518826</v>
      </c>
      <c r="E108">
        <v>119</v>
      </c>
      <c r="F108">
        <v>1</v>
      </c>
      <c r="G108">
        <v>1</v>
      </c>
      <c r="H108">
        <v>1</v>
      </c>
      <c r="I108" t="s">
        <v>357</v>
      </c>
      <c r="J108" t="s">
        <v>3</v>
      </c>
      <c r="K108" t="s">
        <v>358</v>
      </c>
      <c r="L108">
        <v>1191</v>
      </c>
      <c r="N108">
        <v>1013</v>
      </c>
      <c r="O108" t="s">
        <v>359</v>
      </c>
      <c r="P108" t="s">
        <v>359</v>
      </c>
      <c r="Q108">
        <v>1</v>
      </c>
      <c r="W108">
        <v>0</v>
      </c>
      <c r="X108">
        <v>-1417349443</v>
      </c>
      <c r="Y108">
        <f t="shared" si="50"/>
        <v>18.12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  <c r="AJ108">
        <v>1</v>
      </c>
      <c r="AK108">
        <v>1</v>
      </c>
      <c r="AL108">
        <v>1</v>
      </c>
      <c r="AM108">
        <v>-2</v>
      </c>
      <c r="AN108">
        <v>0</v>
      </c>
      <c r="AO108">
        <v>0</v>
      </c>
      <c r="AP108">
        <v>1</v>
      </c>
      <c r="AQ108">
        <v>1</v>
      </c>
      <c r="AR108">
        <v>0</v>
      </c>
      <c r="AS108" t="s">
        <v>3</v>
      </c>
      <c r="AT108">
        <v>18.12</v>
      </c>
      <c r="AU108" t="s">
        <v>3</v>
      </c>
      <c r="AV108">
        <v>2</v>
      </c>
      <c r="AW108">
        <v>2</v>
      </c>
      <c r="AX108">
        <v>73953958</v>
      </c>
      <c r="AY108">
        <v>1</v>
      </c>
      <c r="AZ108">
        <v>0</v>
      </c>
      <c r="BA108">
        <v>119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CV108">
        <v>0</v>
      </c>
      <c r="CW108">
        <v>0</v>
      </c>
      <c r="CX108">
        <f>ROUND(Y108*Source!I94,7)</f>
        <v>9.4223999999999992E-3</v>
      </c>
      <c r="CY108">
        <f>AD108</f>
        <v>0</v>
      </c>
      <c r="CZ108">
        <f>AH108</f>
        <v>0</v>
      </c>
      <c r="DA108">
        <f>AL108</f>
        <v>1</v>
      </c>
      <c r="DB108">
        <f t="shared" si="51"/>
        <v>0</v>
      </c>
      <c r="DC108">
        <f t="shared" si="52"/>
        <v>0</v>
      </c>
      <c r="DD108" t="s">
        <v>3</v>
      </c>
      <c r="DE108" t="s">
        <v>3</v>
      </c>
      <c r="DF108">
        <f t="shared" si="49"/>
        <v>0</v>
      </c>
      <c r="DG108">
        <f>ROUND(ROUND(AF108,2)*CX108,2)</f>
        <v>0</v>
      </c>
      <c r="DH108">
        <f t="shared" si="53"/>
        <v>0</v>
      </c>
      <c r="DI108">
        <f t="shared" si="54"/>
        <v>0</v>
      </c>
      <c r="DJ108">
        <f>DI108</f>
        <v>0</v>
      </c>
      <c r="DK108">
        <v>0</v>
      </c>
      <c r="DL108" t="s">
        <v>3</v>
      </c>
      <c r="DM108">
        <v>0</v>
      </c>
      <c r="DN108" t="s">
        <v>3</v>
      </c>
      <c r="DO108">
        <v>0</v>
      </c>
    </row>
    <row r="109" spans="1:119" x14ac:dyDescent="0.2">
      <c r="A109">
        <f>ROW(Source!A94)</f>
        <v>94</v>
      </c>
      <c r="B109">
        <v>73953415</v>
      </c>
      <c r="C109">
        <v>73953948</v>
      </c>
      <c r="D109">
        <v>72645984</v>
      </c>
      <c r="E109">
        <v>1</v>
      </c>
      <c r="F109">
        <v>1</v>
      </c>
      <c r="G109">
        <v>1</v>
      </c>
      <c r="H109">
        <v>2</v>
      </c>
      <c r="I109" t="s">
        <v>523</v>
      </c>
      <c r="J109" t="s">
        <v>524</v>
      </c>
      <c r="K109" t="s">
        <v>525</v>
      </c>
      <c r="L109">
        <v>1368</v>
      </c>
      <c r="N109">
        <v>1011</v>
      </c>
      <c r="O109" t="s">
        <v>363</v>
      </c>
      <c r="P109" t="s">
        <v>363</v>
      </c>
      <c r="Q109">
        <v>1</v>
      </c>
      <c r="W109">
        <v>0</v>
      </c>
      <c r="X109">
        <v>-2007910459</v>
      </c>
      <c r="Y109">
        <f t="shared" si="50"/>
        <v>18</v>
      </c>
      <c r="AA109">
        <v>0</v>
      </c>
      <c r="AB109">
        <v>996.19</v>
      </c>
      <c r="AC109">
        <v>537.64</v>
      </c>
      <c r="AD109">
        <v>0</v>
      </c>
      <c r="AE109">
        <v>0</v>
      </c>
      <c r="AF109">
        <v>622.62</v>
      </c>
      <c r="AG109">
        <v>537.64</v>
      </c>
      <c r="AH109">
        <v>0</v>
      </c>
      <c r="AI109">
        <v>1</v>
      </c>
      <c r="AJ109">
        <v>1.6</v>
      </c>
      <c r="AK109">
        <v>1</v>
      </c>
      <c r="AL109">
        <v>1</v>
      </c>
      <c r="AM109">
        <v>2</v>
      </c>
      <c r="AN109">
        <v>0</v>
      </c>
      <c r="AO109">
        <v>0</v>
      </c>
      <c r="AP109">
        <v>1</v>
      </c>
      <c r="AQ109">
        <v>1</v>
      </c>
      <c r="AR109">
        <v>0</v>
      </c>
      <c r="AS109" t="s">
        <v>3</v>
      </c>
      <c r="AT109">
        <v>18</v>
      </c>
      <c r="AU109" t="s">
        <v>3</v>
      </c>
      <c r="AV109">
        <v>1</v>
      </c>
      <c r="AW109">
        <v>2</v>
      </c>
      <c r="AX109">
        <v>73953959</v>
      </c>
      <c r="AY109">
        <v>1</v>
      </c>
      <c r="AZ109">
        <v>0</v>
      </c>
      <c r="BA109">
        <v>120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11207.16</v>
      </c>
      <c r="BL109">
        <v>9677.52</v>
      </c>
      <c r="BM109">
        <v>0</v>
      </c>
      <c r="BN109">
        <v>0</v>
      </c>
      <c r="BO109">
        <v>18</v>
      </c>
      <c r="BP109">
        <v>1</v>
      </c>
      <c r="BQ109">
        <v>0</v>
      </c>
      <c r="BR109">
        <v>11207.16</v>
      </c>
      <c r="BS109">
        <v>9677.52</v>
      </c>
      <c r="BT109">
        <v>0</v>
      </c>
      <c r="BU109">
        <v>0</v>
      </c>
      <c r="BV109">
        <v>18</v>
      </c>
      <c r="BW109">
        <v>1</v>
      </c>
      <c r="CV109">
        <v>0</v>
      </c>
      <c r="CW109">
        <f>ROUND(Y109*Source!I94*DO109,7)</f>
        <v>9.3600000000000003E-3</v>
      </c>
      <c r="CX109">
        <f>ROUND(Y109*Source!I94,7)</f>
        <v>9.3600000000000003E-3</v>
      </c>
      <c r="CY109">
        <f>AB109</f>
        <v>996.19</v>
      </c>
      <c r="CZ109">
        <f>AF109</f>
        <v>622.62</v>
      </c>
      <c r="DA109">
        <f>AJ109</f>
        <v>1.6</v>
      </c>
      <c r="DB109">
        <f t="shared" si="51"/>
        <v>11207.16</v>
      </c>
      <c r="DC109">
        <f t="shared" si="52"/>
        <v>9677.52</v>
      </c>
      <c r="DD109" t="s">
        <v>3</v>
      </c>
      <c r="DE109" t="s">
        <v>3</v>
      </c>
      <c r="DF109">
        <f t="shared" si="49"/>
        <v>0</v>
      </c>
      <c r="DG109">
        <f>ROUND(ROUND(AF109*AJ109,2)*CX109,2)</f>
        <v>9.32</v>
      </c>
      <c r="DH109">
        <f t="shared" si="53"/>
        <v>5.03</v>
      </c>
      <c r="DI109">
        <f t="shared" si="54"/>
        <v>0</v>
      </c>
      <c r="DJ109">
        <f>DG109+DH109</f>
        <v>14.350000000000001</v>
      </c>
      <c r="DK109">
        <v>0</v>
      </c>
      <c r="DL109" t="s">
        <v>364</v>
      </c>
      <c r="DM109">
        <v>6</v>
      </c>
      <c r="DN109" t="s">
        <v>359</v>
      </c>
      <c r="DO109">
        <v>1</v>
      </c>
    </row>
    <row r="110" spans="1:119" x14ac:dyDescent="0.2">
      <c r="A110">
        <f>ROW(Source!A94)</f>
        <v>94</v>
      </c>
      <c r="B110">
        <v>73953415</v>
      </c>
      <c r="C110">
        <v>73953948</v>
      </c>
      <c r="D110">
        <v>72646294</v>
      </c>
      <c r="E110">
        <v>1</v>
      </c>
      <c r="F110">
        <v>1</v>
      </c>
      <c r="G110">
        <v>1</v>
      </c>
      <c r="H110">
        <v>2</v>
      </c>
      <c r="I110" t="s">
        <v>526</v>
      </c>
      <c r="J110" t="s">
        <v>527</v>
      </c>
      <c r="K110" t="s">
        <v>528</v>
      </c>
      <c r="L110">
        <v>1368</v>
      </c>
      <c r="N110">
        <v>1011</v>
      </c>
      <c r="O110" t="s">
        <v>363</v>
      </c>
      <c r="P110" t="s">
        <v>363</v>
      </c>
      <c r="Q110">
        <v>1</v>
      </c>
      <c r="W110">
        <v>0</v>
      </c>
      <c r="X110">
        <v>-952997434</v>
      </c>
      <c r="Y110">
        <f t="shared" si="50"/>
        <v>5.93</v>
      </c>
      <c r="AA110">
        <v>0</v>
      </c>
      <c r="AB110">
        <v>16.309999999999999</v>
      </c>
      <c r="AC110">
        <v>0</v>
      </c>
      <c r="AD110">
        <v>0</v>
      </c>
      <c r="AE110">
        <v>0</v>
      </c>
      <c r="AF110">
        <v>8.5399999999999991</v>
      </c>
      <c r="AG110">
        <v>0</v>
      </c>
      <c r="AH110">
        <v>0</v>
      </c>
      <c r="AI110">
        <v>1</v>
      </c>
      <c r="AJ110">
        <v>1.91</v>
      </c>
      <c r="AK110">
        <v>1</v>
      </c>
      <c r="AL110">
        <v>1</v>
      </c>
      <c r="AM110">
        <v>2</v>
      </c>
      <c r="AN110">
        <v>0</v>
      </c>
      <c r="AO110">
        <v>0</v>
      </c>
      <c r="AP110">
        <v>1</v>
      </c>
      <c r="AQ110">
        <v>1</v>
      </c>
      <c r="AR110">
        <v>0</v>
      </c>
      <c r="AS110" t="s">
        <v>3</v>
      </c>
      <c r="AT110">
        <v>5.93</v>
      </c>
      <c r="AU110" t="s">
        <v>3</v>
      </c>
      <c r="AV110">
        <v>1</v>
      </c>
      <c r="AW110">
        <v>2</v>
      </c>
      <c r="AX110">
        <v>73953960</v>
      </c>
      <c r="AY110">
        <v>1</v>
      </c>
      <c r="AZ110">
        <v>0</v>
      </c>
      <c r="BA110">
        <v>121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50.642199999999995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50.642199999999995</v>
      </c>
      <c r="BS110">
        <v>0</v>
      </c>
      <c r="BT110">
        <v>0</v>
      </c>
      <c r="BU110">
        <v>0</v>
      </c>
      <c r="BV110">
        <v>0</v>
      </c>
      <c r="BW110">
        <v>1</v>
      </c>
      <c r="CV110">
        <v>0</v>
      </c>
      <c r="CW110">
        <f>ROUND(Y110*Source!I94*DO110,7)</f>
        <v>0</v>
      </c>
      <c r="CX110">
        <f>ROUND(Y110*Source!I94,7)</f>
        <v>3.0836000000000001E-3</v>
      </c>
      <c r="CY110">
        <f>AB110</f>
        <v>16.309999999999999</v>
      </c>
      <c r="CZ110">
        <f>AF110</f>
        <v>8.5399999999999991</v>
      </c>
      <c r="DA110">
        <f>AJ110</f>
        <v>1.91</v>
      </c>
      <c r="DB110">
        <f t="shared" si="51"/>
        <v>50.64</v>
      </c>
      <c r="DC110">
        <f t="shared" si="52"/>
        <v>0</v>
      </c>
      <c r="DD110" t="s">
        <v>3</v>
      </c>
      <c r="DE110" t="s">
        <v>3</v>
      </c>
      <c r="DF110">
        <f t="shared" si="49"/>
        <v>0</v>
      </c>
      <c r="DG110">
        <f>ROUND(ROUND(AF110*AJ110,2)*CX110,2)</f>
        <v>0.05</v>
      </c>
      <c r="DH110">
        <f t="shared" si="53"/>
        <v>0</v>
      </c>
      <c r="DI110">
        <f t="shared" si="54"/>
        <v>0</v>
      </c>
      <c r="DJ110">
        <f>DG110+DH110</f>
        <v>0.05</v>
      </c>
      <c r="DK110">
        <v>0</v>
      </c>
      <c r="DL110" t="s">
        <v>3</v>
      </c>
      <c r="DM110">
        <v>0</v>
      </c>
      <c r="DN110" t="s">
        <v>3</v>
      </c>
      <c r="DO110">
        <v>0</v>
      </c>
    </row>
    <row r="111" spans="1:119" x14ac:dyDescent="0.2">
      <c r="A111">
        <f>ROW(Source!A94)</f>
        <v>94</v>
      </c>
      <c r="B111">
        <v>73953415</v>
      </c>
      <c r="C111">
        <v>73953948</v>
      </c>
      <c r="D111">
        <v>72646931</v>
      </c>
      <c r="E111">
        <v>1</v>
      </c>
      <c r="F111">
        <v>1</v>
      </c>
      <c r="G111">
        <v>1</v>
      </c>
      <c r="H111">
        <v>2</v>
      </c>
      <c r="I111" t="s">
        <v>441</v>
      </c>
      <c r="J111" t="s">
        <v>442</v>
      </c>
      <c r="K111" t="s">
        <v>443</v>
      </c>
      <c r="L111">
        <v>1368</v>
      </c>
      <c r="N111">
        <v>1011</v>
      </c>
      <c r="O111" t="s">
        <v>363</v>
      </c>
      <c r="P111" t="s">
        <v>363</v>
      </c>
      <c r="Q111">
        <v>1</v>
      </c>
      <c r="W111">
        <v>0</v>
      </c>
      <c r="X111">
        <v>4063365</v>
      </c>
      <c r="Y111">
        <f t="shared" si="50"/>
        <v>0.12</v>
      </c>
      <c r="AA111">
        <v>0</v>
      </c>
      <c r="AB111">
        <v>655.95</v>
      </c>
      <c r="AC111">
        <v>400.24</v>
      </c>
      <c r="AD111">
        <v>0</v>
      </c>
      <c r="AE111">
        <v>0</v>
      </c>
      <c r="AF111">
        <v>655.95</v>
      </c>
      <c r="AG111">
        <v>400.24</v>
      </c>
      <c r="AH111">
        <v>0</v>
      </c>
      <c r="AI111">
        <v>1</v>
      </c>
      <c r="AJ111">
        <v>1</v>
      </c>
      <c r="AK111">
        <v>1</v>
      </c>
      <c r="AL111">
        <v>1</v>
      </c>
      <c r="AM111">
        <v>-2</v>
      </c>
      <c r="AN111">
        <v>0</v>
      </c>
      <c r="AO111">
        <v>0</v>
      </c>
      <c r="AP111">
        <v>1</v>
      </c>
      <c r="AQ111">
        <v>1</v>
      </c>
      <c r="AR111">
        <v>0</v>
      </c>
      <c r="AS111" t="s">
        <v>3</v>
      </c>
      <c r="AT111">
        <v>0.12</v>
      </c>
      <c r="AU111" t="s">
        <v>3</v>
      </c>
      <c r="AV111">
        <v>1</v>
      </c>
      <c r="AW111">
        <v>2</v>
      </c>
      <c r="AX111">
        <v>73953961</v>
      </c>
      <c r="AY111">
        <v>1</v>
      </c>
      <c r="AZ111">
        <v>0</v>
      </c>
      <c r="BA111">
        <v>122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78.713999999999999</v>
      </c>
      <c r="BL111">
        <v>48.028799999999997</v>
      </c>
      <c r="BM111">
        <v>0</v>
      </c>
      <c r="BN111">
        <v>0</v>
      </c>
      <c r="BO111">
        <v>0.12</v>
      </c>
      <c r="BP111">
        <v>1</v>
      </c>
      <c r="BQ111">
        <v>0</v>
      </c>
      <c r="BR111">
        <v>78.713999999999999</v>
      </c>
      <c r="BS111">
        <v>48.028799999999997</v>
      </c>
      <c r="BT111">
        <v>0</v>
      </c>
      <c r="BU111">
        <v>0</v>
      </c>
      <c r="BV111">
        <v>0.12</v>
      </c>
      <c r="BW111">
        <v>1</v>
      </c>
      <c r="CV111">
        <v>0</v>
      </c>
      <c r="CW111">
        <f>ROUND(Y111*Source!I94*DO111,7)</f>
        <v>6.2399999999999999E-5</v>
      </c>
      <c r="CX111">
        <f>ROUND(Y111*Source!I94,7)</f>
        <v>6.2399999999999999E-5</v>
      </c>
      <c r="CY111">
        <f>AB111</f>
        <v>655.95</v>
      </c>
      <c r="CZ111">
        <f>AF111</f>
        <v>655.95</v>
      </c>
      <c r="DA111">
        <f>AJ111</f>
        <v>1</v>
      </c>
      <c r="DB111">
        <f t="shared" si="51"/>
        <v>78.709999999999994</v>
      </c>
      <c r="DC111">
        <f t="shared" si="52"/>
        <v>48.03</v>
      </c>
      <c r="DD111" t="s">
        <v>3</v>
      </c>
      <c r="DE111" t="s">
        <v>3</v>
      </c>
      <c r="DF111">
        <f t="shared" si="49"/>
        <v>0</v>
      </c>
      <c r="DG111">
        <f t="shared" ref="DG111:DG126" si="55">ROUND(ROUND(AF111,2)*CX111,2)</f>
        <v>0.04</v>
      </c>
      <c r="DH111">
        <f t="shared" si="53"/>
        <v>0.02</v>
      </c>
      <c r="DI111">
        <f t="shared" si="54"/>
        <v>0</v>
      </c>
      <c r="DJ111">
        <f>DG111+DH111</f>
        <v>0.06</v>
      </c>
      <c r="DK111">
        <v>1</v>
      </c>
      <c r="DL111" t="s">
        <v>400</v>
      </c>
      <c r="DM111">
        <v>4</v>
      </c>
      <c r="DN111" t="s">
        <v>359</v>
      </c>
      <c r="DO111">
        <v>1</v>
      </c>
    </row>
    <row r="112" spans="1:119" x14ac:dyDescent="0.2">
      <c r="A112">
        <f>ROW(Source!A94)</f>
        <v>94</v>
      </c>
      <c r="B112">
        <v>73953415</v>
      </c>
      <c r="C112">
        <v>73953948</v>
      </c>
      <c r="D112">
        <v>72591341</v>
      </c>
      <c r="E112">
        <v>1</v>
      </c>
      <c r="F112">
        <v>1</v>
      </c>
      <c r="G112">
        <v>1</v>
      </c>
      <c r="H112">
        <v>3</v>
      </c>
      <c r="I112" t="s">
        <v>529</v>
      </c>
      <c r="J112" t="s">
        <v>530</v>
      </c>
      <c r="K112" t="s">
        <v>531</v>
      </c>
      <c r="L112">
        <v>1339</v>
      </c>
      <c r="N112">
        <v>1007</v>
      </c>
      <c r="O112" t="s">
        <v>48</v>
      </c>
      <c r="P112" t="s">
        <v>48</v>
      </c>
      <c r="Q112">
        <v>1</v>
      </c>
      <c r="W112">
        <v>0</v>
      </c>
      <c r="X112">
        <v>-1357846128</v>
      </c>
      <c r="Y112">
        <f t="shared" si="50"/>
        <v>1.75</v>
      </c>
      <c r="AA112">
        <v>31.42</v>
      </c>
      <c r="AB112">
        <v>0</v>
      </c>
      <c r="AC112">
        <v>0</v>
      </c>
      <c r="AD112">
        <v>0</v>
      </c>
      <c r="AE112">
        <v>35.71</v>
      </c>
      <c r="AF112">
        <v>0</v>
      </c>
      <c r="AG112">
        <v>0</v>
      </c>
      <c r="AH112">
        <v>0</v>
      </c>
      <c r="AI112">
        <v>0.88</v>
      </c>
      <c r="AJ112">
        <v>1</v>
      </c>
      <c r="AK112">
        <v>1</v>
      </c>
      <c r="AL112">
        <v>1</v>
      </c>
      <c r="AM112">
        <v>2</v>
      </c>
      <c r="AN112">
        <v>0</v>
      </c>
      <c r="AO112">
        <v>0</v>
      </c>
      <c r="AP112">
        <v>1</v>
      </c>
      <c r="AQ112">
        <v>1</v>
      </c>
      <c r="AR112">
        <v>0</v>
      </c>
      <c r="AS112" t="s">
        <v>3</v>
      </c>
      <c r="AT112">
        <v>1.75</v>
      </c>
      <c r="AU112" t="s">
        <v>3</v>
      </c>
      <c r="AV112">
        <v>0</v>
      </c>
      <c r="AW112">
        <v>2</v>
      </c>
      <c r="AX112">
        <v>73953962</v>
      </c>
      <c r="AY112">
        <v>1</v>
      </c>
      <c r="AZ112">
        <v>0</v>
      </c>
      <c r="BA112">
        <v>123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62.4925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62.4925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CV112">
        <v>0</v>
      </c>
      <c r="CW112">
        <v>0</v>
      </c>
      <c r="CX112">
        <f>ROUND(Y112*Source!I94,7)</f>
        <v>9.1E-4</v>
      </c>
      <c r="CY112">
        <f>AA112</f>
        <v>31.42</v>
      </c>
      <c r="CZ112">
        <f>AE112</f>
        <v>35.71</v>
      </c>
      <c r="DA112">
        <f>AI112</f>
        <v>0.88</v>
      </c>
      <c r="DB112">
        <f t="shared" si="51"/>
        <v>62.49</v>
      </c>
      <c r="DC112">
        <f t="shared" si="52"/>
        <v>0</v>
      </c>
      <c r="DD112" t="s">
        <v>3</v>
      </c>
      <c r="DE112" t="s">
        <v>3</v>
      </c>
      <c r="DF112">
        <f>ROUND(ROUND(AE112*AI112,2)*CX112,2)</f>
        <v>0.03</v>
      </c>
      <c r="DG112">
        <f t="shared" si="55"/>
        <v>0</v>
      </c>
      <c r="DH112">
        <f t="shared" si="53"/>
        <v>0</v>
      </c>
      <c r="DI112">
        <f t="shared" si="54"/>
        <v>0</v>
      </c>
      <c r="DJ112">
        <f>DF112</f>
        <v>0.03</v>
      </c>
      <c r="DK112">
        <v>0</v>
      </c>
      <c r="DL112" t="s">
        <v>3</v>
      </c>
      <c r="DM112">
        <v>0</v>
      </c>
      <c r="DN112" t="s">
        <v>3</v>
      </c>
      <c r="DO112">
        <v>0</v>
      </c>
    </row>
    <row r="113" spans="1:119" x14ac:dyDescent="0.2">
      <c r="A113">
        <f>ROW(Source!A94)</f>
        <v>94</v>
      </c>
      <c r="B113">
        <v>73953415</v>
      </c>
      <c r="C113">
        <v>73953948</v>
      </c>
      <c r="D113">
        <v>72591655</v>
      </c>
      <c r="E113">
        <v>1</v>
      </c>
      <c r="F113">
        <v>1</v>
      </c>
      <c r="G113">
        <v>1</v>
      </c>
      <c r="H113">
        <v>3</v>
      </c>
      <c r="I113" t="s">
        <v>532</v>
      </c>
      <c r="J113" t="s">
        <v>533</v>
      </c>
      <c r="K113" t="s">
        <v>534</v>
      </c>
      <c r="L113">
        <v>1327</v>
      </c>
      <c r="N113">
        <v>1005</v>
      </c>
      <c r="O113" t="s">
        <v>535</v>
      </c>
      <c r="P113" t="s">
        <v>535</v>
      </c>
      <c r="Q113">
        <v>1</v>
      </c>
      <c r="W113">
        <v>0</v>
      </c>
      <c r="X113">
        <v>1456637857</v>
      </c>
      <c r="Y113">
        <f t="shared" si="50"/>
        <v>250</v>
      </c>
      <c r="AA113">
        <v>13.98</v>
      </c>
      <c r="AB113">
        <v>0</v>
      </c>
      <c r="AC113">
        <v>0</v>
      </c>
      <c r="AD113">
        <v>0</v>
      </c>
      <c r="AE113">
        <v>12.83</v>
      </c>
      <c r="AF113">
        <v>0</v>
      </c>
      <c r="AG113">
        <v>0</v>
      </c>
      <c r="AH113">
        <v>0</v>
      </c>
      <c r="AI113">
        <v>1.0900000000000001</v>
      </c>
      <c r="AJ113">
        <v>1</v>
      </c>
      <c r="AK113">
        <v>1</v>
      </c>
      <c r="AL113">
        <v>1</v>
      </c>
      <c r="AM113">
        <v>2</v>
      </c>
      <c r="AN113">
        <v>0</v>
      </c>
      <c r="AO113">
        <v>0</v>
      </c>
      <c r="AP113">
        <v>1</v>
      </c>
      <c r="AQ113">
        <v>1</v>
      </c>
      <c r="AR113">
        <v>0</v>
      </c>
      <c r="AS113" t="s">
        <v>3</v>
      </c>
      <c r="AT113">
        <v>250</v>
      </c>
      <c r="AU113" t="s">
        <v>3</v>
      </c>
      <c r="AV113">
        <v>0</v>
      </c>
      <c r="AW113">
        <v>2</v>
      </c>
      <c r="AX113">
        <v>73953963</v>
      </c>
      <c r="AY113">
        <v>1</v>
      </c>
      <c r="AZ113">
        <v>0</v>
      </c>
      <c r="BA113">
        <v>124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3207.5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</v>
      </c>
      <c r="BQ113">
        <v>3207.5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CV113">
        <v>0</v>
      </c>
      <c r="CW113">
        <v>0</v>
      </c>
      <c r="CX113">
        <f>ROUND(Y113*Source!I94,7)</f>
        <v>0.13</v>
      </c>
      <c r="CY113">
        <f>AA113</f>
        <v>13.98</v>
      </c>
      <c r="CZ113">
        <f>AE113</f>
        <v>12.83</v>
      </c>
      <c r="DA113">
        <f>AI113</f>
        <v>1.0900000000000001</v>
      </c>
      <c r="DB113">
        <f t="shared" si="51"/>
        <v>3207.5</v>
      </c>
      <c r="DC113">
        <f t="shared" si="52"/>
        <v>0</v>
      </c>
      <c r="DD113" t="s">
        <v>3</v>
      </c>
      <c r="DE113" t="s">
        <v>3</v>
      </c>
      <c r="DF113">
        <f>ROUND(ROUND(AE113*AI113,2)*CX113,2)</f>
        <v>1.82</v>
      </c>
      <c r="DG113">
        <f t="shared" si="55"/>
        <v>0</v>
      </c>
      <c r="DH113">
        <f t="shared" si="53"/>
        <v>0</v>
      </c>
      <c r="DI113">
        <f t="shared" si="54"/>
        <v>0</v>
      </c>
      <c r="DJ113">
        <f>DF113</f>
        <v>1.82</v>
      </c>
      <c r="DK113">
        <v>0</v>
      </c>
      <c r="DL113" t="s">
        <v>3</v>
      </c>
      <c r="DM113">
        <v>0</v>
      </c>
      <c r="DN113" t="s">
        <v>3</v>
      </c>
      <c r="DO113">
        <v>0</v>
      </c>
    </row>
    <row r="114" spans="1:119" x14ac:dyDescent="0.2">
      <c r="A114">
        <f>ROW(Source!A94)</f>
        <v>94</v>
      </c>
      <c r="B114">
        <v>73953415</v>
      </c>
      <c r="C114">
        <v>73953948</v>
      </c>
      <c r="D114">
        <v>72594929</v>
      </c>
      <c r="E114">
        <v>1</v>
      </c>
      <c r="F114">
        <v>1</v>
      </c>
      <c r="G114">
        <v>1</v>
      </c>
      <c r="H114">
        <v>3</v>
      </c>
      <c r="I114" t="s">
        <v>242</v>
      </c>
      <c r="J114" t="s">
        <v>244</v>
      </c>
      <c r="K114" t="s">
        <v>243</v>
      </c>
      <c r="L114">
        <v>1339</v>
      </c>
      <c r="N114">
        <v>1007</v>
      </c>
      <c r="O114" t="s">
        <v>48</v>
      </c>
      <c r="P114" t="s">
        <v>48</v>
      </c>
      <c r="Q114">
        <v>1</v>
      </c>
      <c r="W114">
        <v>0</v>
      </c>
      <c r="X114">
        <v>-993322229</v>
      </c>
      <c r="Y114">
        <f t="shared" si="50"/>
        <v>102</v>
      </c>
      <c r="AA114">
        <v>5864.68</v>
      </c>
      <c r="AB114">
        <v>0</v>
      </c>
      <c r="AC114">
        <v>0</v>
      </c>
      <c r="AD114">
        <v>0</v>
      </c>
      <c r="AE114">
        <v>4044.61</v>
      </c>
      <c r="AF114">
        <v>0</v>
      </c>
      <c r="AG114">
        <v>0</v>
      </c>
      <c r="AH114">
        <v>0</v>
      </c>
      <c r="AI114">
        <v>1.45</v>
      </c>
      <c r="AJ114">
        <v>1</v>
      </c>
      <c r="AK114">
        <v>1</v>
      </c>
      <c r="AL114">
        <v>1</v>
      </c>
      <c r="AM114">
        <v>0</v>
      </c>
      <c r="AN114">
        <v>0</v>
      </c>
      <c r="AO114">
        <v>0</v>
      </c>
      <c r="AP114">
        <v>1</v>
      </c>
      <c r="AQ114">
        <v>0</v>
      </c>
      <c r="AR114">
        <v>0</v>
      </c>
      <c r="AS114" t="s">
        <v>3</v>
      </c>
      <c r="AT114">
        <v>102</v>
      </c>
      <c r="AU114" t="s">
        <v>3</v>
      </c>
      <c r="AV114">
        <v>0</v>
      </c>
      <c r="AW114">
        <v>1</v>
      </c>
      <c r="AX114">
        <v>-1</v>
      </c>
      <c r="AY114">
        <v>0</v>
      </c>
      <c r="AZ114">
        <v>0</v>
      </c>
      <c r="BA114" t="s">
        <v>3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CV114">
        <v>0</v>
      </c>
      <c r="CW114">
        <v>0</v>
      </c>
      <c r="CX114">
        <f>ROUND(Y114*Source!I94,7)</f>
        <v>5.3039999999999997E-2</v>
      </c>
      <c r="CY114">
        <f>AA114</f>
        <v>5864.68</v>
      </c>
      <c r="CZ114">
        <f>AE114</f>
        <v>4044.61</v>
      </c>
      <c r="DA114">
        <f>AI114</f>
        <v>1.45</v>
      </c>
      <c r="DB114">
        <f t="shared" si="51"/>
        <v>412550.22</v>
      </c>
      <c r="DC114">
        <f t="shared" si="52"/>
        <v>0</v>
      </c>
      <c r="DD114" t="s">
        <v>3</v>
      </c>
      <c r="DE114" t="s">
        <v>3</v>
      </c>
      <c r="DF114">
        <f>ROUND(ROUND(AE114*AI114,2)*CX114,2)</f>
        <v>311.06</v>
      </c>
      <c r="DG114">
        <f t="shared" si="55"/>
        <v>0</v>
      </c>
      <c r="DH114">
        <f t="shared" si="53"/>
        <v>0</v>
      </c>
      <c r="DI114">
        <f t="shared" si="54"/>
        <v>0</v>
      </c>
      <c r="DJ114">
        <f>DF114</f>
        <v>311.06</v>
      </c>
      <c r="DK114">
        <v>0</v>
      </c>
      <c r="DL114" t="s">
        <v>3</v>
      </c>
      <c r="DM114">
        <v>0</v>
      </c>
      <c r="DN114" t="s">
        <v>3</v>
      </c>
      <c r="DO114">
        <v>0</v>
      </c>
    </row>
    <row r="115" spans="1:119" x14ac:dyDescent="0.2">
      <c r="A115">
        <f>ROW(Source!A96)</f>
        <v>96</v>
      </c>
      <c r="B115">
        <v>73953415</v>
      </c>
      <c r="C115">
        <v>73953966</v>
      </c>
      <c r="D115">
        <v>72518638</v>
      </c>
      <c r="E115">
        <v>119</v>
      </c>
      <c r="F115">
        <v>1</v>
      </c>
      <c r="G115">
        <v>1</v>
      </c>
      <c r="H115">
        <v>1</v>
      </c>
      <c r="I115" t="s">
        <v>536</v>
      </c>
      <c r="J115" t="s">
        <v>3</v>
      </c>
      <c r="K115" t="s">
        <v>537</v>
      </c>
      <c r="L115">
        <v>1191</v>
      </c>
      <c r="N115">
        <v>1013</v>
      </c>
      <c r="O115" t="s">
        <v>359</v>
      </c>
      <c r="P115" t="s">
        <v>359</v>
      </c>
      <c r="Q115">
        <v>1</v>
      </c>
      <c r="W115">
        <v>0</v>
      </c>
      <c r="X115">
        <v>32079103</v>
      </c>
      <c r="Y115">
        <f t="shared" si="50"/>
        <v>289</v>
      </c>
      <c r="AA115">
        <v>0</v>
      </c>
      <c r="AB115">
        <v>0</v>
      </c>
      <c r="AC115">
        <v>0</v>
      </c>
      <c r="AD115">
        <v>368.88</v>
      </c>
      <c r="AE115">
        <v>0</v>
      </c>
      <c r="AF115">
        <v>0</v>
      </c>
      <c r="AG115">
        <v>0</v>
      </c>
      <c r="AH115">
        <v>368.88</v>
      </c>
      <c r="AI115">
        <v>1</v>
      </c>
      <c r="AJ115">
        <v>1</v>
      </c>
      <c r="AK115">
        <v>1</v>
      </c>
      <c r="AL115">
        <v>1</v>
      </c>
      <c r="AM115">
        <v>-2</v>
      </c>
      <c r="AN115">
        <v>0</v>
      </c>
      <c r="AO115">
        <v>0</v>
      </c>
      <c r="AP115">
        <v>1</v>
      </c>
      <c r="AQ115">
        <v>1</v>
      </c>
      <c r="AR115">
        <v>0</v>
      </c>
      <c r="AS115" t="s">
        <v>3</v>
      </c>
      <c r="AT115">
        <v>289</v>
      </c>
      <c r="AU115" t="s">
        <v>3</v>
      </c>
      <c r="AV115">
        <v>1</v>
      </c>
      <c r="AW115">
        <v>2</v>
      </c>
      <c r="AX115">
        <v>73953973</v>
      </c>
      <c r="AY115">
        <v>1</v>
      </c>
      <c r="AZ115">
        <v>0</v>
      </c>
      <c r="BA115">
        <v>126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106606.31999999999</v>
      </c>
      <c r="BN115">
        <v>289</v>
      </c>
      <c r="BO115">
        <v>0</v>
      </c>
      <c r="BP115">
        <v>1</v>
      </c>
      <c r="BQ115">
        <v>0</v>
      </c>
      <c r="BR115">
        <v>0</v>
      </c>
      <c r="BS115">
        <v>0</v>
      </c>
      <c r="BT115">
        <v>106606.31999999999</v>
      </c>
      <c r="BU115">
        <v>289</v>
      </c>
      <c r="BV115">
        <v>0</v>
      </c>
      <c r="BW115">
        <v>1</v>
      </c>
      <c r="CU115">
        <f>ROUND(AT115*Source!I96*AH115*AL115,2)</f>
        <v>106.61</v>
      </c>
      <c r="CV115">
        <f>ROUND(Y115*Source!I96,7)</f>
        <v>0.28899999999999998</v>
      </c>
      <c r="CW115">
        <v>0</v>
      </c>
      <c r="CX115">
        <f>ROUND(Y115*Source!I96,7)</f>
        <v>0.28899999999999998</v>
      </c>
      <c r="CY115">
        <f>AD115</f>
        <v>368.88</v>
      </c>
      <c r="CZ115">
        <f>AH115</f>
        <v>368.88</v>
      </c>
      <c r="DA115">
        <f>AL115</f>
        <v>1</v>
      </c>
      <c r="DB115">
        <f t="shared" si="51"/>
        <v>106606.32</v>
      </c>
      <c r="DC115">
        <f t="shared" si="52"/>
        <v>0</v>
      </c>
      <c r="DD115" t="s">
        <v>3</v>
      </c>
      <c r="DE115" t="s">
        <v>3</v>
      </c>
      <c r="DF115">
        <f>ROUND(ROUND(AE115,2)*CX115,2)</f>
        <v>0</v>
      </c>
      <c r="DG115">
        <f t="shared" si="55"/>
        <v>0</v>
      </c>
      <c r="DH115">
        <f t="shared" si="53"/>
        <v>0</v>
      </c>
      <c r="DI115">
        <f t="shared" si="54"/>
        <v>106.61</v>
      </c>
      <c r="DJ115">
        <f>DI115</f>
        <v>106.61</v>
      </c>
      <c r="DK115">
        <v>1</v>
      </c>
      <c r="DL115" t="s">
        <v>3</v>
      </c>
      <c r="DM115">
        <v>0</v>
      </c>
      <c r="DN115" t="s">
        <v>3</v>
      </c>
      <c r="DO115">
        <v>0</v>
      </c>
    </row>
    <row r="116" spans="1:119" x14ac:dyDescent="0.2">
      <c r="A116">
        <f>ROW(Source!A96)</f>
        <v>96</v>
      </c>
      <c r="B116">
        <v>73953415</v>
      </c>
      <c r="C116">
        <v>73953966</v>
      </c>
      <c r="D116">
        <v>72518826</v>
      </c>
      <c r="E116">
        <v>119</v>
      </c>
      <c r="F116">
        <v>1</v>
      </c>
      <c r="G116">
        <v>1</v>
      </c>
      <c r="H116">
        <v>1</v>
      </c>
      <c r="I116" t="s">
        <v>357</v>
      </c>
      <c r="J116" t="s">
        <v>3</v>
      </c>
      <c r="K116" t="s">
        <v>358</v>
      </c>
      <c r="L116">
        <v>1191</v>
      </c>
      <c r="N116">
        <v>1013</v>
      </c>
      <c r="O116" t="s">
        <v>359</v>
      </c>
      <c r="P116" t="s">
        <v>359</v>
      </c>
      <c r="Q116">
        <v>1</v>
      </c>
      <c r="W116">
        <v>0</v>
      </c>
      <c r="X116">
        <v>-1417349443</v>
      </c>
      <c r="Y116">
        <f t="shared" si="50"/>
        <v>0.59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1</v>
      </c>
      <c r="AK116">
        <v>1</v>
      </c>
      <c r="AL116">
        <v>1</v>
      </c>
      <c r="AM116">
        <v>-2</v>
      </c>
      <c r="AN116">
        <v>0</v>
      </c>
      <c r="AO116">
        <v>0</v>
      </c>
      <c r="AP116">
        <v>1</v>
      </c>
      <c r="AQ116">
        <v>1</v>
      </c>
      <c r="AR116">
        <v>0</v>
      </c>
      <c r="AS116" t="s">
        <v>3</v>
      </c>
      <c r="AT116">
        <v>0.59</v>
      </c>
      <c r="AU116" t="s">
        <v>3</v>
      </c>
      <c r="AV116">
        <v>2</v>
      </c>
      <c r="AW116">
        <v>2</v>
      </c>
      <c r="AX116">
        <v>73953974</v>
      </c>
      <c r="AY116">
        <v>1</v>
      </c>
      <c r="AZ116">
        <v>0</v>
      </c>
      <c r="BA116">
        <v>127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CV116">
        <v>0</v>
      </c>
      <c r="CW116">
        <v>0</v>
      </c>
      <c r="CX116">
        <f>ROUND(Y116*Source!I96,7)</f>
        <v>5.9000000000000003E-4</v>
      </c>
      <c r="CY116">
        <f>AD116</f>
        <v>0</v>
      </c>
      <c r="CZ116">
        <f>AH116</f>
        <v>0</v>
      </c>
      <c r="DA116">
        <f>AL116</f>
        <v>1</v>
      </c>
      <c r="DB116">
        <f t="shared" si="51"/>
        <v>0</v>
      </c>
      <c r="DC116">
        <f t="shared" si="52"/>
        <v>0</v>
      </c>
      <c r="DD116" t="s">
        <v>3</v>
      </c>
      <c r="DE116" t="s">
        <v>3</v>
      </c>
      <c r="DF116">
        <f>ROUND(ROUND(AE116,2)*CX116,2)</f>
        <v>0</v>
      </c>
      <c r="DG116">
        <f t="shared" si="55"/>
        <v>0</v>
      </c>
      <c r="DH116">
        <f t="shared" si="53"/>
        <v>0</v>
      </c>
      <c r="DI116">
        <f t="shared" si="54"/>
        <v>0</v>
      </c>
      <c r="DJ116">
        <f>DI116</f>
        <v>0</v>
      </c>
      <c r="DK116">
        <v>0</v>
      </c>
      <c r="DL116" t="s">
        <v>3</v>
      </c>
      <c r="DM116">
        <v>0</v>
      </c>
      <c r="DN116" t="s">
        <v>3</v>
      </c>
      <c r="DO116">
        <v>0</v>
      </c>
    </row>
    <row r="117" spans="1:119" x14ac:dyDescent="0.2">
      <c r="A117">
        <f>ROW(Source!A96)</f>
        <v>96</v>
      </c>
      <c r="B117">
        <v>73953415</v>
      </c>
      <c r="C117">
        <v>73953966</v>
      </c>
      <c r="D117">
        <v>72646037</v>
      </c>
      <c r="E117">
        <v>1</v>
      </c>
      <c r="F117">
        <v>1</v>
      </c>
      <c r="G117">
        <v>1</v>
      </c>
      <c r="H117">
        <v>2</v>
      </c>
      <c r="I117" t="s">
        <v>435</v>
      </c>
      <c r="J117" t="s">
        <v>436</v>
      </c>
      <c r="K117" t="s">
        <v>437</v>
      </c>
      <c r="L117">
        <v>1368</v>
      </c>
      <c r="N117">
        <v>1011</v>
      </c>
      <c r="O117" t="s">
        <v>363</v>
      </c>
      <c r="P117" t="s">
        <v>363</v>
      </c>
      <c r="Q117">
        <v>1</v>
      </c>
      <c r="W117">
        <v>0</v>
      </c>
      <c r="X117">
        <v>-1791740122</v>
      </c>
      <c r="Y117">
        <f t="shared" si="50"/>
        <v>0.25</v>
      </c>
      <c r="AA117">
        <v>0</v>
      </c>
      <c r="AB117">
        <v>1836.16</v>
      </c>
      <c r="AC117">
        <v>537.64</v>
      </c>
      <c r="AD117">
        <v>0</v>
      </c>
      <c r="AE117">
        <v>0</v>
      </c>
      <c r="AF117">
        <v>1836.16</v>
      </c>
      <c r="AG117">
        <v>537.64</v>
      </c>
      <c r="AH117">
        <v>0</v>
      </c>
      <c r="AI117">
        <v>1</v>
      </c>
      <c r="AJ117">
        <v>1</v>
      </c>
      <c r="AK117">
        <v>1</v>
      </c>
      <c r="AL117">
        <v>1</v>
      </c>
      <c r="AM117">
        <v>-2</v>
      </c>
      <c r="AN117">
        <v>0</v>
      </c>
      <c r="AO117">
        <v>0</v>
      </c>
      <c r="AP117">
        <v>1</v>
      </c>
      <c r="AQ117">
        <v>1</v>
      </c>
      <c r="AR117">
        <v>0</v>
      </c>
      <c r="AS117" t="s">
        <v>3</v>
      </c>
      <c r="AT117">
        <v>0.25</v>
      </c>
      <c r="AU117" t="s">
        <v>3</v>
      </c>
      <c r="AV117">
        <v>1</v>
      </c>
      <c r="AW117">
        <v>2</v>
      </c>
      <c r="AX117">
        <v>73953975</v>
      </c>
      <c r="AY117">
        <v>1</v>
      </c>
      <c r="AZ117">
        <v>0</v>
      </c>
      <c r="BA117">
        <v>128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459.04</v>
      </c>
      <c r="BL117">
        <v>134.41</v>
      </c>
      <c r="BM117">
        <v>0</v>
      </c>
      <c r="BN117">
        <v>0</v>
      </c>
      <c r="BO117">
        <v>0.25</v>
      </c>
      <c r="BP117">
        <v>1</v>
      </c>
      <c r="BQ117">
        <v>0</v>
      </c>
      <c r="BR117">
        <v>459.04</v>
      </c>
      <c r="BS117">
        <v>134.41</v>
      </c>
      <c r="BT117">
        <v>0</v>
      </c>
      <c r="BU117">
        <v>0</v>
      </c>
      <c r="BV117">
        <v>0.25</v>
      </c>
      <c r="BW117">
        <v>1</v>
      </c>
      <c r="CV117">
        <v>0</v>
      </c>
      <c r="CW117">
        <f>ROUND(Y117*Source!I96*DO117,7)</f>
        <v>2.5000000000000001E-4</v>
      </c>
      <c r="CX117">
        <f>ROUND(Y117*Source!I96,7)</f>
        <v>2.5000000000000001E-4</v>
      </c>
      <c r="CY117">
        <f>AB117</f>
        <v>1836.16</v>
      </c>
      <c r="CZ117">
        <f>AF117</f>
        <v>1836.16</v>
      </c>
      <c r="DA117">
        <f>AJ117</f>
        <v>1</v>
      </c>
      <c r="DB117">
        <f t="shared" si="51"/>
        <v>459.04</v>
      </c>
      <c r="DC117">
        <f t="shared" si="52"/>
        <v>134.41</v>
      </c>
      <c r="DD117" t="s">
        <v>3</v>
      </c>
      <c r="DE117" t="s">
        <v>3</v>
      </c>
      <c r="DF117">
        <f>ROUND(ROUND(AE117,2)*CX117,2)</f>
        <v>0</v>
      </c>
      <c r="DG117">
        <f t="shared" si="55"/>
        <v>0.46</v>
      </c>
      <c r="DH117">
        <f t="shared" si="53"/>
        <v>0.13</v>
      </c>
      <c r="DI117">
        <f t="shared" si="54"/>
        <v>0</v>
      </c>
      <c r="DJ117">
        <f>DG117+DH117</f>
        <v>0.59000000000000008</v>
      </c>
      <c r="DK117">
        <v>1</v>
      </c>
      <c r="DL117" t="s">
        <v>364</v>
      </c>
      <c r="DM117">
        <v>6</v>
      </c>
      <c r="DN117" t="s">
        <v>359</v>
      </c>
      <c r="DO117">
        <v>1</v>
      </c>
    </row>
    <row r="118" spans="1:119" x14ac:dyDescent="0.2">
      <c r="A118">
        <f>ROW(Source!A96)</f>
        <v>96</v>
      </c>
      <c r="B118">
        <v>73953415</v>
      </c>
      <c r="C118">
        <v>73953966</v>
      </c>
      <c r="D118">
        <v>72646931</v>
      </c>
      <c r="E118">
        <v>1</v>
      </c>
      <c r="F118">
        <v>1</v>
      </c>
      <c r="G118">
        <v>1</v>
      </c>
      <c r="H118">
        <v>2</v>
      </c>
      <c r="I118" t="s">
        <v>441</v>
      </c>
      <c r="J118" t="s">
        <v>442</v>
      </c>
      <c r="K118" t="s">
        <v>443</v>
      </c>
      <c r="L118">
        <v>1368</v>
      </c>
      <c r="N118">
        <v>1011</v>
      </c>
      <c r="O118" t="s">
        <v>363</v>
      </c>
      <c r="P118" t="s">
        <v>363</v>
      </c>
      <c r="Q118">
        <v>1</v>
      </c>
      <c r="W118">
        <v>0</v>
      </c>
      <c r="X118">
        <v>4063365</v>
      </c>
      <c r="Y118">
        <f t="shared" si="50"/>
        <v>0.34</v>
      </c>
      <c r="AA118">
        <v>0</v>
      </c>
      <c r="AB118">
        <v>655.95</v>
      </c>
      <c r="AC118">
        <v>400.24</v>
      </c>
      <c r="AD118">
        <v>0</v>
      </c>
      <c r="AE118">
        <v>0</v>
      </c>
      <c r="AF118">
        <v>655.95</v>
      </c>
      <c r="AG118">
        <v>400.24</v>
      </c>
      <c r="AH118">
        <v>0</v>
      </c>
      <c r="AI118">
        <v>1</v>
      </c>
      <c r="AJ118">
        <v>1</v>
      </c>
      <c r="AK118">
        <v>1</v>
      </c>
      <c r="AL118">
        <v>1</v>
      </c>
      <c r="AM118">
        <v>-2</v>
      </c>
      <c r="AN118">
        <v>0</v>
      </c>
      <c r="AO118">
        <v>0</v>
      </c>
      <c r="AP118">
        <v>1</v>
      </c>
      <c r="AQ118">
        <v>1</v>
      </c>
      <c r="AR118">
        <v>0</v>
      </c>
      <c r="AS118" t="s">
        <v>3</v>
      </c>
      <c r="AT118">
        <v>0.34</v>
      </c>
      <c r="AU118" t="s">
        <v>3</v>
      </c>
      <c r="AV118">
        <v>1</v>
      </c>
      <c r="AW118">
        <v>2</v>
      </c>
      <c r="AX118">
        <v>73953976</v>
      </c>
      <c r="AY118">
        <v>1</v>
      </c>
      <c r="AZ118">
        <v>0</v>
      </c>
      <c r="BA118">
        <v>129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223.02300000000002</v>
      </c>
      <c r="BL118">
        <v>136.08160000000001</v>
      </c>
      <c r="BM118">
        <v>0</v>
      </c>
      <c r="BN118">
        <v>0</v>
      </c>
      <c r="BO118">
        <v>0.34</v>
      </c>
      <c r="BP118">
        <v>1</v>
      </c>
      <c r="BQ118">
        <v>0</v>
      </c>
      <c r="BR118">
        <v>223.02300000000002</v>
      </c>
      <c r="BS118">
        <v>136.08160000000001</v>
      </c>
      <c r="BT118">
        <v>0</v>
      </c>
      <c r="BU118">
        <v>0</v>
      </c>
      <c r="BV118">
        <v>0.34</v>
      </c>
      <c r="BW118">
        <v>1</v>
      </c>
      <c r="CV118">
        <v>0</v>
      </c>
      <c r="CW118">
        <f>ROUND(Y118*Source!I96*DO118,7)</f>
        <v>3.4000000000000002E-4</v>
      </c>
      <c r="CX118">
        <f>ROUND(Y118*Source!I96,7)</f>
        <v>3.4000000000000002E-4</v>
      </c>
      <c r="CY118">
        <f>AB118</f>
        <v>655.95</v>
      </c>
      <c r="CZ118">
        <f>AF118</f>
        <v>655.95</v>
      </c>
      <c r="DA118">
        <f>AJ118</f>
        <v>1</v>
      </c>
      <c r="DB118">
        <f t="shared" si="51"/>
        <v>223.02</v>
      </c>
      <c r="DC118">
        <f t="shared" si="52"/>
        <v>136.08000000000001</v>
      </c>
      <c r="DD118" t="s">
        <v>3</v>
      </c>
      <c r="DE118" t="s">
        <v>3</v>
      </c>
      <c r="DF118">
        <f>ROUND(ROUND(AE118,2)*CX118,2)</f>
        <v>0</v>
      </c>
      <c r="DG118">
        <f t="shared" si="55"/>
        <v>0.22</v>
      </c>
      <c r="DH118">
        <f t="shared" si="53"/>
        <v>0.14000000000000001</v>
      </c>
      <c r="DI118">
        <f t="shared" si="54"/>
        <v>0</v>
      </c>
      <c r="DJ118">
        <f>DG118+DH118</f>
        <v>0.36</v>
      </c>
      <c r="DK118">
        <v>1</v>
      </c>
      <c r="DL118" t="s">
        <v>400</v>
      </c>
      <c r="DM118">
        <v>4</v>
      </c>
      <c r="DN118" t="s">
        <v>359</v>
      </c>
      <c r="DO118">
        <v>1</v>
      </c>
    </row>
    <row r="119" spans="1:119" x14ac:dyDescent="0.2">
      <c r="A119">
        <f>ROW(Source!A96)</f>
        <v>96</v>
      </c>
      <c r="B119">
        <v>73953415</v>
      </c>
      <c r="C119">
        <v>73953966</v>
      </c>
      <c r="D119">
        <v>72598147</v>
      </c>
      <c r="E119">
        <v>1</v>
      </c>
      <c r="F119">
        <v>1</v>
      </c>
      <c r="G119">
        <v>1</v>
      </c>
      <c r="H119">
        <v>3</v>
      </c>
      <c r="I119" t="s">
        <v>538</v>
      </c>
      <c r="J119" t="s">
        <v>539</v>
      </c>
      <c r="K119" t="s">
        <v>540</v>
      </c>
      <c r="L119">
        <v>1371</v>
      </c>
      <c r="N119">
        <v>1013</v>
      </c>
      <c r="O119" t="s">
        <v>130</v>
      </c>
      <c r="P119" t="s">
        <v>130</v>
      </c>
      <c r="Q119">
        <v>1</v>
      </c>
      <c r="W119">
        <v>0</v>
      </c>
      <c r="X119">
        <v>-1724251479</v>
      </c>
      <c r="Y119">
        <f t="shared" si="50"/>
        <v>0.01</v>
      </c>
      <c r="AA119">
        <v>82371.28</v>
      </c>
      <c r="AB119">
        <v>0</v>
      </c>
      <c r="AC119">
        <v>0</v>
      </c>
      <c r="AD119">
        <v>0</v>
      </c>
      <c r="AE119">
        <v>61015.76</v>
      </c>
      <c r="AF119">
        <v>0</v>
      </c>
      <c r="AG119">
        <v>0</v>
      </c>
      <c r="AH119">
        <v>0</v>
      </c>
      <c r="AI119">
        <v>1.35</v>
      </c>
      <c r="AJ119">
        <v>1</v>
      </c>
      <c r="AK119">
        <v>1</v>
      </c>
      <c r="AL119">
        <v>1</v>
      </c>
      <c r="AM119">
        <v>2</v>
      </c>
      <c r="AN119">
        <v>0</v>
      </c>
      <c r="AO119">
        <v>0</v>
      </c>
      <c r="AP119">
        <v>1</v>
      </c>
      <c r="AQ119">
        <v>1</v>
      </c>
      <c r="AR119">
        <v>0</v>
      </c>
      <c r="AS119" t="s">
        <v>3</v>
      </c>
      <c r="AT119">
        <v>0.01</v>
      </c>
      <c r="AU119" t="s">
        <v>3</v>
      </c>
      <c r="AV119">
        <v>0</v>
      </c>
      <c r="AW119">
        <v>2</v>
      </c>
      <c r="AX119">
        <v>73953977</v>
      </c>
      <c r="AY119">
        <v>1</v>
      </c>
      <c r="AZ119">
        <v>0</v>
      </c>
      <c r="BA119">
        <v>130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610.1576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1</v>
      </c>
      <c r="BQ119">
        <v>610.1576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CV119">
        <v>0</v>
      </c>
      <c r="CW119">
        <v>0</v>
      </c>
      <c r="CX119">
        <f>ROUND(Y119*Source!I96,7)</f>
        <v>1.0000000000000001E-5</v>
      </c>
      <c r="CY119">
        <f>AA119</f>
        <v>82371.28</v>
      </c>
      <c r="CZ119">
        <f>AE119</f>
        <v>61015.76</v>
      </c>
      <c r="DA119">
        <f>AI119</f>
        <v>1.35</v>
      </c>
      <c r="DB119">
        <f t="shared" si="51"/>
        <v>610.16</v>
      </c>
      <c r="DC119">
        <f t="shared" si="52"/>
        <v>0</v>
      </c>
      <c r="DD119" t="s">
        <v>3</v>
      </c>
      <c r="DE119" t="s">
        <v>3</v>
      </c>
      <c r="DF119">
        <f>ROUND(ROUND(AE119*AI119,2)*CX119,2)</f>
        <v>0.82</v>
      </c>
      <c r="DG119">
        <f t="shared" si="55"/>
        <v>0</v>
      </c>
      <c r="DH119">
        <f t="shared" si="53"/>
        <v>0</v>
      </c>
      <c r="DI119">
        <f t="shared" si="54"/>
        <v>0</v>
      </c>
      <c r="DJ119">
        <f>DF119</f>
        <v>0.82</v>
      </c>
      <c r="DK119">
        <v>0</v>
      </c>
      <c r="DL119" t="s">
        <v>3</v>
      </c>
      <c r="DM119">
        <v>0</v>
      </c>
      <c r="DN119" t="s">
        <v>3</v>
      </c>
      <c r="DO119">
        <v>0</v>
      </c>
    </row>
    <row r="120" spans="1:119" x14ac:dyDescent="0.2">
      <c r="A120">
        <f>ROW(Source!A96)</f>
        <v>96</v>
      </c>
      <c r="B120">
        <v>73953415</v>
      </c>
      <c r="C120">
        <v>73953966</v>
      </c>
      <c r="D120">
        <v>72600867</v>
      </c>
      <c r="E120">
        <v>1</v>
      </c>
      <c r="F120">
        <v>1</v>
      </c>
      <c r="G120">
        <v>1</v>
      </c>
      <c r="H120">
        <v>3</v>
      </c>
      <c r="I120" t="s">
        <v>251</v>
      </c>
      <c r="J120" t="s">
        <v>253</v>
      </c>
      <c r="K120" t="s">
        <v>252</v>
      </c>
      <c r="L120">
        <v>1348</v>
      </c>
      <c r="N120">
        <v>1009</v>
      </c>
      <c r="O120" t="s">
        <v>248</v>
      </c>
      <c r="P120" t="s">
        <v>248</v>
      </c>
      <c r="Q120">
        <v>1000</v>
      </c>
      <c r="W120">
        <v>0</v>
      </c>
      <c r="X120">
        <v>-853630379</v>
      </c>
      <c r="Y120">
        <f t="shared" si="50"/>
        <v>1</v>
      </c>
      <c r="AA120">
        <v>214716.22</v>
      </c>
      <c r="AB120">
        <v>0</v>
      </c>
      <c r="AC120">
        <v>0</v>
      </c>
      <c r="AD120">
        <v>0</v>
      </c>
      <c r="AE120">
        <v>191710.91</v>
      </c>
      <c r="AF120">
        <v>0</v>
      </c>
      <c r="AG120">
        <v>0</v>
      </c>
      <c r="AH120">
        <v>0</v>
      </c>
      <c r="AI120">
        <v>1.1200000000000001</v>
      </c>
      <c r="AJ120">
        <v>1</v>
      </c>
      <c r="AK120">
        <v>1</v>
      </c>
      <c r="AL120">
        <v>1</v>
      </c>
      <c r="AM120">
        <v>0</v>
      </c>
      <c r="AN120">
        <v>0</v>
      </c>
      <c r="AO120">
        <v>0</v>
      </c>
      <c r="AP120">
        <v>1</v>
      </c>
      <c r="AQ120">
        <v>0</v>
      </c>
      <c r="AR120">
        <v>0</v>
      </c>
      <c r="AS120" t="s">
        <v>3</v>
      </c>
      <c r="AT120">
        <v>1</v>
      </c>
      <c r="AU120" t="s">
        <v>3</v>
      </c>
      <c r="AV120">
        <v>0</v>
      </c>
      <c r="AW120">
        <v>1</v>
      </c>
      <c r="AX120">
        <v>-1</v>
      </c>
      <c r="AY120">
        <v>0</v>
      </c>
      <c r="AZ120">
        <v>0</v>
      </c>
      <c r="BA120" t="s">
        <v>3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CV120">
        <v>0</v>
      </c>
      <c r="CW120">
        <v>0</v>
      </c>
      <c r="CX120">
        <f>ROUND(Y120*Source!I96,7)</f>
        <v>1E-3</v>
      </c>
      <c r="CY120">
        <f>AA120</f>
        <v>214716.22</v>
      </c>
      <c r="CZ120">
        <f>AE120</f>
        <v>191710.91</v>
      </c>
      <c r="DA120">
        <f>AI120</f>
        <v>1.1200000000000001</v>
      </c>
      <c r="DB120">
        <f t="shared" si="51"/>
        <v>191710.91</v>
      </c>
      <c r="DC120">
        <f t="shared" si="52"/>
        <v>0</v>
      </c>
      <c r="DD120" t="s">
        <v>3</v>
      </c>
      <c r="DE120" t="s">
        <v>3</v>
      </c>
      <c r="DF120">
        <f>ROUND(ROUND(AE120*AI120,2)*CX120,2)</f>
        <v>214.72</v>
      </c>
      <c r="DG120">
        <f t="shared" si="55"/>
        <v>0</v>
      </c>
      <c r="DH120">
        <f t="shared" si="53"/>
        <v>0</v>
      </c>
      <c r="DI120">
        <f t="shared" si="54"/>
        <v>0</v>
      </c>
      <c r="DJ120">
        <f>DF120</f>
        <v>214.72</v>
      </c>
      <c r="DK120">
        <v>0</v>
      </c>
      <c r="DL120" t="s">
        <v>3</v>
      </c>
      <c r="DM120">
        <v>0</v>
      </c>
      <c r="DN120" t="s">
        <v>3</v>
      </c>
      <c r="DO120">
        <v>0</v>
      </c>
    </row>
    <row r="121" spans="1:119" x14ac:dyDescent="0.2">
      <c r="A121">
        <f>ROW(Source!A98)</f>
        <v>98</v>
      </c>
      <c r="B121">
        <v>73953415</v>
      </c>
      <c r="C121">
        <v>73953980</v>
      </c>
      <c r="D121">
        <v>72518655</v>
      </c>
      <c r="E121">
        <v>119</v>
      </c>
      <c r="F121">
        <v>1</v>
      </c>
      <c r="G121">
        <v>1</v>
      </c>
      <c r="H121">
        <v>1</v>
      </c>
      <c r="I121" t="s">
        <v>541</v>
      </c>
      <c r="J121" t="s">
        <v>3</v>
      </c>
      <c r="K121" t="s">
        <v>542</v>
      </c>
      <c r="L121">
        <v>1191</v>
      </c>
      <c r="N121">
        <v>1013</v>
      </c>
      <c r="O121" t="s">
        <v>359</v>
      </c>
      <c r="P121" t="s">
        <v>359</v>
      </c>
      <c r="Q121">
        <v>1</v>
      </c>
      <c r="W121">
        <v>0</v>
      </c>
      <c r="X121">
        <v>888410196</v>
      </c>
      <c r="Y121">
        <f t="shared" si="50"/>
        <v>0.41</v>
      </c>
      <c r="AA121">
        <v>0</v>
      </c>
      <c r="AB121">
        <v>0</v>
      </c>
      <c r="AC121">
        <v>0</v>
      </c>
      <c r="AD121">
        <v>400.24</v>
      </c>
      <c r="AE121">
        <v>0</v>
      </c>
      <c r="AF121">
        <v>0</v>
      </c>
      <c r="AG121">
        <v>0</v>
      </c>
      <c r="AH121">
        <v>400.24</v>
      </c>
      <c r="AI121">
        <v>1</v>
      </c>
      <c r="AJ121">
        <v>1</v>
      </c>
      <c r="AK121">
        <v>1</v>
      </c>
      <c r="AL121">
        <v>1</v>
      </c>
      <c r="AM121">
        <v>-2</v>
      </c>
      <c r="AN121">
        <v>0</v>
      </c>
      <c r="AO121">
        <v>0</v>
      </c>
      <c r="AP121">
        <v>1</v>
      </c>
      <c r="AQ121">
        <v>1</v>
      </c>
      <c r="AR121">
        <v>0</v>
      </c>
      <c r="AS121" t="s">
        <v>3</v>
      </c>
      <c r="AT121">
        <v>0.41</v>
      </c>
      <c r="AU121" t="s">
        <v>3</v>
      </c>
      <c r="AV121">
        <v>1</v>
      </c>
      <c r="AW121">
        <v>2</v>
      </c>
      <c r="AX121">
        <v>73953984</v>
      </c>
      <c r="AY121">
        <v>1</v>
      </c>
      <c r="AZ121">
        <v>0</v>
      </c>
      <c r="BA121">
        <v>132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164.0984</v>
      </c>
      <c r="BN121">
        <v>0.41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164.0984</v>
      </c>
      <c r="BU121">
        <v>0.41</v>
      </c>
      <c r="BV121">
        <v>0</v>
      </c>
      <c r="BW121">
        <v>1</v>
      </c>
      <c r="CU121">
        <f>ROUND(AT121*Source!I98*AH121*AL121,2)</f>
        <v>27.9</v>
      </c>
      <c r="CV121">
        <f>ROUND(Y121*Source!I98,7)</f>
        <v>6.9699999999999998E-2</v>
      </c>
      <c r="CW121">
        <v>0</v>
      </c>
      <c r="CX121">
        <f>ROUND(Y121*Source!I98,7)</f>
        <v>6.9699999999999998E-2</v>
      </c>
      <c r="CY121">
        <f>AD121</f>
        <v>400.24</v>
      </c>
      <c r="CZ121">
        <f>AH121</f>
        <v>400.24</v>
      </c>
      <c r="DA121">
        <f>AL121</f>
        <v>1</v>
      </c>
      <c r="DB121">
        <f t="shared" si="51"/>
        <v>164.1</v>
      </c>
      <c r="DC121">
        <f t="shared" si="52"/>
        <v>0</v>
      </c>
      <c r="DD121" t="s">
        <v>3</v>
      </c>
      <c r="DE121" t="s">
        <v>3</v>
      </c>
      <c r="DF121">
        <f t="shared" ref="DF121:DF127" si="56">ROUND(ROUND(AE121,2)*CX121,2)</f>
        <v>0</v>
      </c>
      <c r="DG121">
        <f t="shared" si="55"/>
        <v>0</v>
      </c>
      <c r="DH121">
        <f t="shared" si="53"/>
        <v>0</v>
      </c>
      <c r="DI121">
        <f t="shared" si="54"/>
        <v>27.9</v>
      </c>
      <c r="DJ121">
        <f>DI121</f>
        <v>27.9</v>
      </c>
      <c r="DK121">
        <v>1</v>
      </c>
      <c r="DL121" t="s">
        <v>3</v>
      </c>
      <c r="DM121">
        <v>0</v>
      </c>
      <c r="DN121" t="s">
        <v>3</v>
      </c>
      <c r="DO121">
        <v>0</v>
      </c>
    </row>
    <row r="122" spans="1:119" x14ac:dyDescent="0.2">
      <c r="A122">
        <f>ROW(Source!A98)</f>
        <v>98</v>
      </c>
      <c r="B122">
        <v>73953415</v>
      </c>
      <c r="C122">
        <v>73953980</v>
      </c>
      <c r="D122">
        <v>72518826</v>
      </c>
      <c r="E122">
        <v>119</v>
      </c>
      <c r="F122">
        <v>1</v>
      </c>
      <c r="G122">
        <v>1</v>
      </c>
      <c r="H122">
        <v>1</v>
      </c>
      <c r="I122" t="s">
        <v>357</v>
      </c>
      <c r="J122" t="s">
        <v>3</v>
      </c>
      <c r="K122" t="s">
        <v>358</v>
      </c>
      <c r="L122">
        <v>1191</v>
      </c>
      <c r="N122">
        <v>1013</v>
      </c>
      <c r="O122" t="s">
        <v>359</v>
      </c>
      <c r="P122" t="s">
        <v>359</v>
      </c>
      <c r="Q122">
        <v>1</v>
      </c>
      <c r="W122">
        <v>0</v>
      </c>
      <c r="X122">
        <v>-1417349443</v>
      </c>
      <c r="Y122">
        <f t="shared" si="50"/>
        <v>0.2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1</v>
      </c>
      <c r="AK122">
        <v>1</v>
      </c>
      <c r="AL122">
        <v>1</v>
      </c>
      <c r="AM122">
        <v>-2</v>
      </c>
      <c r="AN122">
        <v>0</v>
      </c>
      <c r="AO122">
        <v>0</v>
      </c>
      <c r="AP122">
        <v>1</v>
      </c>
      <c r="AQ122">
        <v>1</v>
      </c>
      <c r="AR122">
        <v>0</v>
      </c>
      <c r="AS122" t="s">
        <v>3</v>
      </c>
      <c r="AT122">
        <v>0.2</v>
      </c>
      <c r="AU122" t="s">
        <v>3</v>
      </c>
      <c r="AV122">
        <v>2</v>
      </c>
      <c r="AW122">
        <v>2</v>
      </c>
      <c r="AX122">
        <v>73953985</v>
      </c>
      <c r="AY122">
        <v>1</v>
      </c>
      <c r="AZ122">
        <v>0</v>
      </c>
      <c r="BA122">
        <v>133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CV122">
        <v>0</v>
      </c>
      <c r="CW122">
        <v>0</v>
      </c>
      <c r="CX122">
        <f>ROUND(Y122*Source!I98,7)</f>
        <v>3.4000000000000002E-2</v>
      </c>
      <c r="CY122">
        <f>AD122</f>
        <v>0</v>
      </c>
      <c r="CZ122">
        <f>AH122</f>
        <v>0</v>
      </c>
      <c r="DA122">
        <f>AL122</f>
        <v>1</v>
      </c>
      <c r="DB122">
        <f t="shared" si="51"/>
        <v>0</v>
      </c>
      <c r="DC122">
        <f t="shared" si="52"/>
        <v>0</v>
      </c>
      <c r="DD122" t="s">
        <v>3</v>
      </c>
      <c r="DE122" t="s">
        <v>3</v>
      </c>
      <c r="DF122">
        <f t="shared" si="56"/>
        <v>0</v>
      </c>
      <c r="DG122">
        <f t="shared" si="55"/>
        <v>0</v>
      </c>
      <c r="DH122">
        <f t="shared" si="53"/>
        <v>0</v>
      </c>
      <c r="DI122">
        <f t="shared" si="54"/>
        <v>0</v>
      </c>
      <c r="DJ122">
        <f>DI122</f>
        <v>0</v>
      </c>
      <c r="DK122">
        <v>0</v>
      </c>
      <c r="DL122" t="s">
        <v>3</v>
      </c>
      <c r="DM122">
        <v>0</v>
      </c>
      <c r="DN122" t="s">
        <v>3</v>
      </c>
      <c r="DO122">
        <v>0</v>
      </c>
    </row>
    <row r="123" spans="1:119" x14ac:dyDescent="0.2">
      <c r="A123">
        <f>ROW(Source!A98)</f>
        <v>98</v>
      </c>
      <c r="B123">
        <v>73953415</v>
      </c>
      <c r="C123">
        <v>73953980</v>
      </c>
      <c r="D123">
        <v>72647141</v>
      </c>
      <c r="E123">
        <v>1</v>
      </c>
      <c r="F123">
        <v>1</v>
      </c>
      <c r="G123">
        <v>1</v>
      </c>
      <c r="H123">
        <v>2</v>
      </c>
      <c r="I123" t="s">
        <v>397</v>
      </c>
      <c r="J123" t="s">
        <v>398</v>
      </c>
      <c r="K123" t="s">
        <v>399</v>
      </c>
      <c r="L123">
        <v>1368</v>
      </c>
      <c r="N123">
        <v>1011</v>
      </c>
      <c r="O123" t="s">
        <v>363</v>
      </c>
      <c r="P123" t="s">
        <v>363</v>
      </c>
      <c r="Q123">
        <v>1</v>
      </c>
      <c r="W123">
        <v>0</v>
      </c>
      <c r="X123">
        <v>-2130331961</v>
      </c>
      <c r="Y123">
        <f t="shared" si="50"/>
        <v>0.2</v>
      </c>
      <c r="AA123">
        <v>0</v>
      </c>
      <c r="AB123">
        <v>417.12</v>
      </c>
      <c r="AC123">
        <v>400.24</v>
      </c>
      <c r="AD123">
        <v>0</v>
      </c>
      <c r="AE123">
        <v>0</v>
      </c>
      <c r="AF123">
        <v>417.12</v>
      </c>
      <c r="AG123">
        <v>400.24</v>
      </c>
      <c r="AH123">
        <v>0</v>
      </c>
      <c r="AI123">
        <v>1</v>
      </c>
      <c r="AJ123">
        <v>1</v>
      </c>
      <c r="AK123">
        <v>1</v>
      </c>
      <c r="AL123">
        <v>1</v>
      </c>
      <c r="AM123">
        <v>-2</v>
      </c>
      <c r="AN123">
        <v>0</v>
      </c>
      <c r="AO123">
        <v>0</v>
      </c>
      <c r="AP123">
        <v>1</v>
      </c>
      <c r="AQ123">
        <v>1</v>
      </c>
      <c r="AR123">
        <v>0</v>
      </c>
      <c r="AS123" t="s">
        <v>3</v>
      </c>
      <c r="AT123">
        <v>0.2</v>
      </c>
      <c r="AU123" t="s">
        <v>3</v>
      </c>
      <c r="AV123">
        <v>1</v>
      </c>
      <c r="AW123">
        <v>2</v>
      </c>
      <c r="AX123">
        <v>73953986</v>
      </c>
      <c r="AY123">
        <v>1</v>
      </c>
      <c r="AZ123">
        <v>0</v>
      </c>
      <c r="BA123">
        <v>134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83.424000000000007</v>
      </c>
      <c r="BL123">
        <v>80.048000000000002</v>
      </c>
      <c r="BM123">
        <v>0</v>
      </c>
      <c r="BN123">
        <v>0</v>
      </c>
      <c r="BO123">
        <v>0.2</v>
      </c>
      <c r="BP123">
        <v>1</v>
      </c>
      <c r="BQ123">
        <v>0</v>
      </c>
      <c r="BR123">
        <v>83.424000000000007</v>
      </c>
      <c r="BS123">
        <v>80.048000000000002</v>
      </c>
      <c r="BT123">
        <v>0</v>
      </c>
      <c r="BU123">
        <v>0</v>
      </c>
      <c r="BV123">
        <v>0.2</v>
      </c>
      <c r="BW123">
        <v>1</v>
      </c>
      <c r="CV123">
        <v>0</v>
      </c>
      <c r="CW123">
        <f>ROUND(Y123*Source!I98*DO123,7)</f>
        <v>3.4000000000000002E-2</v>
      </c>
      <c r="CX123">
        <f>ROUND(Y123*Source!I98,7)</f>
        <v>3.4000000000000002E-2</v>
      </c>
      <c r="CY123">
        <f>AB123</f>
        <v>417.12</v>
      </c>
      <c r="CZ123">
        <f>AF123</f>
        <v>417.12</v>
      </c>
      <c r="DA123">
        <f>AJ123</f>
        <v>1</v>
      </c>
      <c r="DB123">
        <f t="shared" si="51"/>
        <v>83.42</v>
      </c>
      <c r="DC123">
        <f t="shared" si="52"/>
        <v>80.05</v>
      </c>
      <c r="DD123" t="s">
        <v>3</v>
      </c>
      <c r="DE123" t="s">
        <v>3</v>
      </c>
      <c r="DF123">
        <f t="shared" si="56"/>
        <v>0</v>
      </c>
      <c r="DG123">
        <f t="shared" si="55"/>
        <v>14.18</v>
      </c>
      <c r="DH123">
        <f t="shared" si="53"/>
        <v>13.61</v>
      </c>
      <c r="DI123">
        <f t="shared" si="54"/>
        <v>0</v>
      </c>
      <c r="DJ123">
        <f>DG123+DH123</f>
        <v>27.79</v>
      </c>
      <c r="DK123">
        <v>1</v>
      </c>
      <c r="DL123" t="s">
        <v>400</v>
      </c>
      <c r="DM123">
        <v>4</v>
      </c>
      <c r="DN123" t="s">
        <v>359</v>
      </c>
      <c r="DO123">
        <v>1</v>
      </c>
    </row>
    <row r="124" spans="1:119" x14ac:dyDescent="0.2">
      <c r="A124">
        <f>ROW(Source!A99)</f>
        <v>99</v>
      </c>
      <c r="B124">
        <v>73953415</v>
      </c>
      <c r="C124">
        <v>73954001</v>
      </c>
      <c r="D124">
        <v>72518791</v>
      </c>
      <c r="E124">
        <v>119</v>
      </c>
      <c r="F124">
        <v>1</v>
      </c>
      <c r="G124">
        <v>1</v>
      </c>
      <c r="H124">
        <v>1</v>
      </c>
      <c r="I124" t="s">
        <v>479</v>
      </c>
      <c r="J124" t="s">
        <v>3</v>
      </c>
      <c r="K124" t="s">
        <v>480</v>
      </c>
      <c r="L124">
        <v>1369</v>
      </c>
      <c r="N124">
        <v>1013</v>
      </c>
      <c r="O124" t="s">
        <v>478</v>
      </c>
      <c r="P124" t="s">
        <v>478</v>
      </c>
      <c r="Q124">
        <v>1</v>
      </c>
      <c r="W124">
        <v>0</v>
      </c>
      <c r="X124">
        <v>-512803540</v>
      </c>
      <c r="Y124">
        <f t="shared" si="50"/>
        <v>19.899999999999999</v>
      </c>
      <c r="AA124">
        <v>0</v>
      </c>
      <c r="AB124">
        <v>0</v>
      </c>
      <c r="AC124">
        <v>0</v>
      </c>
      <c r="AD124">
        <v>400.24</v>
      </c>
      <c r="AE124">
        <v>0</v>
      </c>
      <c r="AF124">
        <v>0</v>
      </c>
      <c r="AG124">
        <v>0</v>
      </c>
      <c r="AH124">
        <v>400.24</v>
      </c>
      <c r="AI124">
        <v>1</v>
      </c>
      <c r="AJ124">
        <v>1</v>
      </c>
      <c r="AK124">
        <v>1</v>
      </c>
      <c r="AL124">
        <v>1</v>
      </c>
      <c r="AM124">
        <v>-2</v>
      </c>
      <c r="AN124">
        <v>0</v>
      </c>
      <c r="AO124">
        <v>0</v>
      </c>
      <c r="AP124">
        <v>1</v>
      </c>
      <c r="AQ124">
        <v>1</v>
      </c>
      <c r="AR124">
        <v>0</v>
      </c>
      <c r="AS124" t="s">
        <v>3</v>
      </c>
      <c r="AT124">
        <v>19.899999999999999</v>
      </c>
      <c r="AU124" t="s">
        <v>3</v>
      </c>
      <c r="AV124">
        <v>1</v>
      </c>
      <c r="AW124">
        <v>2</v>
      </c>
      <c r="AX124">
        <v>73954008</v>
      </c>
      <c r="AY124">
        <v>1</v>
      </c>
      <c r="AZ124">
        <v>0</v>
      </c>
      <c r="BA124">
        <v>135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7964.7759999999998</v>
      </c>
      <c r="BN124">
        <v>19.899999999999999</v>
      </c>
      <c r="BO124">
        <v>0</v>
      </c>
      <c r="BP124">
        <v>1</v>
      </c>
      <c r="BQ124">
        <v>0</v>
      </c>
      <c r="BR124">
        <v>0</v>
      </c>
      <c r="BS124">
        <v>0</v>
      </c>
      <c r="BT124">
        <v>7964.7759999999998</v>
      </c>
      <c r="BU124">
        <v>19.899999999999999</v>
      </c>
      <c r="BV124">
        <v>0</v>
      </c>
      <c r="BW124">
        <v>1</v>
      </c>
      <c r="CU124">
        <f>ROUND(AT124*Source!I99*AH124*AL124,2)</f>
        <v>1752.25</v>
      </c>
      <c r="CV124">
        <f>ROUND(Y124*Source!I99,7)</f>
        <v>4.3780000000000001</v>
      </c>
      <c r="CW124">
        <v>0</v>
      </c>
      <c r="CX124">
        <f>ROUND(Y124*Source!I99,7)</f>
        <v>4.3780000000000001</v>
      </c>
      <c r="CY124">
        <f>AD124</f>
        <v>400.24</v>
      </c>
      <c r="CZ124">
        <f>AH124</f>
        <v>400.24</v>
      </c>
      <c r="DA124">
        <f>AL124</f>
        <v>1</v>
      </c>
      <c r="DB124">
        <f t="shared" si="51"/>
        <v>7964.78</v>
      </c>
      <c r="DC124">
        <f t="shared" si="52"/>
        <v>0</v>
      </c>
      <c r="DD124" t="s">
        <v>3</v>
      </c>
      <c r="DE124" t="s">
        <v>3</v>
      </c>
      <c r="DF124">
        <f t="shared" si="56"/>
        <v>0</v>
      </c>
      <c r="DG124">
        <f t="shared" si="55"/>
        <v>0</v>
      </c>
      <c r="DH124">
        <f t="shared" si="53"/>
        <v>0</v>
      </c>
      <c r="DI124">
        <f t="shared" si="54"/>
        <v>1752.25</v>
      </c>
      <c r="DJ124">
        <f>DI124</f>
        <v>1752.25</v>
      </c>
      <c r="DK124">
        <v>1</v>
      </c>
      <c r="DL124" t="s">
        <v>3</v>
      </c>
      <c r="DM124">
        <v>0</v>
      </c>
      <c r="DN124" t="s">
        <v>3</v>
      </c>
      <c r="DO124">
        <v>0</v>
      </c>
    </row>
    <row r="125" spans="1:119" x14ac:dyDescent="0.2">
      <c r="A125">
        <f>ROW(Source!A99)</f>
        <v>99</v>
      </c>
      <c r="B125">
        <v>73953415</v>
      </c>
      <c r="C125">
        <v>73954001</v>
      </c>
      <c r="D125">
        <v>72518793</v>
      </c>
      <c r="E125">
        <v>119</v>
      </c>
      <c r="F125">
        <v>1</v>
      </c>
      <c r="G125">
        <v>1</v>
      </c>
      <c r="H125">
        <v>1</v>
      </c>
      <c r="I125" t="s">
        <v>543</v>
      </c>
      <c r="J125" t="s">
        <v>3</v>
      </c>
      <c r="K125" t="s">
        <v>544</v>
      </c>
      <c r="L125">
        <v>1369</v>
      </c>
      <c r="N125">
        <v>1013</v>
      </c>
      <c r="O125" t="s">
        <v>478</v>
      </c>
      <c r="P125" t="s">
        <v>478</v>
      </c>
      <c r="Q125">
        <v>1</v>
      </c>
      <c r="W125">
        <v>0</v>
      </c>
      <c r="X125">
        <v>1518711480</v>
      </c>
      <c r="Y125">
        <f t="shared" si="50"/>
        <v>19.899999999999999</v>
      </c>
      <c r="AA125">
        <v>0</v>
      </c>
      <c r="AB125">
        <v>0</v>
      </c>
      <c r="AC125">
        <v>0</v>
      </c>
      <c r="AD125">
        <v>459.98</v>
      </c>
      <c r="AE125">
        <v>0</v>
      </c>
      <c r="AF125">
        <v>0</v>
      </c>
      <c r="AG125">
        <v>0</v>
      </c>
      <c r="AH125">
        <v>459.98</v>
      </c>
      <c r="AI125">
        <v>1</v>
      </c>
      <c r="AJ125">
        <v>1</v>
      </c>
      <c r="AK125">
        <v>1</v>
      </c>
      <c r="AL125">
        <v>1</v>
      </c>
      <c r="AM125">
        <v>-2</v>
      </c>
      <c r="AN125">
        <v>0</v>
      </c>
      <c r="AO125">
        <v>0</v>
      </c>
      <c r="AP125">
        <v>1</v>
      </c>
      <c r="AQ125">
        <v>1</v>
      </c>
      <c r="AR125">
        <v>0</v>
      </c>
      <c r="AS125" t="s">
        <v>3</v>
      </c>
      <c r="AT125">
        <v>19.899999999999999</v>
      </c>
      <c r="AU125" t="s">
        <v>3</v>
      </c>
      <c r="AV125">
        <v>1</v>
      </c>
      <c r="AW125">
        <v>2</v>
      </c>
      <c r="AX125">
        <v>73954009</v>
      </c>
      <c r="AY125">
        <v>1</v>
      </c>
      <c r="AZ125">
        <v>0</v>
      </c>
      <c r="BA125">
        <v>136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9153.601999999999</v>
      </c>
      <c r="BN125">
        <v>19.899999999999999</v>
      </c>
      <c r="BO125">
        <v>0</v>
      </c>
      <c r="BP125">
        <v>1</v>
      </c>
      <c r="BQ125">
        <v>0</v>
      </c>
      <c r="BR125">
        <v>0</v>
      </c>
      <c r="BS125">
        <v>0</v>
      </c>
      <c r="BT125">
        <v>9153.601999999999</v>
      </c>
      <c r="BU125">
        <v>19.899999999999999</v>
      </c>
      <c r="BV125">
        <v>0</v>
      </c>
      <c r="BW125">
        <v>1</v>
      </c>
      <c r="CU125">
        <f>ROUND(AT125*Source!I99*AH125*AL125,2)</f>
        <v>2013.79</v>
      </c>
      <c r="CV125">
        <f>ROUND(Y125*Source!I99,7)</f>
        <v>4.3780000000000001</v>
      </c>
      <c r="CW125">
        <v>0</v>
      </c>
      <c r="CX125">
        <f>ROUND(Y125*Source!I99,7)</f>
        <v>4.3780000000000001</v>
      </c>
      <c r="CY125">
        <f>AD125</f>
        <v>459.98</v>
      </c>
      <c r="CZ125">
        <f>AH125</f>
        <v>459.98</v>
      </c>
      <c r="DA125">
        <f>AL125</f>
        <v>1</v>
      </c>
      <c r="DB125">
        <f t="shared" si="51"/>
        <v>9153.6</v>
      </c>
      <c r="DC125">
        <f t="shared" si="52"/>
        <v>0</v>
      </c>
      <c r="DD125" t="s">
        <v>3</v>
      </c>
      <c r="DE125" t="s">
        <v>3</v>
      </c>
      <c r="DF125">
        <f t="shared" si="56"/>
        <v>0</v>
      </c>
      <c r="DG125">
        <f t="shared" si="55"/>
        <v>0</v>
      </c>
      <c r="DH125">
        <f t="shared" si="53"/>
        <v>0</v>
      </c>
      <c r="DI125">
        <f t="shared" si="54"/>
        <v>2013.79</v>
      </c>
      <c r="DJ125">
        <f>DI125</f>
        <v>2013.79</v>
      </c>
      <c r="DK125">
        <v>1</v>
      </c>
      <c r="DL125" t="s">
        <v>3</v>
      </c>
      <c r="DM125">
        <v>0</v>
      </c>
      <c r="DN125" t="s">
        <v>3</v>
      </c>
      <c r="DO125">
        <v>0</v>
      </c>
    </row>
    <row r="126" spans="1:119" x14ac:dyDescent="0.2">
      <c r="A126">
        <f>ROW(Source!A99)</f>
        <v>99</v>
      </c>
      <c r="B126">
        <v>73953415</v>
      </c>
      <c r="C126">
        <v>73954001</v>
      </c>
      <c r="D126">
        <v>72518826</v>
      </c>
      <c r="E126">
        <v>119</v>
      </c>
      <c r="F126">
        <v>1</v>
      </c>
      <c r="G126">
        <v>1</v>
      </c>
      <c r="H126">
        <v>1</v>
      </c>
      <c r="I126" t="s">
        <v>357</v>
      </c>
      <c r="J126" t="s">
        <v>3</v>
      </c>
      <c r="K126" t="s">
        <v>358</v>
      </c>
      <c r="L126">
        <v>1191</v>
      </c>
      <c r="N126">
        <v>1013</v>
      </c>
      <c r="O126" t="s">
        <v>359</v>
      </c>
      <c r="P126" t="s">
        <v>359</v>
      </c>
      <c r="Q126">
        <v>1</v>
      </c>
      <c r="W126">
        <v>0</v>
      </c>
      <c r="X126">
        <v>-1417349443</v>
      </c>
      <c r="Y126">
        <f t="shared" si="50"/>
        <v>0.01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1</v>
      </c>
      <c r="AJ126">
        <v>1</v>
      </c>
      <c r="AK126">
        <v>1</v>
      </c>
      <c r="AL126">
        <v>1</v>
      </c>
      <c r="AM126">
        <v>-2</v>
      </c>
      <c r="AN126">
        <v>0</v>
      </c>
      <c r="AO126">
        <v>0</v>
      </c>
      <c r="AP126">
        <v>1</v>
      </c>
      <c r="AQ126">
        <v>1</v>
      </c>
      <c r="AR126">
        <v>0</v>
      </c>
      <c r="AS126" t="s">
        <v>3</v>
      </c>
      <c r="AT126">
        <v>0.01</v>
      </c>
      <c r="AU126" t="s">
        <v>3</v>
      </c>
      <c r="AV126">
        <v>2</v>
      </c>
      <c r="AW126">
        <v>2</v>
      </c>
      <c r="AX126">
        <v>73954010</v>
      </c>
      <c r="AY126">
        <v>1</v>
      </c>
      <c r="AZ126">
        <v>0</v>
      </c>
      <c r="BA126">
        <v>137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CV126">
        <v>0</v>
      </c>
      <c r="CW126">
        <v>0</v>
      </c>
      <c r="CX126">
        <f>ROUND(Y126*Source!I99,7)</f>
        <v>2.2000000000000001E-3</v>
      </c>
      <c r="CY126">
        <f>AD126</f>
        <v>0</v>
      </c>
      <c r="CZ126">
        <f>AH126</f>
        <v>0</v>
      </c>
      <c r="DA126">
        <f>AL126</f>
        <v>1</v>
      </c>
      <c r="DB126">
        <f t="shared" si="51"/>
        <v>0</v>
      </c>
      <c r="DC126">
        <f t="shared" si="52"/>
        <v>0</v>
      </c>
      <c r="DD126" t="s">
        <v>3</v>
      </c>
      <c r="DE126" t="s">
        <v>3</v>
      </c>
      <c r="DF126">
        <f t="shared" si="56"/>
        <v>0</v>
      </c>
      <c r="DG126">
        <f t="shared" si="55"/>
        <v>0</v>
      </c>
      <c r="DH126">
        <f t="shared" si="53"/>
        <v>0</v>
      </c>
      <c r="DI126">
        <f t="shared" si="54"/>
        <v>0</v>
      </c>
      <c r="DJ126">
        <f>DI126</f>
        <v>0</v>
      </c>
      <c r="DK126">
        <v>0</v>
      </c>
      <c r="DL126" t="s">
        <v>3</v>
      </c>
      <c r="DM126">
        <v>0</v>
      </c>
      <c r="DN126" t="s">
        <v>3</v>
      </c>
      <c r="DO126">
        <v>0</v>
      </c>
    </row>
    <row r="127" spans="1:119" x14ac:dyDescent="0.2">
      <c r="A127">
        <f>ROW(Source!A99)</f>
        <v>99</v>
      </c>
      <c r="B127">
        <v>73953415</v>
      </c>
      <c r="C127">
        <v>73954001</v>
      </c>
      <c r="D127">
        <v>72647140</v>
      </c>
      <c r="E127">
        <v>1</v>
      </c>
      <c r="F127">
        <v>1</v>
      </c>
      <c r="G127">
        <v>1</v>
      </c>
      <c r="H127">
        <v>2</v>
      </c>
      <c r="I127" t="s">
        <v>545</v>
      </c>
      <c r="J127" t="s">
        <v>546</v>
      </c>
      <c r="K127" t="s">
        <v>547</v>
      </c>
      <c r="L127">
        <v>1368</v>
      </c>
      <c r="N127">
        <v>1011</v>
      </c>
      <c r="O127" t="s">
        <v>363</v>
      </c>
      <c r="P127" t="s">
        <v>363</v>
      </c>
      <c r="Q127">
        <v>1</v>
      </c>
      <c r="W127">
        <v>0</v>
      </c>
      <c r="X127">
        <v>276165017</v>
      </c>
      <c r="Y127">
        <f t="shared" si="50"/>
        <v>0.01</v>
      </c>
      <c r="AA127">
        <v>0</v>
      </c>
      <c r="AB127">
        <v>4327.74</v>
      </c>
      <c r="AC127">
        <v>400.24</v>
      </c>
      <c r="AD127">
        <v>0</v>
      </c>
      <c r="AE127">
        <v>0</v>
      </c>
      <c r="AF127">
        <v>2445.0500000000002</v>
      </c>
      <c r="AG127">
        <v>400.24</v>
      </c>
      <c r="AH127">
        <v>0</v>
      </c>
      <c r="AI127">
        <v>1</v>
      </c>
      <c r="AJ127">
        <v>1.77</v>
      </c>
      <c r="AK127">
        <v>1</v>
      </c>
      <c r="AL127">
        <v>1</v>
      </c>
      <c r="AM127">
        <v>2</v>
      </c>
      <c r="AN127">
        <v>0</v>
      </c>
      <c r="AO127">
        <v>0</v>
      </c>
      <c r="AP127">
        <v>1</v>
      </c>
      <c r="AQ127">
        <v>1</v>
      </c>
      <c r="AR127">
        <v>0</v>
      </c>
      <c r="AS127" t="s">
        <v>3</v>
      </c>
      <c r="AT127">
        <v>0.01</v>
      </c>
      <c r="AU127" t="s">
        <v>3</v>
      </c>
      <c r="AV127">
        <v>1</v>
      </c>
      <c r="AW127">
        <v>2</v>
      </c>
      <c r="AX127">
        <v>73954011</v>
      </c>
      <c r="AY127">
        <v>1</v>
      </c>
      <c r="AZ127">
        <v>0</v>
      </c>
      <c r="BA127">
        <v>138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24.450500000000002</v>
      </c>
      <c r="BL127">
        <v>4.0023999999999997</v>
      </c>
      <c r="BM127">
        <v>0</v>
      </c>
      <c r="BN127">
        <v>0</v>
      </c>
      <c r="BO127">
        <v>0.01</v>
      </c>
      <c r="BP127">
        <v>1</v>
      </c>
      <c r="BQ127">
        <v>0</v>
      </c>
      <c r="BR127">
        <v>24.450500000000002</v>
      </c>
      <c r="BS127">
        <v>4.0023999999999997</v>
      </c>
      <c r="BT127">
        <v>0</v>
      </c>
      <c r="BU127">
        <v>0</v>
      </c>
      <c r="BV127">
        <v>0.01</v>
      </c>
      <c r="BW127">
        <v>1</v>
      </c>
      <c r="CV127">
        <v>0</v>
      </c>
      <c r="CW127">
        <f>ROUND(Y127*Source!I99*DO127,7)</f>
        <v>2.2000000000000001E-3</v>
      </c>
      <c r="CX127">
        <f>ROUND(Y127*Source!I99,7)</f>
        <v>2.2000000000000001E-3</v>
      </c>
      <c r="CY127">
        <f>AB127</f>
        <v>4327.74</v>
      </c>
      <c r="CZ127">
        <f>AF127</f>
        <v>2445.0500000000002</v>
      </c>
      <c r="DA127">
        <f>AJ127</f>
        <v>1.77</v>
      </c>
      <c r="DB127">
        <f t="shared" si="51"/>
        <v>24.45</v>
      </c>
      <c r="DC127">
        <f t="shared" si="52"/>
        <v>4</v>
      </c>
      <c r="DD127" t="s">
        <v>3</v>
      </c>
      <c r="DE127" t="s">
        <v>3</v>
      </c>
      <c r="DF127">
        <f t="shared" si="56"/>
        <v>0</v>
      </c>
      <c r="DG127">
        <f>ROUND(ROUND(AF127*AJ127,2)*CX127,2)</f>
        <v>9.52</v>
      </c>
      <c r="DH127">
        <f t="shared" si="53"/>
        <v>0.88</v>
      </c>
      <c r="DI127">
        <f t="shared" si="54"/>
        <v>0</v>
      </c>
      <c r="DJ127">
        <f>DG127+DH127</f>
        <v>10.4</v>
      </c>
      <c r="DK127">
        <v>0</v>
      </c>
      <c r="DL127" t="s">
        <v>400</v>
      </c>
      <c r="DM127">
        <v>4</v>
      </c>
      <c r="DN127" t="s">
        <v>359</v>
      </c>
      <c r="DO127">
        <v>1</v>
      </c>
    </row>
    <row r="128" spans="1:119" x14ac:dyDescent="0.2">
      <c r="A128">
        <f>ROW(Source!A99)</f>
        <v>99</v>
      </c>
      <c r="B128">
        <v>73953415</v>
      </c>
      <c r="C128">
        <v>73954001</v>
      </c>
      <c r="D128">
        <v>72591341</v>
      </c>
      <c r="E128">
        <v>1</v>
      </c>
      <c r="F128">
        <v>1</v>
      </c>
      <c r="G128">
        <v>1</v>
      </c>
      <c r="H128">
        <v>3</v>
      </c>
      <c r="I128" t="s">
        <v>529</v>
      </c>
      <c r="J128" t="s">
        <v>530</v>
      </c>
      <c r="K128" t="s">
        <v>531</v>
      </c>
      <c r="L128">
        <v>1339</v>
      </c>
      <c r="N128">
        <v>1007</v>
      </c>
      <c r="O128" t="s">
        <v>48</v>
      </c>
      <c r="P128" t="s">
        <v>48</v>
      </c>
      <c r="Q128">
        <v>1</v>
      </c>
      <c r="W128">
        <v>0</v>
      </c>
      <c r="X128">
        <v>-1357846128</v>
      </c>
      <c r="Y128">
        <f t="shared" si="50"/>
        <v>0.1</v>
      </c>
      <c r="AA128">
        <v>31.42</v>
      </c>
      <c r="AB128">
        <v>0</v>
      </c>
      <c r="AC128">
        <v>0</v>
      </c>
      <c r="AD128">
        <v>0</v>
      </c>
      <c r="AE128">
        <v>35.71</v>
      </c>
      <c r="AF128">
        <v>0</v>
      </c>
      <c r="AG128">
        <v>0</v>
      </c>
      <c r="AH128">
        <v>0</v>
      </c>
      <c r="AI128">
        <v>0.88</v>
      </c>
      <c r="AJ128">
        <v>1</v>
      </c>
      <c r="AK128">
        <v>1</v>
      </c>
      <c r="AL128">
        <v>1</v>
      </c>
      <c r="AM128">
        <v>2</v>
      </c>
      <c r="AN128">
        <v>0</v>
      </c>
      <c r="AO128">
        <v>0</v>
      </c>
      <c r="AP128">
        <v>1</v>
      </c>
      <c r="AQ128">
        <v>1</v>
      </c>
      <c r="AR128">
        <v>0</v>
      </c>
      <c r="AS128" t="s">
        <v>3</v>
      </c>
      <c r="AT128">
        <v>0.1</v>
      </c>
      <c r="AU128" t="s">
        <v>3</v>
      </c>
      <c r="AV128">
        <v>0</v>
      </c>
      <c r="AW128">
        <v>2</v>
      </c>
      <c r="AX128">
        <v>73954012</v>
      </c>
      <c r="AY128">
        <v>1</v>
      </c>
      <c r="AZ128">
        <v>0</v>
      </c>
      <c r="BA128">
        <v>139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3.5710000000000002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3.5710000000000002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1</v>
      </c>
      <c r="CV128">
        <v>0</v>
      </c>
      <c r="CW128">
        <v>0</v>
      </c>
      <c r="CX128">
        <f>ROUND(Y128*Source!I99,7)</f>
        <v>2.1999999999999999E-2</v>
      </c>
      <c r="CY128">
        <f>AA128</f>
        <v>31.42</v>
      </c>
      <c r="CZ128">
        <f>AE128</f>
        <v>35.71</v>
      </c>
      <c r="DA128">
        <f>AI128</f>
        <v>0.88</v>
      </c>
      <c r="DB128">
        <f t="shared" si="51"/>
        <v>3.57</v>
      </c>
      <c r="DC128">
        <f t="shared" si="52"/>
        <v>0</v>
      </c>
      <c r="DD128" t="s">
        <v>3</v>
      </c>
      <c r="DE128" t="s">
        <v>3</v>
      </c>
      <c r="DF128">
        <f>ROUND(ROUND(AE128*AI128,2)*CX128,2)</f>
        <v>0.69</v>
      </c>
      <c r="DG128">
        <f>ROUND(ROUND(AF128,2)*CX128,2)</f>
        <v>0</v>
      </c>
      <c r="DH128">
        <f t="shared" si="53"/>
        <v>0</v>
      </c>
      <c r="DI128">
        <f t="shared" si="54"/>
        <v>0</v>
      </c>
      <c r="DJ128">
        <f>DF128</f>
        <v>0.69</v>
      </c>
      <c r="DK128">
        <v>0</v>
      </c>
      <c r="DL128" t="s">
        <v>3</v>
      </c>
      <c r="DM128">
        <v>0</v>
      </c>
      <c r="DN128" t="s">
        <v>3</v>
      </c>
      <c r="DO128">
        <v>0</v>
      </c>
    </row>
    <row r="129" spans="1:119" x14ac:dyDescent="0.2">
      <c r="A129">
        <f>ROW(Source!A99)</f>
        <v>99</v>
      </c>
      <c r="B129">
        <v>73953415</v>
      </c>
      <c r="C129">
        <v>73954001</v>
      </c>
      <c r="D129">
        <v>72591641</v>
      </c>
      <c r="E129">
        <v>1</v>
      </c>
      <c r="F129">
        <v>1</v>
      </c>
      <c r="G129">
        <v>1</v>
      </c>
      <c r="H129">
        <v>3</v>
      </c>
      <c r="I129" t="s">
        <v>548</v>
      </c>
      <c r="J129" t="s">
        <v>549</v>
      </c>
      <c r="K129" t="s">
        <v>550</v>
      </c>
      <c r="L129">
        <v>1346</v>
      </c>
      <c r="N129">
        <v>1009</v>
      </c>
      <c r="O129" t="s">
        <v>411</v>
      </c>
      <c r="P129" t="s">
        <v>411</v>
      </c>
      <c r="Q129">
        <v>1</v>
      </c>
      <c r="W129">
        <v>0</v>
      </c>
      <c r="X129">
        <v>1211104170</v>
      </c>
      <c r="Y129">
        <f t="shared" si="50"/>
        <v>0.01</v>
      </c>
      <c r="AA129">
        <v>114.25</v>
      </c>
      <c r="AB129">
        <v>0</v>
      </c>
      <c r="AC129">
        <v>0</v>
      </c>
      <c r="AD129">
        <v>0</v>
      </c>
      <c r="AE129">
        <v>114.25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  <c r="AL129">
        <v>1</v>
      </c>
      <c r="AM129">
        <v>-2</v>
      </c>
      <c r="AN129">
        <v>0</v>
      </c>
      <c r="AO129">
        <v>0</v>
      </c>
      <c r="AP129">
        <v>1</v>
      </c>
      <c r="AQ129">
        <v>1</v>
      </c>
      <c r="AR129">
        <v>0</v>
      </c>
      <c r="AS129" t="s">
        <v>3</v>
      </c>
      <c r="AT129">
        <v>0.01</v>
      </c>
      <c r="AU129" t="s">
        <v>3</v>
      </c>
      <c r="AV129">
        <v>0</v>
      </c>
      <c r="AW129">
        <v>2</v>
      </c>
      <c r="AX129">
        <v>73954013</v>
      </c>
      <c r="AY129">
        <v>1</v>
      </c>
      <c r="AZ129">
        <v>0</v>
      </c>
      <c r="BA129">
        <v>140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1.1425000000000001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</v>
      </c>
      <c r="BQ129">
        <v>1.1425000000000001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CV129">
        <v>0</v>
      </c>
      <c r="CW129">
        <v>0</v>
      </c>
      <c r="CX129">
        <f>ROUND(Y129*Source!I99,7)</f>
        <v>2.2000000000000001E-3</v>
      </c>
      <c r="CY129">
        <f>AA129</f>
        <v>114.25</v>
      </c>
      <c r="CZ129">
        <f>AE129</f>
        <v>114.25</v>
      </c>
      <c r="DA129">
        <f>AI129</f>
        <v>1</v>
      </c>
      <c r="DB129">
        <f t="shared" si="51"/>
        <v>1.1399999999999999</v>
      </c>
      <c r="DC129">
        <f t="shared" si="52"/>
        <v>0</v>
      </c>
      <c r="DD129" t="s">
        <v>3</v>
      </c>
      <c r="DE129" t="s">
        <v>3</v>
      </c>
      <c r="DF129">
        <f>ROUND(ROUND(AE129,2)*CX129,2)</f>
        <v>0.25</v>
      </c>
      <c r="DG129">
        <f>ROUND(ROUND(AF129,2)*CX129,2)</f>
        <v>0</v>
      </c>
      <c r="DH129">
        <f t="shared" si="53"/>
        <v>0</v>
      </c>
      <c r="DI129">
        <f t="shared" si="54"/>
        <v>0</v>
      </c>
      <c r="DJ129">
        <f>DF129</f>
        <v>0.25</v>
      </c>
      <c r="DK129">
        <v>1</v>
      </c>
      <c r="DL129" t="s">
        <v>3</v>
      </c>
      <c r="DM129">
        <v>0</v>
      </c>
      <c r="DN129" t="s">
        <v>3</v>
      </c>
      <c r="DO129">
        <v>0</v>
      </c>
    </row>
    <row r="130" spans="1:119" x14ac:dyDescent="0.2">
      <c r="A130">
        <f>ROW(Source!A100)</f>
        <v>100</v>
      </c>
      <c r="B130">
        <v>73953415</v>
      </c>
      <c r="C130">
        <v>73954015</v>
      </c>
      <c r="D130">
        <v>70491023</v>
      </c>
      <c r="E130">
        <v>118</v>
      </c>
      <c r="F130">
        <v>1</v>
      </c>
      <c r="G130">
        <v>1</v>
      </c>
      <c r="H130">
        <v>1</v>
      </c>
      <c r="I130" t="s">
        <v>541</v>
      </c>
      <c r="J130" t="s">
        <v>3</v>
      </c>
      <c r="K130" t="s">
        <v>542</v>
      </c>
      <c r="L130">
        <v>1191</v>
      </c>
      <c r="N130">
        <v>1013</v>
      </c>
      <c r="O130" t="s">
        <v>359</v>
      </c>
      <c r="P130" t="s">
        <v>359</v>
      </c>
      <c r="Q130">
        <v>1</v>
      </c>
      <c r="W130">
        <v>0</v>
      </c>
      <c r="X130">
        <v>888410196</v>
      </c>
      <c r="Y130">
        <f t="shared" si="50"/>
        <v>14</v>
      </c>
      <c r="AA130">
        <v>0</v>
      </c>
      <c r="AB130">
        <v>0</v>
      </c>
      <c r="AC130">
        <v>0</v>
      </c>
      <c r="AD130">
        <v>400.24</v>
      </c>
      <c r="AE130">
        <v>0</v>
      </c>
      <c r="AF130">
        <v>0</v>
      </c>
      <c r="AG130">
        <v>0</v>
      </c>
      <c r="AH130">
        <v>400.24</v>
      </c>
      <c r="AI130">
        <v>1</v>
      </c>
      <c r="AJ130">
        <v>1</v>
      </c>
      <c r="AK130">
        <v>1</v>
      </c>
      <c r="AL130">
        <v>1</v>
      </c>
      <c r="AM130">
        <v>-2</v>
      </c>
      <c r="AN130">
        <v>0</v>
      </c>
      <c r="AO130">
        <v>0</v>
      </c>
      <c r="AP130">
        <v>0</v>
      </c>
      <c r="AQ130">
        <v>1</v>
      </c>
      <c r="AR130">
        <v>0</v>
      </c>
      <c r="AS130" t="s">
        <v>3</v>
      </c>
      <c r="AT130">
        <v>14</v>
      </c>
      <c r="AU130" t="s">
        <v>3</v>
      </c>
      <c r="AV130">
        <v>1</v>
      </c>
      <c r="AW130">
        <v>2</v>
      </c>
      <c r="AX130">
        <v>73954020</v>
      </c>
      <c r="AY130">
        <v>2</v>
      </c>
      <c r="AZ130">
        <v>131072</v>
      </c>
      <c r="BA130">
        <v>142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5603.3600000000006</v>
      </c>
      <c r="BN130">
        <v>14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5603.3600000000006</v>
      </c>
      <c r="BU130">
        <v>14</v>
      </c>
      <c r="BV130">
        <v>0</v>
      </c>
      <c r="BW130">
        <v>1</v>
      </c>
      <c r="CU130">
        <f>ROUND(AT130*Source!I100*AH130*AL130,2)</f>
        <v>5603.36</v>
      </c>
      <c r="CV130">
        <f>ROUND(Y130*Source!I100,7)</f>
        <v>14</v>
      </c>
      <c r="CW130">
        <v>0</v>
      </c>
      <c r="CX130">
        <f>ROUND(Y130*Source!I100,7)</f>
        <v>14</v>
      </c>
      <c r="CY130">
        <f>AD130</f>
        <v>400.24</v>
      </c>
      <c r="CZ130">
        <f>AH130</f>
        <v>400.24</v>
      </c>
      <c r="DA130">
        <f>AL130</f>
        <v>1</v>
      </c>
      <c r="DB130">
        <f t="shared" si="51"/>
        <v>5603.36</v>
      </c>
      <c r="DC130">
        <f t="shared" si="52"/>
        <v>0</v>
      </c>
      <c r="DD130" t="s">
        <v>3</v>
      </c>
      <c r="DE130" t="s">
        <v>3</v>
      </c>
      <c r="DF130">
        <f>ROUND(ROUND(AE130,2)*CX130,2)</f>
        <v>0</v>
      </c>
      <c r="DG130">
        <f>ROUND(ROUND(AF130,2)*CX130,2)</f>
        <v>0</v>
      </c>
      <c r="DH130">
        <f t="shared" si="53"/>
        <v>0</v>
      </c>
      <c r="DI130">
        <f t="shared" si="54"/>
        <v>5603.36</v>
      </c>
      <c r="DJ130">
        <f>DI130</f>
        <v>5603.36</v>
      </c>
      <c r="DK130">
        <v>1</v>
      </c>
      <c r="DL130" t="s">
        <v>3</v>
      </c>
      <c r="DM130">
        <v>0</v>
      </c>
      <c r="DN130" t="s">
        <v>3</v>
      </c>
      <c r="DO130">
        <v>0</v>
      </c>
    </row>
    <row r="131" spans="1:119" x14ac:dyDescent="0.2">
      <c r="A131">
        <f>ROW(Source!A100)</f>
        <v>100</v>
      </c>
      <c r="B131">
        <v>73953415</v>
      </c>
      <c r="C131">
        <v>73954015</v>
      </c>
      <c r="D131">
        <v>70491200</v>
      </c>
      <c r="E131">
        <v>118</v>
      </c>
      <c r="F131">
        <v>1</v>
      </c>
      <c r="G131">
        <v>1</v>
      </c>
      <c r="H131">
        <v>1</v>
      </c>
      <c r="I131" t="s">
        <v>357</v>
      </c>
      <c r="J131" t="s">
        <v>3</v>
      </c>
      <c r="K131" t="s">
        <v>358</v>
      </c>
      <c r="L131">
        <v>1191</v>
      </c>
      <c r="N131">
        <v>1013</v>
      </c>
      <c r="O131" t="s">
        <v>359</v>
      </c>
      <c r="P131" t="s">
        <v>359</v>
      </c>
      <c r="Q131">
        <v>1</v>
      </c>
      <c r="W131">
        <v>0</v>
      </c>
      <c r="X131">
        <v>-1417349443</v>
      </c>
      <c r="Y131">
        <f t="shared" si="50"/>
        <v>9.8000000000000007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1</v>
      </c>
      <c r="AK131">
        <v>1</v>
      </c>
      <c r="AL131">
        <v>1</v>
      </c>
      <c r="AM131">
        <v>-2</v>
      </c>
      <c r="AN131">
        <v>0</v>
      </c>
      <c r="AO131">
        <v>0</v>
      </c>
      <c r="AP131">
        <v>0</v>
      </c>
      <c r="AQ131">
        <v>1</v>
      </c>
      <c r="AR131">
        <v>0</v>
      </c>
      <c r="AS131" t="s">
        <v>3</v>
      </c>
      <c r="AT131">
        <v>9.8000000000000007</v>
      </c>
      <c r="AU131" t="s">
        <v>3</v>
      </c>
      <c r="AV131">
        <v>2</v>
      </c>
      <c r="AW131">
        <v>2</v>
      </c>
      <c r="AX131">
        <v>73954021</v>
      </c>
      <c r="AY131">
        <v>1</v>
      </c>
      <c r="AZ131">
        <v>0</v>
      </c>
      <c r="BA131">
        <v>143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CV131">
        <v>0</v>
      </c>
      <c r="CW131">
        <v>0</v>
      </c>
      <c r="CX131">
        <f>ROUND(Y131*Source!I100,7)</f>
        <v>9.8000000000000007</v>
      </c>
      <c r="CY131">
        <f>AD131</f>
        <v>0</v>
      </c>
      <c r="CZ131">
        <f>AH131</f>
        <v>0</v>
      </c>
      <c r="DA131">
        <f>AL131</f>
        <v>1</v>
      </c>
      <c r="DB131">
        <f t="shared" si="51"/>
        <v>0</v>
      </c>
      <c r="DC131">
        <f t="shared" si="52"/>
        <v>0</v>
      </c>
      <c r="DD131" t="s">
        <v>3</v>
      </c>
      <c r="DE131" t="s">
        <v>3</v>
      </c>
      <c r="DF131">
        <f>ROUND(ROUND(AE131,2)*CX131,2)</f>
        <v>0</v>
      </c>
      <c r="DG131">
        <f>ROUND(ROUND(AF131,2)*CX131,2)</f>
        <v>0</v>
      </c>
      <c r="DH131">
        <f t="shared" si="53"/>
        <v>0</v>
      </c>
      <c r="DI131">
        <f t="shared" si="54"/>
        <v>0</v>
      </c>
      <c r="DJ131">
        <f>DI131</f>
        <v>0</v>
      </c>
      <c r="DK131">
        <v>0</v>
      </c>
      <c r="DL131" t="s">
        <v>3</v>
      </c>
      <c r="DM131">
        <v>0</v>
      </c>
      <c r="DN131" t="s">
        <v>3</v>
      </c>
      <c r="DO131">
        <v>0</v>
      </c>
    </row>
    <row r="132" spans="1:119" x14ac:dyDescent="0.2">
      <c r="A132">
        <f>ROW(Source!A100)</f>
        <v>100</v>
      </c>
      <c r="B132">
        <v>73953415</v>
      </c>
      <c r="C132">
        <v>73954015</v>
      </c>
      <c r="D132">
        <v>70618538</v>
      </c>
      <c r="E132">
        <v>1</v>
      </c>
      <c r="F132">
        <v>1</v>
      </c>
      <c r="G132">
        <v>1</v>
      </c>
      <c r="H132">
        <v>2</v>
      </c>
      <c r="I132" t="s">
        <v>551</v>
      </c>
      <c r="J132" t="s">
        <v>552</v>
      </c>
      <c r="K132" t="s">
        <v>553</v>
      </c>
      <c r="L132">
        <v>1368</v>
      </c>
      <c r="N132">
        <v>1011</v>
      </c>
      <c r="O132" t="s">
        <v>363</v>
      </c>
      <c r="P132" t="s">
        <v>363</v>
      </c>
      <c r="Q132">
        <v>1</v>
      </c>
      <c r="W132">
        <v>0</v>
      </c>
      <c r="X132">
        <v>-1551494488</v>
      </c>
      <c r="Y132">
        <f t="shared" si="50"/>
        <v>2.8</v>
      </c>
      <c r="AA132">
        <v>0</v>
      </c>
      <c r="AB132">
        <v>1595.78</v>
      </c>
      <c r="AC132">
        <v>537.64</v>
      </c>
      <c r="AD132">
        <v>0</v>
      </c>
      <c r="AE132">
        <v>0</v>
      </c>
      <c r="AF132">
        <v>1070.99</v>
      </c>
      <c r="AG132">
        <v>537.64</v>
      </c>
      <c r="AH132">
        <v>0</v>
      </c>
      <c r="AI132">
        <v>1</v>
      </c>
      <c r="AJ132">
        <v>1.49</v>
      </c>
      <c r="AK132">
        <v>1</v>
      </c>
      <c r="AL132">
        <v>1</v>
      </c>
      <c r="AM132">
        <v>2</v>
      </c>
      <c r="AN132">
        <v>0</v>
      </c>
      <c r="AO132">
        <v>0</v>
      </c>
      <c r="AP132">
        <v>0</v>
      </c>
      <c r="AQ132">
        <v>1</v>
      </c>
      <c r="AR132">
        <v>0</v>
      </c>
      <c r="AS132" t="s">
        <v>3</v>
      </c>
      <c r="AT132">
        <v>2.8</v>
      </c>
      <c r="AU132" t="s">
        <v>3</v>
      </c>
      <c r="AV132">
        <v>1</v>
      </c>
      <c r="AW132">
        <v>2</v>
      </c>
      <c r="AX132">
        <v>73954022</v>
      </c>
      <c r="AY132">
        <v>2</v>
      </c>
      <c r="AZ132">
        <v>98304</v>
      </c>
      <c r="BA132">
        <v>144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2998.7719999999999</v>
      </c>
      <c r="BL132">
        <v>1505.3919999999998</v>
      </c>
      <c r="BM132">
        <v>0</v>
      </c>
      <c r="BN132">
        <v>0</v>
      </c>
      <c r="BO132">
        <v>2.8</v>
      </c>
      <c r="BP132">
        <v>1</v>
      </c>
      <c r="BQ132">
        <v>0</v>
      </c>
      <c r="BR132">
        <v>2998.7719999999999</v>
      </c>
      <c r="BS132">
        <v>1505.3919999999998</v>
      </c>
      <c r="BT132">
        <v>0</v>
      </c>
      <c r="BU132">
        <v>0</v>
      </c>
      <c r="BV132">
        <v>2.8</v>
      </c>
      <c r="BW132">
        <v>1</v>
      </c>
      <c r="CV132">
        <v>0</v>
      </c>
      <c r="CW132">
        <f>ROUND(Y132*Source!I100*DO132,7)</f>
        <v>2.8</v>
      </c>
      <c r="CX132">
        <f>ROUND(Y132*Source!I100,7)</f>
        <v>2.8</v>
      </c>
      <c r="CY132">
        <f>AB132</f>
        <v>1595.78</v>
      </c>
      <c r="CZ132">
        <f>AF132</f>
        <v>1070.99</v>
      </c>
      <c r="DA132">
        <f>AJ132</f>
        <v>1.49</v>
      </c>
      <c r="DB132">
        <f t="shared" si="51"/>
        <v>2998.77</v>
      </c>
      <c r="DC132">
        <f t="shared" si="52"/>
        <v>1505.39</v>
      </c>
      <c r="DD132" t="s">
        <v>3</v>
      </c>
      <c r="DE132" t="s">
        <v>3</v>
      </c>
      <c r="DF132">
        <f>ROUND(ROUND(AE132,2)*CX132,2)</f>
        <v>0</v>
      </c>
      <c r="DG132">
        <f>ROUND(ROUND(AF132*AJ132,2)*CX132,2)</f>
        <v>4468.18</v>
      </c>
      <c r="DH132">
        <f t="shared" si="53"/>
        <v>1505.39</v>
      </c>
      <c r="DI132">
        <f t="shared" si="54"/>
        <v>0</v>
      </c>
      <c r="DJ132">
        <f>DG132+DH132</f>
        <v>5973.5700000000006</v>
      </c>
      <c r="DK132">
        <v>0</v>
      </c>
      <c r="DL132" t="s">
        <v>364</v>
      </c>
      <c r="DM132">
        <v>6</v>
      </c>
      <c r="DN132" t="s">
        <v>359</v>
      </c>
      <c r="DO132">
        <v>1</v>
      </c>
    </row>
    <row r="133" spans="1:119" x14ac:dyDescent="0.2">
      <c r="A133">
        <f>ROW(Source!A100)</f>
        <v>100</v>
      </c>
      <c r="B133">
        <v>73953415</v>
      </c>
      <c r="C133">
        <v>73954015</v>
      </c>
      <c r="D133">
        <v>70618767</v>
      </c>
      <c r="E133">
        <v>1</v>
      </c>
      <c r="F133">
        <v>1</v>
      </c>
      <c r="G133">
        <v>1</v>
      </c>
      <c r="H133">
        <v>2</v>
      </c>
      <c r="I133" t="s">
        <v>397</v>
      </c>
      <c r="J133" t="s">
        <v>398</v>
      </c>
      <c r="K133" t="s">
        <v>399</v>
      </c>
      <c r="L133">
        <v>1368</v>
      </c>
      <c r="N133">
        <v>1011</v>
      </c>
      <c r="O133" t="s">
        <v>363</v>
      </c>
      <c r="P133" t="s">
        <v>363</v>
      </c>
      <c r="Q133">
        <v>1</v>
      </c>
      <c r="W133">
        <v>0</v>
      </c>
      <c r="X133">
        <v>1818041354</v>
      </c>
      <c r="Y133">
        <f t="shared" si="50"/>
        <v>7</v>
      </c>
      <c r="AA133">
        <v>0</v>
      </c>
      <c r="AB133">
        <v>417.12</v>
      </c>
      <c r="AC133">
        <v>400.24</v>
      </c>
      <c r="AD133">
        <v>0</v>
      </c>
      <c r="AE133">
        <v>0</v>
      </c>
      <c r="AF133">
        <v>417.12</v>
      </c>
      <c r="AG133">
        <v>400.24</v>
      </c>
      <c r="AH133">
        <v>0</v>
      </c>
      <c r="AI133">
        <v>1</v>
      </c>
      <c r="AJ133">
        <v>1</v>
      </c>
      <c r="AK133">
        <v>1</v>
      </c>
      <c r="AL133">
        <v>1</v>
      </c>
      <c r="AM133">
        <v>-2</v>
      </c>
      <c r="AN133">
        <v>0</v>
      </c>
      <c r="AO133">
        <v>0</v>
      </c>
      <c r="AP133">
        <v>0</v>
      </c>
      <c r="AQ133">
        <v>1</v>
      </c>
      <c r="AR133">
        <v>0</v>
      </c>
      <c r="AS133" t="s">
        <v>3</v>
      </c>
      <c r="AT133">
        <v>7</v>
      </c>
      <c r="AU133" t="s">
        <v>3</v>
      </c>
      <c r="AV133">
        <v>1</v>
      </c>
      <c r="AW133">
        <v>2</v>
      </c>
      <c r="AX133">
        <v>73954023</v>
      </c>
      <c r="AY133">
        <v>2</v>
      </c>
      <c r="AZ133">
        <v>98304</v>
      </c>
      <c r="BA133">
        <v>145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2919.84</v>
      </c>
      <c r="BL133">
        <v>2801.6800000000003</v>
      </c>
      <c r="BM133">
        <v>0</v>
      </c>
      <c r="BN133">
        <v>0</v>
      </c>
      <c r="BO133">
        <v>7</v>
      </c>
      <c r="BP133">
        <v>1</v>
      </c>
      <c r="BQ133">
        <v>0</v>
      </c>
      <c r="BR133">
        <v>2919.84</v>
      </c>
      <c r="BS133">
        <v>2801.6800000000003</v>
      </c>
      <c r="BT133">
        <v>0</v>
      </c>
      <c r="BU133">
        <v>0</v>
      </c>
      <c r="BV133">
        <v>7</v>
      </c>
      <c r="BW133">
        <v>1</v>
      </c>
      <c r="CV133">
        <v>0</v>
      </c>
      <c r="CW133">
        <f>ROUND(Y133*Source!I100*DO133,7)</f>
        <v>7</v>
      </c>
      <c r="CX133">
        <f>ROUND(Y133*Source!I100,7)</f>
        <v>7</v>
      </c>
      <c r="CY133">
        <f>AB133</f>
        <v>417.12</v>
      </c>
      <c r="CZ133">
        <f>AF133</f>
        <v>417.12</v>
      </c>
      <c r="DA133">
        <f>AJ133</f>
        <v>1</v>
      </c>
      <c r="DB133">
        <f t="shared" si="51"/>
        <v>2919.84</v>
      </c>
      <c r="DC133">
        <f t="shared" si="52"/>
        <v>2801.68</v>
      </c>
      <c r="DD133" t="s">
        <v>3</v>
      </c>
      <c r="DE133" t="s">
        <v>3</v>
      </c>
      <c r="DF133">
        <f>ROUND(ROUND(AE133,2)*CX133,2)</f>
        <v>0</v>
      </c>
      <c r="DG133">
        <f>ROUND(ROUND(AF133,2)*CX133,2)</f>
        <v>2919.84</v>
      </c>
      <c r="DH133">
        <f t="shared" si="53"/>
        <v>2801.68</v>
      </c>
      <c r="DI133">
        <f t="shared" si="54"/>
        <v>0</v>
      </c>
      <c r="DJ133">
        <f>DG133+DH133</f>
        <v>5721.52</v>
      </c>
      <c r="DK133">
        <v>1</v>
      </c>
      <c r="DL133" t="s">
        <v>400</v>
      </c>
      <c r="DM133">
        <v>4</v>
      </c>
      <c r="DN133" t="s">
        <v>359</v>
      </c>
      <c r="DO133">
        <v>1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5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ROW(Source!A28)</f>
        <v>28</v>
      </c>
      <c r="B1">
        <v>73953715</v>
      </c>
      <c r="C1">
        <v>73953712</v>
      </c>
      <c r="D1">
        <v>72518826</v>
      </c>
      <c r="E1">
        <v>119</v>
      </c>
      <c r="F1">
        <v>1</v>
      </c>
      <c r="G1">
        <v>1</v>
      </c>
      <c r="H1">
        <v>1</v>
      </c>
      <c r="I1" t="s">
        <v>357</v>
      </c>
      <c r="J1" t="s">
        <v>3</v>
      </c>
      <c r="K1" t="s">
        <v>358</v>
      </c>
      <c r="L1">
        <v>1191</v>
      </c>
      <c r="N1">
        <v>1013</v>
      </c>
      <c r="O1" t="s">
        <v>359</v>
      </c>
      <c r="P1" t="s">
        <v>359</v>
      </c>
      <c r="Q1">
        <v>1</v>
      </c>
      <c r="X1">
        <v>25.5</v>
      </c>
      <c r="Y1">
        <v>0</v>
      </c>
      <c r="Z1">
        <v>0</v>
      </c>
      <c r="AA1">
        <v>0</v>
      </c>
      <c r="AB1">
        <v>0</v>
      </c>
      <c r="AC1">
        <v>0</v>
      </c>
      <c r="AD1">
        <v>1</v>
      </c>
      <c r="AE1">
        <v>2</v>
      </c>
      <c r="AF1" t="s">
        <v>3</v>
      </c>
      <c r="AG1">
        <v>25.5</v>
      </c>
      <c r="AH1">
        <v>2</v>
      </c>
      <c r="AI1">
        <v>73953713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ROW(Source!A28)</f>
        <v>28</v>
      </c>
      <c r="B2">
        <v>73953716</v>
      </c>
      <c r="C2">
        <v>73953712</v>
      </c>
      <c r="D2">
        <v>72645652</v>
      </c>
      <c r="E2">
        <v>1</v>
      </c>
      <c r="F2">
        <v>1</v>
      </c>
      <c r="G2">
        <v>1</v>
      </c>
      <c r="H2">
        <v>2</v>
      </c>
      <c r="I2" t="s">
        <v>360</v>
      </c>
      <c r="J2" t="s">
        <v>361</v>
      </c>
      <c r="K2" t="s">
        <v>362</v>
      </c>
      <c r="L2">
        <v>1368</v>
      </c>
      <c r="N2">
        <v>1011</v>
      </c>
      <c r="O2" t="s">
        <v>363</v>
      </c>
      <c r="P2" t="s">
        <v>363</v>
      </c>
      <c r="Q2">
        <v>1</v>
      </c>
      <c r="X2">
        <v>25.5</v>
      </c>
      <c r="Y2">
        <v>0</v>
      </c>
      <c r="Z2">
        <v>1054.03</v>
      </c>
      <c r="AA2">
        <v>537.64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25.5</v>
      </c>
      <c r="AH2">
        <v>2</v>
      </c>
      <c r="AI2">
        <v>73953714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ROW(Source!A29)</f>
        <v>29</v>
      </c>
      <c r="B3">
        <v>73953719</v>
      </c>
      <c r="C3">
        <v>73953717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365</v>
      </c>
      <c r="J3" t="s">
        <v>3</v>
      </c>
      <c r="K3" t="s">
        <v>366</v>
      </c>
      <c r="L3">
        <v>1191</v>
      </c>
      <c r="N3">
        <v>1013</v>
      </c>
      <c r="O3" t="s">
        <v>359</v>
      </c>
      <c r="P3" t="s">
        <v>359</v>
      </c>
      <c r="Q3">
        <v>1</v>
      </c>
      <c r="X3">
        <v>154</v>
      </c>
      <c r="Y3">
        <v>0</v>
      </c>
      <c r="Z3">
        <v>0</v>
      </c>
      <c r="AA3">
        <v>0</v>
      </c>
      <c r="AB3">
        <v>325.57</v>
      </c>
      <c r="AC3">
        <v>0</v>
      </c>
      <c r="AD3">
        <v>1</v>
      </c>
      <c r="AE3">
        <v>1</v>
      </c>
      <c r="AF3" t="s">
        <v>3</v>
      </c>
      <c r="AG3">
        <v>154</v>
      </c>
      <c r="AH3">
        <v>2</v>
      </c>
      <c r="AI3">
        <v>73953718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ROW(Source!A30)</f>
        <v>30</v>
      </c>
      <c r="B4">
        <v>73954659</v>
      </c>
      <c r="C4">
        <v>73953720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367</v>
      </c>
      <c r="J4" t="s">
        <v>3</v>
      </c>
      <c r="K4" t="s">
        <v>368</v>
      </c>
      <c r="L4">
        <v>1191</v>
      </c>
      <c r="N4">
        <v>1013</v>
      </c>
      <c r="O4" t="s">
        <v>359</v>
      </c>
      <c r="P4" t="s">
        <v>359</v>
      </c>
      <c r="Q4">
        <v>1</v>
      </c>
      <c r="X4">
        <v>10.199999999999999</v>
      </c>
      <c r="Y4">
        <v>0</v>
      </c>
      <c r="Z4">
        <v>0</v>
      </c>
      <c r="AA4">
        <v>0</v>
      </c>
      <c r="AB4">
        <v>340.51</v>
      </c>
      <c r="AC4">
        <v>0</v>
      </c>
      <c r="AD4">
        <v>1</v>
      </c>
      <c r="AE4">
        <v>1</v>
      </c>
      <c r="AF4" t="s">
        <v>3</v>
      </c>
      <c r="AG4">
        <v>10.199999999999999</v>
      </c>
      <c r="AH4">
        <v>2</v>
      </c>
      <c r="AI4">
        <v>73954659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ROW(Source!A30)</f>
        <v>30</v>
      </c>
      <c r="B5">
        <v>73954660</v>
      </c>
      <c r="C5">
        <v>73953720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357</v>
      </c>
      <c r="J5" t="s">
        <v>3</v>
      </c>
      <c r="K5" t="s">
        <v>358</v>
      </c>
      <c r="L5">
        <v>1191</v>
      </c>
      <c r="N5">
        <v>1013</v>
      </c>
      <c r="O5" t="s">
        <v>359</v>
      </c>
      <c r="P5" t="s">
        <v>359</v>
      </c>
      <c r="Q5">
        <v>1</v>
      </c>
      <c r="X5">
        <v>0.32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  <c r="AF5" t="s">
        <v>3</v>
      </c>
      <c r="AG5">
        <v>0.32</v>
      </c>
      <c r="AH5">
        <v>2</v>
      </c>
      <c r="AI5">
        <v>73954660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ROW(Source!A30)</f>
        <v>30</v>
      </c>
      <c r="B6">
        <v>73954661</v>
      </c>
      <c r="C6">
        <v>73953720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369</v>
      </c>
      <c r="J6" t="s">
        <v>370</v>
      </c>
      <c r="K6" t="s">
        <v>371</v>
      </c>
      <c r="L6">
        <v>1368</v>
      </c>
      <c r="N6">
        <v>1011</v>
      </c>
      <c r="O6" t="s">
        <v>363</v>
      </c>
      <c r="P6" t="s">
        <v>363</v>
      </c>
      <c r="Q6">
        <v>1</v>
      </c>
      <c r="X6">
        <v>0.32</v>
      </c>
      <c r="Y6">
        <v>0</v>
      </c>
      <c r="Z6">
        <v>1681.82</v>
      </c>
      <c r="AA6">
        <v>459.98</v>
      </c>
      <c r="AB6">
        <v>0</v>
      </c>
      <c r="AC6">
        <v>0</v>
      </c>
      <c r="AD6">
        <v>1</v>
      </c>
      <c r="AE6">
        <v>0</v>
      </c>
      <c r="AF6" t="s">
        <v>3</v>
      </c>
      <c r="AG6">
        <v>0.32</v>
      </c>
      <c r="AH6">
        <v>2</v>
      </c>
      <c r="AI6">
        <v>73954661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ROW(Source!A30)</f>
        <v>30</v>
      </c>
      <c r="B7">
        <v>73954662</v>
      </c>
      <c r="C7">
        <v>73953720</v>
      </c>
      <c r="D7">
        <v>72519898</v>
      </c>
      <c r="E7">
        <v>119</v>
      </c>
      <c r="F7">
        <v>1</v>
      </c>
      <c r="G7">
        <v>1</v>
      </c>
      <c r="H7">
        <v>3</v>
      </c>
      <c r="I7" t="s">
        <v>554</v>
      </c>
      <c r="J7" t="s">
        <v>3</v>
      </c>
      <c r="K7" t="s">
        <v>555</v>
      </c>
      <c r="L7">
        <v>1339</v>
      </c>
      <c r="N7">
        <v>1007</v>
      </c>
      <c r="O7" t="s">
        <v>48</v>
      </c>
      <c r="P7" t="s">
        <v>48</v>
      </c>
      <c r="Q7">
        <v>1</v>
      </c>
      <c r="X7">
        <v>11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 t="s">
        <v>3</v>
      </c>
      <c r="AG7">
        <v>11</v>
      </c>
      <c r="AH7">
        <v>3</v>
      </c>
      <c r="AI7">
        <v>-1</v>
      </c>
      <c r="AJ7" t="s">
        <v>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ROW(Source!A32)</f>
        <v>32</v>
      </c>
      <c r="B8">
        <v>73953732</v>
      </c>
      <c r="C8">
        <v>73953729</v>
      </c>
      <c r="D8">
        <v>72518826</v>
      </c>
      <c r="E8">
        <v>119</v>
      </c>
      <c r="F8">
        <v>1</v>
      </c>
      <c r="G8">
        <v>1</v>
      </c>
      <c r="H8">
        <v>1</v>
      </c>
      <c r="I8" t="s">
        <v>357</v>
      </c>
      <c r="J8" t="s">
        <v>3</v>
      </c>
      <c r="K8" t="s">
        <v>358</v>
      </c>
      <c r="L8">
        <v>1191</v>
      </c>
      <c r="N8">
        <v>1013</v>
      </c>
      <c r="O8" t="s">
        <v>359</v>
      </c>
      <c r="P8" t="s">
        <v>359</v>
      </c>
      <c r="Q8">
        <v>1</v>
      </c>
      <c r="X8">
        <v>8.06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 t="s">
        <v>3</v>
      </c>
      <c r="AG8">
        <v>8.06</v>
      </c>
      <c r="AH8">
        <v>2</v>
      </c>
      <c r="AI8">
        <v>73953730</v>
      </c>
      <c r="AJ8">
        <v>8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ROW(Source!A32)</f>
        <v>32</v>
      </c>
      <c r="B9">
        <v>73953733</v>
      </c>
      <c r="C9">
        <v>73953729</v>
      </c>
      <c r="D9">
        <v>72645603</v>
      </c>
      <c r="E9">
        <v>1</v>
      </c>
      <c r="F9">
        <v>1</v>
      </c>
      <c r="G9">
        <v>1</v>
      </c>
      <c r="H9">
        <v>2</v>
      </c>
      <c r="I9" t="s">
        <v>373</v>
      </c>
      <c r="J9" t="s">
        <v>374</v>
      </c>
      <c r="K9" t="s">
        <v>375</v>
      </c>
      <c r="L9">
        <v>1368</v>
      </c>
      <c r="N9">
        <v>1011</v>
      </c>
      <c r="O9" t="s">
        <v>363</v>
      </c>
      <c r="P9" t="s">
        <v>363</v>
      </c>
      <c r="Q9">
        <v>1</v>
      </c>
      <c r="X9">
        <v>8.06</v>
      </c>
      <c r="Y9">
        <v>0</v>
      </c>
      <c r="Z9">
        <v>828.16</v>
      </c>
      <c r="AA9">
        <v>459.98</v>
      </c>
      <c r="AB9">
        <v>0</v>
      </c>
      <c r="AC9">
        <v>0</v>
      </c>
      <c r="AD9">
        <v>1</v>
      </c>
      <c r="AE9">
        <v>0</v>
      </c>
      <c r="AF9" t="s">
        <v>3</v>
      </c>
      <c r="AG9">
        <v>8.06</v>
      </c>
      <c r="AH9">
        <v>2</v>
      </c>
      <c r="AI9">
        <v>73953731</v>
      </c>
      <c r="AJ9">
        <v>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ROW(Source!A33)</f>
        <v>33</v>
      </c>
      <c r="B10">
        <v>73953736</v>
      </c>
      <c r="C10">
        <v>73953734</v>
      </c>
      <c r="D10">
        <v>72518582</v>
      </c>
      <c r="E10">
        <v>119</v>
      </c>
      <c r="F10">
        <v>1</v>
      </c>
      <c r="G10">
        <v>1</v>
      </c>
      <c r="H10">
        <v>1</v>
      </c>
      <c r="I10" t="s">
        <v>376</v>
      </c>
      <c r="J10" t="s">
        <v>3</v>
      </c>
      <c r="K10" t="s">
        <v>377</v>
      </c>
      <c r="L10">
        <v>1191</v>
      </c>
      <c r="N10">
        <v>1013</v>
      </c>
      <c r="O10" t="s">
        <v>359</v>
      </c>
      <c r="P10" t="s">
        <v>359</v>
      </c>
      <c r="Q10">
        <v>1</v>
      </c>
      <c r="X10">
        <v>97.2</v>
      </c>
      <c r="Y10">
        <v>0</v>
      </c>
      <c r="Z10">
        <v>0</v>
      </c>
      <c r="AA10">
        <v>0</v>
      </c>
      <c r="AB10">
        <v>312.13</v>
      </c>
      <c r="AC10">
        <v>0</v>
      </c>
      <c r="AD10">
        <v>1</v>
      </c>
      <c r="AE10">
        <v>1</v>
      </c>
      <c r="AF10" t="s">
        <v>3</v>
      </c>
      <c r="AG10">
        <v>97.2</v>
      </c>
      <c r="AH10">
        <v>2</v>
      </c>
      <c r="AI10">
        <v>73953735</v>
      </c>
      <c r="AJ10">
        <v>10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ROW(Source!A69)</f>
        <v>69</v>
      </c>
      <c r="B11">
        <v>73953742</v>
      </c>
      <c r="C11">
        <v>73953737</v>
      </c>
      <c r="D11">
        <v>72518673</v>
      </c>
      <c r="E11">
        <v>119</v>
      </c>
      <c r="F11">
        <v>1</v>
      </c>
      <c r="G11">
        <v>1</v>
      </c>
      <c r="H11">
        <v>1</v>
      </c>
      <c r="I11" t="s">
        <v>378</v>
      </c>
      <c r="J11" t="s">
        <v>3</v>
      </c>
      <c r="K11" t="s">
        <v>379</v>
      </c>
      <c r="L11">
        <v>1191</v>
      </c>
      <c r="N11">
        <v>1013</v>
      </c>
      <c r="O11" t="s">
        <v>359</v>
      </c>
      <c r="P11" t="s">
        <v>359</v>
      </c>
      <c r="Q11">
        <v>1</v>
      </c>
      <c r="X11">
        <v>5.7</v>
      </c>
      <c r="Y11">
        <v>0</v>
      </c>
      <c r="Z11">
        <v>0</v>
      </c>
      <c r="AA11">
        <v>0</v>
      </c>
      <c r="AB11">
        <v>442.06</v>
      </c>
      <c r="AC11">
        <v>0</v>
      </c>
      <c r="AD11">
        <v>1</v>
      </c>
      <c r="AE11">
        <v>1</v>
      </c>
      <c r="AF11" t="s">
        <v>3</v>
      </c>
      <c r="AG11">
        <v>5.7</v>
      </c>
      <c r="AH11">
        <v>2</v>
      </c>
      <c r="AI11">
        <v>73953738</v>
      </c>
      <c r="AJ11">
        <v>11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ROW(Source!A69)</f>
        <v>69</v>
      </c>
      <c r="B12">
        <v>73953743</v>
      </c>
      <c r="C12">
        <v>73953737</v>
      </c>
      <c r="D12">
        <v>72646149</v>
      </c>
      <c r="E12">
        <v>1</v>
      </c>
      <c r="F12">
        <v>1</v>
      </c>
      <c r="G12">
        <v>1</v>
      </c>
      <c r="H12">
        <v>2</v>
      </c>
      <c r="I12" t="s">
        <v>380</v>
      </c>
      <c r="J12" t="s">
        <v>381</v>
      </c>
      <c r="K12" t="s">
        <v>382</v>
      </c>
      <c r="L12">
        <v>1368</v>
      </c>
      <c r="N12">
        <v>1011</v>
      </c>
      <c r="O12" t="s">
        <v>363</v>
      </c>
      <c r="P12" t="s">
        <v>363</v>
      </c>
      <c r="Q12">
        <v>1</v>
      </c>
      <c r="X12">
        <v>0.9</v>
      </c>
      <c r="Y12">
        <v>0</v>
      </c>
      <c r="Z12">
        <v>345.9</v>
      </c>
      <c r="AA12">
        <v>0</v>
      </c>
      <c r="AB12">
        <v>0</v>
      </c>
      <c r="AC12">
        <v>0</v>
      </c>
      <c r="AD12">
        <v>1</v>
      </c>
      <c r="AE12">
        <v>0</v>
      </c>
      <c r="AF12" t="s">
        <v>3</v>
      </c>
      <c r="AG12">
        <v>0.9</v>
      </c>
      <c r="AH12">
        <v>2</v>
      </c>
      <c r="AI12">
        <v>73953739</v>
      </c>
      <c r="AJ12">
        <v>12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ROW(Source!A69)</f>
        <v>69</v>
      </c>
      <c r="B13">
        <v>73953744</v>
      </c>
      <c r="C13">
        <v>73953737</v>
      </c>
      <c r="D13">
        <v>72646970</v>
      </c>
      <c r="E13">
        <v>1</v>
      </c>
      <c r="F13">
        <v>1</v>
      </c>
      <c r="G13">
        <v>1</v>
      </c>
      <c r="H13">
        <v>2</v>
      </c>
      <c r="I13" t="s">
        <v>383</v>
      </c>
      <c r="J13" t="s">
        <v>384</v>
      </c>
      <c r="K13" t="s">
        <v>385</v>
      </c>
      <c r="L13">
        <v>1368</v>
      </c>
      <c r="N13">
        <v>1011</v>
      </c>
      <c r="O13" t="s">
        <v>363</v>
      </c>
      <c r="P13" t="s">
        <v>363</v>
      </c>
      <c r="Q13">
        <v>1</v>
      </c>
      <c r="X13">
        <v>0.48</v>
      </c>
      <c r="Y13">
        <v>0</v>
      </c>
      <c r="Z13">
        <v>27.13</v>
      </c>
      <c r="AA13">
        <v>0</v>
      </c>
      <c r="AB13">
        <v>0</v>
      </c>
      <c r="AC13">
        <v>0</v>
      </c>
      <c r="AD13">
        <v>1</v>
      </c>
      <c r="AE13">
        <v>0</v>
      </c>
      <c r="AF13" t="s">
        <v>3</v>
      </c>
      <c r="AG13">
        <v>0.48</v>
      </c>
      <c r="AH13">
        <v>2</v>
      </c>
      <c r="AI13">
        <v>73953740</v>
      </c>
      <c r="AJ13">
        <v>13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ROW(Source!A69)</f>
        <v>69</v>
      </c>
      <c r="B14">
        <v>73953745</v>
      </c>
      <c r="C14">
        <v>73953737</v>
      </c>
      <c r="D14">
        <v>72524472</v>
      </c>
      <c r="E14">
        <v>119</v>
      </c>
      <c r="F14">
        <v>1</v>
      </c>
      <c r="G14">
        <v>1</v>
      </c>
      <c r="H14">
        <v>3</v>
      </c>
      <c r="I14" t="s">
        <v>556</v>
      </c>
      <c r="J14" t="s">
        <v>3</v>
      </c>
      <c r="K14" t="s">
        <v>557</v>
      </c>
      <c r="L14">
        <v>1301</v>
      </c>
      <c r="N14">
        <v>1003</v>
      </c>
      <c r="O14" t="s">
        <v>122</v>
      </c>
      <c r="P14" t="s">
        <v>122</v>
      </c>
      <c r="Q14">
        <v>1</v>
      </c>
      <c r="X14">
        <v>100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 t="s">
        <v>3</v>
      </c>
      <c r="AG14">
        <v>100</v>
      </c>
      <c r="AH14">
        <v>3</v>
      </c>
      <c r="AI14">
        <v>-1</v>
      </c>
      <c r="AJ14" t="s">
        <v>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ROW(Source!A69)</f>
        <v>69</v>
      </c>
      <c r="B15">
        <v>73953746</v>
      </c>
      <c r="C15">
        <v>73953737</v>
      </c>
      <c r="D15">
        <v>72635017</v>
      </c>
      <c r="E15">
        <v>1</v>
      </c>
      <c r="F15">
        <v>1</v>
      </c>
      <c r="G15">
        <v>1</v>
      </c>
      <c r="H15">
        <v>3</v>
      </c>
      <c r="I15" t="s">
        <v>386</v>
      </c>
      <c r="J15" t="s">
        <v>387</v>
      </c>
      <c r="K15" t="s">
        <v>388</v>
      </c>
      <c r="L15">
        <v>1371</v>
      </c>
      <c r="N15">
        <v>1013</v>
      </c>
      <c r="O15" t="s">
        <v>130</v>
      </c>
      <c r="P15" t="s">
        <v>130</v>
      </c>
      <c r="Q15">
        <v>1</v>
      </c>
      <c r="X15">
        <v>0.2</v>
      </c>
      <c r="Y15">
        <v>68.48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 t="s">
        <v>3</v>
      </c>
      <c r="AG15">
        <v>0.2</v>
      </c>
      <c r="AH15">
        <v>2</v>
      </c>
      <c r="AI15">
        <v>73953741</v>
      </c>
      <c r="AJ15">
        <v>14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ROW(Source!A72)</f>
        <v>72</v>
      </c>
      <c r="B16">
        <v>73953767</v>
      </c>
      <c r="C16">
        <v>73953751</v>
      </c>
      <c r="D16">
        <v>72518640</v>
      </c>
      <c r="E16">
        <v>119</v>
      </c>
      <c r="F16">
        <v>1</v>
      </c>
      <c r="G16">
        <v>1</v>
      </c>
      <c r="H16">
        <v>1</v>
      </c>
      <c r="I16" t="s">
        <v>389</v>
      </c>
      <c r="J16" t="s">
        <v>3</v>
      </c>
      <c r="K16" t="s">
        <v>390</v>
      </c>
      <c r="L16">
        <v>1191</v>
      </c>
      <c r="N16">
        <v>1013</v>
      </c>
      <c r="O16" t="s">
        <v>359</v>
      </c>
      <c r="P16" t="s">
        <v>359</v>
      </c>
      <c r="Q16">
        <v>1</v>
      </c>
      <c r="X16">
        <v>20.51</v>
      </c>
      <c r="Y16">
        <v>0</v>
      </c>
      <c r="Z16">
        <v>0</v>
      </c>
      <c r="AA16">
        <v>0</v>
      </c>
      <c r="AB16">
        <v>373.36</v>
      </c>
      <c r="AC16">
        <v>0</v>
      </c>
      <c r="AD16">
        <v>1</v>
      </c>
      <c r="AE16">
        <v>1</v>
      </c>
      <c r="AF16" t="s">
        <v>3</v>
      </c>
      <c r="AG16">
        <v>20.51</v>
      </c>
      <c r="AH16">
        <v>2</v>
      </c>
      <c r="AI16">
        <v>73953752</v>
      </c>
      <c r="AJ16">
        <v>15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ROW(Source!A72)</f>
        <v>72</v>
      </c>
      <c r="B17">
        <v>73953768</v>
      </c>
      <c r="C17">
        <v>73953751</v>
      </c>
      <c r="D17">
        <v>72518826</v>
      </c>
      <c r="E17">
        <v>119</v>
      </c>
      <c r="F17">
        <v>1</v>
      </c>
      <c r="G17">
        <v>1</v>
      </c>
      <c r="H17">
        <v>1</v>
      </c>
      <c r="I17" t="s">
        <v>357</v>
      </c>
      <c r="J17" t="s">
        <v>3</v>
      </c>
      <c r="K17" t="s">
        <v>358</v>
      </c>
      <c r="L17">
        <v>1191</v>
      </c>
      <c r="N17">
        <v>1013</v>
      </c>
      <c r="O17" t="s">
        <v>359</v>
      </c>
      <c r="P17" t="s">
        <v>359</v>
      </c>
      <c r="Q17">
        <v>1</v>
      </c>
      <c r="X17">
        <v>11.96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2</v>
      </c>
      <c r="AF17" t="s">
        <v>3</v>
      </c>
      <c r="AG17">
        <v>11.96</v>
      </c>
      <c r="AH17">
        <v>2</v>
      </c>
      <c r="AI17">
        <v>73953753</v>
      </c>
      <c r="AJ17">
        <v>16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ROW(Source!A72)</f>
        <v>72</v>
      </c>
      <c r="B18">
        <v>73953769</v>
      </c>
      <c r="C18">
        <v>73953751</v>
      </c>
      <c r="D18">
        <v>72646682</v>
      </c>
      <c r="E18">
        <v>1</v>
      </c>
      <c r="F18">
        <v>1</v>
      </c>
      <c r="G18">
        <v>1</v>
      </c>
      <c r="H18">
        <v>2</v>
      </c>
      <c r="I18" t="s">
        <v>391</v>
      </c>
      <c r="J18" t="s">
        <v>392</v>
      </c>
      <c r="K18" t="s">
        <v>393</v>
      </c>
      <c r="L18">
        <v>1368</v>
      </c>
      <c r="N18">
        <v>1011</v>
      </c>
      <c r="O18" t="s">
        <v>363</v>
      </c>
      <c r="P18" t="s">
        <v>363</v>
      </c>
      <c r="Q18">
        <v>1</v>
      </c>
      <c r="X18">
        <v>11.44</v>
      </c>
      <c r="Y18">
        <v>0</v>
      </c>
      <c r="Z18">
        <v>994.01</v>
      </c>
      <c r="AA18">
        <v>459.98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11.44</v>
      </c>
      <c r="AH18">
        <v>2</v>
      </c>
      <c r="AI18">
        <v>73953754</v>
      </c>
      <c r="AJ18">
        <v>17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ROW(Source!A72)</f>
        <v>72</v>
      </c>
      <c r="B19">
        <v>73953770</v>
      </c>
      <c r="C19">
        <v>73953751</v>
      </c>
      <c r="D19">
        <v>72647129</v>
      </c>
      <c r="E19">
        <v>1</v>
      </c>
      <c r="F19">
        <v>1</v>
      </c>
      <c r="G19">
        <v>1</v>
      </c>
      <c r="H19">
        <v>2</v>
      </c>
      <c r="I19" t="s">
        <v>394</v>
      </c>
      <c r="J19" t="s">
        <v>395</v>
      </c>
      <c r="K19" t="s">
        <v>396</v>
      </c>
      <c r="L19">
        <v>1368</v>
      </c>
      <c r="N19">
        <v>1011</v>
      </c>
      <c r="O19" t="s">
        <v>363</v>
      </c>
      <c r="P19" t="s">
        <v>363</v>
      </c>
      <c r="Q19">
        <v>1</v>
      </c>
      <c r="X19">
        <v>2.0699999999999998</v>
      </c>
      <c r="Y19">
        <v>0</v>
      </c>
      <c r="Z19">
        <v>43.87</v>
      </c>
      <c r="AA19">
        <v>0</v>
      </c>
      <c r="AB19">
        <v>0</v>
      </c>
      <c r="AC19">
        <v>0</v>
      </c>
      <c r="AD19">
        <v>1</v>
      </c>
      <c r="AE19">
        <v>0</v>
      </c>
      <c r="AF19" t="s">
        <v>3</v>
      </c>
      <c r="AG19">
        <v>2.0699999999999998</v>
      </c>
      <c r="AH19">
        <v>2</v>
      </c>
      <c r="AI19">
        <v>73953755</v>
      </c>
      <c r="AJ19">
        <v>18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ROW(Source!A72)</f>
        <v>72</v>
      </c>
      <c r="B20">
        <v>73953771</v>
      </c>
      <c r="C20">
        <v>73953751</v>
      </c>
      <c r="D20">
        <v>72647141</v>
      </c>
      <c r="E20">
        <v>1</v>
      </c>
      <c r="F20">
        <v>1</v>
      </c>
      <c r="G20">
        <v>1</v>
      </c>
      <c r="H20">
        <v>2</v>
      </c>
      <c r="I20" t="s">
        <v>397</v>
      </c>
      <c r="J20" t="s">
        <v>398</v>
      </c>
      <c r="K20" t="s">
        <v>399</v>
      </c>
      <c r="L20">
        <v>1368</v>
      </c>
      <c r="N20">
        <v>1011</v>
      </c>
      <c r="O20" t="s">
        <v>363</v>
      </c>
      <c r="P20" t="s">
        <v>363</v>
      </c>
      <c r="Q20">
        <v>1</v>
      </c>
      <c r="X20">
        <v>0.52</v>
      </c>
      <c r="Y20">
        <v>0</v>
      </c>
      <c r="Z20">
        <v>417.12</v>
      </c>
      <c r="AA20">
        <v>400.24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0.52</v>
      </c>
      <c r="AH20">
        <v>2</v>
      </c>
      <c r="AI20">
        <v>73953756</v>
      </c>
      <c r="AJ20">
        <v>19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ROW(Source!A72)</f>
        <v>72</v>
      </c>
      <c r="B21">
        <v>73953772</v>
      </c>
      <c r="C21">
        <v>73953751</v>
      </c>
      <c r="D21">
        <v>72647493</v>
      </c>
      <c r="E21">
        <v>1</v>
      </c>
      <c r="F21">
        <v>1</v>
      </c>
      <c r="G21">
        <v>1</v>
      </c>
      <c r="H21">
        <v>2</v>
      </c>
      <c r="I21" t="s">
        <v>401</v>
      </c>
      <c r="J21" t="s">
        <v>402</v>
      </c>
      <c r="K21" t="s">
        <v>403</v>
      </c>
      <c r="L21">
        <v>1368</v>
      </c>
      <c r="N21">
        <v>1011</v>
      </c>
      <c r="O21" t="s">
        <v>363</v>
      </c>
      <c r="P21" t="s">
        <v>363</v>
      </c>
      <c r="Q21">
        <v>1</v>
      </c>
      <c r="X21">
        <v>0.52</v>
      </c>
      <c r="Y21">
        <v>0</v>
      </c>
      <c r="Z21">
        <v>4.5199999999999996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0.52</v>
      </c>
      <c r="AH21">
        <v>2</v>
      </c>
      <c r="AI21">
        <v>73953757</v>
      </c>
      <c r="AJ21">
        <v>20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ROW(Source!A72)</f>
        <v>72</v>
      </c>
      <c r="B22">
        <v>73953773</v>
      </c>
      <c r="C22">
        <v>73953751</v>
      </c>
      <c r="D22">
        <v>72591353</v>
      </c>
      <c r="E22">
        <v>1</v>
      </c>
      <c r="F22">
        <v>1</v>
      </c>
      <c r="G22">
        <v>1</v>
      </c>
      <c r="H22">
        <v>3</v>
      </c>
      <c r="I22" t="s">
        <v>404</v>
      </c>
      <c r="J22" t="s">
        <v>405</v>
      </c>
      <c r="K22" t="s">
        <v>406</v>
      </c>
      <c r="L22">
        <v>1383</v>
      </c>
      <c r="N22">
        <v>1013</v>
      </c>
      <c r="O22" t="s">
        <v>407</v>
      </c>
      <c r="P22" t="s">
        <v>407</v>
      </c>
      <c r="Q22">
        <v>1</v>
      </c>
      <c r="X22">
        <v>1.3859999999999999</v>
      </c>
      <c r="Y22">
        <v>9.5500000000000007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 t="s">
        <v>3</v>
      </c>
      <c r="AG22">
        <v>1.3859999999999999</v>
      </c>
      <c r="AH22">
        <v>2</v>
      </c>
      <c r="AI22">
        <v>73953758</v>
      </c>
      <c r="AJ22">
        <v>21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ROW(Source!A72)</f>
        <v>72</v>
      </c>
      <c r="B23">
        <v>73953774</v>
      </c>
      <c r="C23">
        <v>73953751</v>
      </c>
      <c r="D23">
        <v>72592092</v>
      </c>
      <c r="E23">
        <v>1</v>
      </c>
      <c r="F23">
        <v>1</v>
      </c>
      <c r="G23">
        <v>1</v>
      </c>
      <c r="H23">
        <v>3</v>
      </c>
      <c r="I23" t="s">
        <v>408</v>
      </c>
      <c r="J23" t="s">
        <v>409</v>
      </c>
      <c r="K23" t="s">
        <v>410</v>
      </c>
      <c r="L23">
        <v>1346</v>
      </c>
      <c r="N23">
        <v>1009</v>
      </c>
      <c r="O23" t="s">
        <v>411</v>
      </c>
      <c r="P23" t="s">
        <v>411</v>
      </c>
      <c r="Q23">
        <v>1</v>
      </c>
      <c r="X23">
        <v>0.7</v>
      </c>
      <c r="Y23">
        <v>131.85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 t="s">
        <v>3</v>
      </c>
      <c r="AG23">
        <v>0.7</v>
      </c>
      <c r="AH23">
        <v>2</v>
      </c>
      <c r="AI23">
        <v>73953759</v>
      </c>
      <c r="AJ23">
        <v>22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ROW(Source!A72)</f>
        <v>72</v>
      </c>
      <c r="B24">
        <v>73953775</v>
      </c>
      <c r="C24">
        <v>73953751</v>
      </c>
      <c r="D24">
        <v>72592880</v>
      </c>
      <c r="E24">
        <v>1</v>
      </c>
      <c r="F24">
        <v>1</v>
      </c>
      <c r="G24">
        <v>1</v>
      </c>
      <c r="H24">
        <v>3</v>
      </c>
      <c r="I24" t="s">
        <v>412</v>
      </c>
      <c r="J24" t="s">
        <v>413</v>
      </c>
      <c r="K24" t="s">
        <v>414</v>
      </c>
      <c r="L24">
        <v>1348</v>
      </c>
      <c r="N24">
        <v>1009</v>
      </c>
      <c r="O24" t="s">
        <v>248</v>
      </c>
      <c r="P24" t="s">
        <v>248</v>
      </c>
      <c r="Q24">
        <v>1000</v>
      </c>
      <c r="X24">
        <v>4.0000000000000002E-4</v>
      </c>
      <c r="Y24">
        <v>108495.2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 t="s">
        <v>3</v>
      </c>
      <c r="AG24">
        <v>4.0000000000000002E-4</v>
      </c>
      <c r="AH24">
        <v>2</v>
      </c>
      <c r="AI24">
        <v>73953760</v>
      </c>
      <c r="AJ24">
        <v>23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ROW(Source!A72)</f>
        <v>72</v>
      </c>
      <c r="B25">
        <v>73953776</v>
      </c>
      <c r="C25">
        <v>73953751</v>
      </c>
      <c r="D25">
        <v>72598246</v>
      </c>
      <c r="E25">
        <v>1</v>
      </c>
      <c r="F25">
        <v>1</v>
      </c>
      <c r="G25">
        <v>1</v>
      </c>
      <c r="H25">
        <v>3</v>
      </c>
      <c r="I25" t="s">
        <v>415</v>
      </c>
      <c r="J25" t="s">
        <v>416</v>
      </c>
      <c r="K25" t="s">
        <v>417</v>
      </c>
      <c r="L25">
        <v>1346</v>
      </c>
      <c r="N25">
        <v>1009</v>
      </c>
      <c r="O25" t="s">
        <v>411</v>
      </c>
      <c r="P25" t="s">
        <v>411</v>
      </c>
      <c r="Q25">
        <v>1</v>
      </c>
      <c r="X25">
        <v>1</v>
      </c>
      <c r="Y25">
        <v>44.55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0</v>
      </c>
      <c r="AF25" t="s">
        <v>3</v>
      </c>
      <c r="AG25">
        <v>1</v>
      </c>
      <c r="AH25">
        <v>2</v>
      </c>
      <c r="AI25">
        <v>73953761</v>
      </c>
      <c r="AJ25">
        <v>24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ROW(Source!A72)</f>
        <v>72</v>
      </c>
      <c r="B26">
        <v>73953777</v>
      </c>
      <c r="C26">
        <v>73953751</v>
      </c>
      <c r="D26">
        <v>72610535</v>
      </c>
      <c r="E26">
        <v>1</v>
      </c>
      <c r="F26">
        <v>1</v>
      </c>
      <c r="G26">
        <v>1</v>
      </c>
      <c r="H26">
        <v>3</v>
      </c>
      <c r="I26" t="s">
        <v>418</v>
      </c>
      <c r="J26" t="s">
        <v>419</v>
      </c>
      <c r="K26" t="s">
        <v>420</v>
      </c>
      <c r="L26">
        <v>1348</v>
      </c>
      <c r="N26">
        <v>1009</v>
      </c>
      <c r="O26" t="s">
        <v>248</v>
      </c>
      <c r="P26" t="s">
        <v>248</v>
      </c>
      <c r="Q26">
        <v>1000</v>
      </c>
      <c r="X26">
        <v>1.4E-3</v>
      </c>
      <c r="Y26">
        <v>74437.320000000007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 t="s">
        <v>3</v>
      </c>
      <c r="AG26">
        <v>1.4E-3</v>
      </c>
      <c r="AH26">
        <v>2</v>
      </c>
      <c r="AI26">
        <v>73953762</v>
      </c>
      <c r="AJ26">
        <v>25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ROW(Source!A72)</f>
        <v>72</v>
      </c>
      <c r="B27">
        <v>73953778</v>
      </c>
      <c r="C27">
        <v>73953751</v>
      </c>
      <c r="D27">
        <v>72610660</v>
      </c>
      <c r="E27">
        <v>1</v>
      </c>
      <c r="F27">
        <v>1</v>
      </c>
      <c r="G27">
        <v>1</v>
      </c>
      <c r="H27">
        <v>3</v>
      </c>
      <c r="I27" t="s">
        <v>421</v>
      </c>
      <c r="J27" t="s">
        <v>422</v>
      </c>
      <c r="K27" t="s">
        <v>423</v>
      </c>
      <c r="L27">
        <v>1348</v>
      </c>
      <c r="N27">
        <v>1009</v>
      </c>
      <c r="O27" t="s">
        <v>248</v>
      </c>
      <c r="P27" t="s">
        <v>248</v>
      </c>
      <c r="Q27">
        <v>1000</v>
      </c>
      <c r="X27">
        <v>3.5999999999999999E-3</v>
      </c>
      <c r="Y27">
        <v>260763.78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 t="s">
        <v>3</v>
      </c>
      <c r="AG27">
        <v>3.5999999999999999E-3</v>
      </c>
      <c r="AH27">
        <v>2</v>
      </c>
      <c r="AI27">
        <v>73953763</v>
      </c>
      <c r="AJ27">
        <v>26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ROW(Source!A72)</f>
        <v>72</v>
      </c>
      <c r="B28">
        <v>73953779</v>
      </c>
      <c r="C28">
        <v>73953751</v>
      </c>
      <c r="D28">
        <v>72610910</v>
      </c>
      <c r="E28">
        <v>1</v>
      </c>
      <c r="F28">
        <v>1</v>
      </c>
      <c r="G28">
        <v>1</v>
      </c>
      <c r="H28">
        <v>3</v>
      </c>
      <c r="I28" t="s">
        <v>424</v>
      </c>
      <c r="J28" t="s">
        <v>425</v>
      </c>
      <c r="K28" t="s">
        <v>426</v>
      </c>
      <c r="L28">
        <v>1348</v>
      </c>
      <c r="N28">
        <v>1009</v>
      </c>
      <c r="O28" t="s">
        <v>248</v>
      </c>
      <c r="P28" t="s">
        <v>248</v>
      </c>
      <c r="Q28">
        <v>1000</v>
      </c>
      <c r="X28">
        <v>2.2000000000000001E-4</v>
      </c>
      <c r="Y28">
        <v>75885.63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2.2000000000000001E-4</v>
      </c>
      <c r="AH28">
        <v>2</v>
      </c>
      <c r="AI28">
        <v>73953764</v>
      </c>
      <c r="AJ28">
        <v>27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ROW(Source!A72)</f>
        <v>72</v>
      </c>
      <c r="B29">
        <v>73953780</v>
      </c>
      <c r="C29">
        <v>73953751</v>
      </c>
      <c r="D29">
        <v>72610937</v>
      </c>
      <c r="E29">
        <v>1</v>
      </c>
      <c r="F29">
        <v>1</v>
      </c>
      <c r="G29">
        <v>1</v>
      </c>
      <c r="H29">
        <v>3</v>
      </c>
      <c r="I29" t="s">
        <v>427</v>
      </c>
      <c r="J29" t="s">
        <v>428</v>
      </c>
      <c r="K29" t="s">
        <v>429</v>
      </c>
      <c r="L29">
        <v>1348</v>
      </c>
      <c r="N29">
        <v>1009</v>
      </c>
      <c r="O29" t="s">
        <v>248</v>
      </c>
      <c r="P29" t="s">
        <v>248</v>
      </c>
      <c r="Q29">
        <v>1000</v>
      </c>
      <c r="X29">
        <v>1.6999999999999999E-3</v>
      </c>
      <c r="Y29">
        <v>98526.45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1.6999999999999999E-3</v>
      </c>
      <c r="AH29">
        <v>2</v>
      </c>
      <c r="AI29">
        <v>73953765</v>
      </c>
      <c r="AJ29">
        <v>28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ROW(Source!A72)</f>
        <v>72</v>
      </c>
      <c r="B30">
        <v>73953781</v>
      </c>
      <c r="C30">
        <v>73953751</v>
      </c>
      <c r="D30">
        <v>72524162</v>
      </c>
      <c r="E30">
        <v>119</v>
      </c>
      <c r="F30">
        <v>1</v>
      </c>
      <c r="G30">
        <v>1</v>
      </c>
      <c r="H30">
        <v>3</v>
      </c>
      <c r="I30" t="s">
        <v>558</v>
      </c>
      <c r="J30" t="s">
        <v>3</v>
      </c>
      <c r="K30" t="s">
        <v>559</v>
      </c>
      <c r="L30">
        <v>1301</v>
      </c>
      <c r="N30">
        <v>1003</v>
      </c>
      <c r="O30" t="s">
        <v>122</v>
      </c>
      <c r="P30" t="s">
        <v>122</v>
      </c>
      <c r="Q30">
        <v>1</v>
      </c>
      <c r="X30">
        <v>101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t="s">
        <v>3</v>
      </c>
      <c r="AG30">
        <v>101</v>
      </c>
      <c r="AH30">
        <v>3</v>
      </c>
      <c r="AI30">
        <v>-1</v>
      </c>
      <c r="AJ30" t="s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ROW(Source!A74)</f>
        <v>74</v>
      </c>
      <c r="B31">
        <v>73954638</v>
      </c>
      <c r="C31">
        <v>73954637</v>
      </c>
      <c r="D31">
        <v>72518648</v>
      </c>
      <c r="E31">
        <v>119</v>
      </c>
      <c r="F31">
        <v>1</v>
      </c>
      <c r="G31">
        <v>1</v>
      </c>
      <c r="H31">
        <v>1</v>
      </c>
      <c r="I31" t="s">
        <v>430</v>
      </c>
      <c r="J31" t="s">
        <v>3</v>
      </c>
      <c r="K31" t="s">
        <v>431</v>
      </c>
      <c r="L31">
        <v>1191</v>
      </c>
      <c r="N31">
        <v>1013</v>
      </c>
      <c r="O31" t="s">
        <v>359</v>
      </c>
      <c r="P31" t="s">
        <v>359</v>
      </c>
      <c r="Q31">
        <v>1</v>
      </c>
      <c r="X31">
        <v>16.41</v>
      </c>
      <c r="Y31">
        <v>0</v>
      </c>
      <c r="Z31">
        <v>0</v>
      </c>
      <c r="AA31">
        <v>0</v>
      </c>
      <c r="AB31">
        <v>391.28</v>
      </c>
      <c r="AC31">
        <v>0</v>
      </c>
      <c r="AD31">
        <v>1</v>
      </c>
      <c r="AE31">
        <v>1</v>
      </c>
      <c r="AF31" t="s">
        <v>3</v>
      </c>
      <c r="AG31">
        <v>16.41</v>
      </c>
      <c r="AH31">
        <v>2</v>
      </c>
      <c r="AI31">
        <v>73954638</v>
      </c>
      <c r="AJ31">
        <v>30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ROW(Source!A74)</f>
        <v>74</v>
      </c>
      <c r="B32">
        <v>73954639</v>
      </c>
      <c r="C32">
        <v>73954637</v>
      </c>
      <c r="D32">
        <v>72518826</v>
      </c>
      <c r="E32">
        <v>119</v>
      </c>
      <c r="F32">
        <v>1</v>
      </c>
      <c r="G32">
        <v>1</v>
      </c>
      <c r="H32">
        <v>1</v>
      </c>
      <c r="I32" t="s">
        <v>357</v>
      </c>
      <c r="J32" t="s">
        <v>3</v>
      </c>
      <c r="K32" t="s">
        <v>358</v>
      </c>
      <c r="L32">
        <v>1191</v>
      </c>
      <c r="N32">
        <v>1013</v>
      </c>
      <c r="O32" t="s">
        <v>359</v>
      </c>
      <c r="P32" t="s">
        <v>359</v>
      </c>
      <c r="Q32">
        <v>1</v>
      </c>
      <c r="X32">
        <v>4.62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2</v>
      </c>
      <c r="AF32" t="s">
        <v>3</v>
      </c>
      <c r="AG32">
        <v>4.62</v>
      </c>
      <c r="AH32">
        <v>2</v>
      </c>
      <c r="AI32">
        <v>73954639</v>
      </c>
      <c r="AJ32">
        <v>31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ROW(Source!A74)</f>
        <v>74</v>
      </c>
      <c r="B33">
        <v>73954640</v>
      </c>
      <c r="C33">
        <v>73954637</v>
      </c>
      <c r="D33">
        <v>72645922</v>
      </c>
      <c r="E33">
        <v>1</v>
      </c>
      <c r="F33">
        <v>1</v>
      </c>
      <c r="G33">
        <v>1</v>
      </c>
      <c r="H33">
        <v>2</v>
      </c>
      <c r="I33" t="s">
        <v>432</v>
      </c>
      <c r="J33" t="s">
        <v>433</v>
      </c>
      <c r="K33" t="s">
        <v>434</v>
      </c>
      <c r="L33">
        <v>1368</v>
      </c>
      <c r="N33">
        <v>1011</v>
      </c>
      <c r="O33" t="s">
        <v>363</v>
      </c>
      <c r="P33" t="s">
        <v>363</v>
      </c>
      <c r="Q33">
        <v>1</v>
      </c>
      <c r="X33">
        <v>1.81</v>
      </c>
      <c r="Y33">
        <v>0</v>
      </c>
      <c r="Z33">
        <v>2088.77</v>
      </c>
      <c r="AA33">
        <v>459.98</v>
      </c>
      <c r="AB33">
        <v>0</v>
      </c>
      <c r="AC33">
        <v>0</v>
      </c>
      <c r="AD33">
        <v>1</v>
      </c>
      <c r="AE33">
        <v>0</v>
      </c>
      <c r="AF33" t="s">
        <v>3</v>
      </c>
      <c r="AG33">
        <v>1.81</v>
      </c>
      <c r="AH33">
        <v>2</v>
      </c>
      <c r="AI33">
        <v>73954640</v>
      </c>
      <c r="AJ33">
        <v>32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ROW(Source!A74)</f>
        <v>74</v>
      </c>
      <c r="B34">
        <v>73954641</v>
      </c>
      <c r="C34">
        <v>73954637</v>
      </c>
      <c r="D34">
        <v>72646037</v>
      </c>
      <c r="E34">
        <v>1</v>
      </c>
      <c r="F34">
        <v>1</v>
      </c>
      <c r="G34">
        <v>1</v>
      </c>
      <c r="H34">
        <v>2</v>
      </c>
      <c r="I34" t="s">
        <v>435</v>
      </c>
      <c r="J34" t="s">
        <v>436</v>
      </c>
      <c r="K34" t="s">
        <v>437</v>
      </c>
      <c r="L34">
        <v>1368</v>
      </c>
      <c r="N34">
        <v>1011</v>
      </c>
      <c r="O34" t="s">
        <v>363</v>
      </c>
      <c r="P34" t="s">
        <v>363</v>
      </c>
      <c r="Q34">
        <v>1</v>
      </c>
      <c r="X34">
        <v>2.62</v>
      </c>
      <c r="Y34">
        <v>0</v>
      </c>
      <c r="Z34">
        <v>1836.16</v>
      </c>
      <c r="AA34">
        <v>537.64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2.62</v>
      </c>
      <c r="AH34">
        <v>2</v>
      </c>
      <c r="AI34">
        <v>73954641</v>
      </c>
      <c r="AJ34">
        <v>33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ROW(Source!A74)</f>
        <v>74</v>
      </c>
      <c r="B35">
        <v>73954642</v>
      </c>
      <c r="C35">
        <v>73954637</v>
      </c>
      <c r="D35">
        <v>72646293</v>
      </c>
      <c r="E35">
        <v>1</v>
      </c>
      <c r="F35">
        <v>1</v>
      </c>
      <c r="G35">
        <v>1</v>
      </c>
      <c r="H35">
        <v>2</v>
      </c>
      <c r="I35" t="s">
        <v>438</v>
      </c>
      <c r="J35" t="s">
        <v>439</v>
      </c>
      <c r="K35" t="s">
        <v>440</v>
      </c>
      <c r="L35">
        <v>1368</v>
      </c>
      <c r="N35">
        <v>1011</v>
      </c>
      <c r="O35" t="s">
        <v>363</v>
      </c>
      <c r="P35" t="s">
        <v>363</v>
      </c>
      <c r="Q35">
        <v>1</v>
      </c>
      <c r="X35">
        <v>0.45</v>
      </c>
      <c r="Y35">
        <v>0</v>
      </c>
      <c r="Z35">
        <v>10.37</v>
      </c>
      <c r="AA35">
        <v>0</v>
      </c>
      <c r="AB35">
        <v>0</v>
      </c>
      <c r="AC35">
        <v>0</v>
      </c>
      <c r="AD35">
        <v>1</v>
      </c>
      <c r="AE35">
        <v>0</v>
      </c>
      <c r="AF35" t="s">
        <v>3</v>
      </c>
      <c r="AG35">
        <v>0.45</v>
      </c>
      <c r="AH35">
        <v>2</v>
      </c>
      <c r="AI35">
        <v>73954642</v>
      </c>
      <c r="AJ35">
        <v>34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ROW(Source!A74)</f>
        <v>74</v>
      </c>
      <c r="B36">
        <v>73954643</v>
      </c>
      <c r="C36">
        <v>73954637</v>
      </c>
      <c r="D36">
        <v>72646931</v>
      </c>
      <c r="E36">
        <v>1</v>
      </c>
      <c r="F36">
        <v>1</v>
      </c>
      <c r="G36">
        <v>1</v>
      </c>
      <c r="H36">
        <v>2</v>
      </c>
      <c r="I36" t="s">
        <v>441</v>
      </c>
      <c r="J36" t="s">
        <v>442</v>
      </c>
      <c r="K36" t="s">
        <v>443</v>
      </c>
      <c r="L36">
        <v>1368</v>
      </c>
      <c r="N36">
        <v>1011</v>
      </c>
      <c r="O36" t="s">
        <v>363</v>
      </c>
      <c r="P36" t="s">
        <v>363</v>
      </c>
      <c r="Q36">
        <v>1</v>
      </c>
      <c r="X36">
        <v>0.19</v>
      </c>
      <c r="Y36">
        <v>0</v>
      </c>
      <c r="Z36">
        <v>655.95</v>
      </c>
      <c r="AA36">
        <v>400.24</v>
      </c>
      <c r="AB36">
        <v>0</v>
      </c>
      <c r="AC36">
        <v>0</v>
      </c>
      <c r="AD36">
        <v>1</v>
      </c>
      <c r="AE36">
        <v>0</v>
      </c>
      <c r="AF36" t="s">
        <v>3</v>
      </c>
      <c r="AG36">
        <v>0.19</v>
      </c>
      <c r="AH36">
        <v>2</v>
      </c>
      <c r="AI36">
        <v>73954643</v>
      </c>
      <c r="AJ36">
        <v>35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ROW(Source!A74)</f>
        <v>74</v>
      </c>
      <c r="B37">
        <v>73954644</v>
      </c>
      <c r="C37">
        <v>73954637</v>
      </c>
      <c r="D37">
        <v>72647091</v>
      </c>
      <c r="E37">
        <v>1</v>
      </c>
      <c r="F37">
        <v>1</v>
      </c>
      <c r="G37">
        <v>1</v>
      </c>
      <c r="H37">
        <v>2</v>
      </c>
      <c r="I37" t="s">
        <v>444</v>
      </c>
      <c r="J37" t="s">
        <v>445</v>
      </c>
      <c r="K37" t="s">
        <v>446</v>
      </c>
      <c r="L37">
        <v>1368</v>
      </c>
      <c r="N37">
        <v>1011</v>
      </c>
      <c r="O37" t="s">
        <v>363</v>
      </c>
      <c r="P37" t="s">
        <v>363</v>
      </c>
      <c r="Q37">
        <v>1</v>
      </c>
      <c r="X37">
        <v>1.44</v>
      </c>
      <c r="Y37">
        <v>0</v>
      </c>
      <c r="Z37">
        <v>4.3499999999999996</v>
      </c>
      <c r="AA37">
        <v>0</v>
      </c>
      <c r="AB37">
        <v>0</v>
      </c>
      <c r="AC37">
        <v>0</v>
      </c>
      <c r="AD37">
        <v>1</v>
      </c>
      <c r="AE37">
        <v>0</v>
      </c>
      <c r="AF37" t="s">
        <v>3</v>
      </c>
      <c r="AG37">
        <v>1.44</v>
      </c>
      <c r="AH37">
        <v>2</v>
      </c>
      <c r="AI37">
        <v>73954644</v>
      </c>
      <c r="AJ37">
        <v>36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ROW(Source!A74)</f>
        <v>74</v>
      </c>
      <c r="B38">
        <v>73954645</v>
      </c>
      <c r="C38">
        <v>73954637</v>
      </c>
      <c r="D38">
        <v>72647129</v>
      </c>
      <c r="E38">
        <v>1</v>
      </c>
      <c r="F38">
        <v>1</v>
      </c>
      <c r="G38">
        <v>1</v>
      </c>
      <c r="H38">
        <v>2</v>
      </c>
      <c r="I38" t="s">
        <v>394</v>
      </c>
      <c r="J38" t="s">
        <v>395</v>
      </c>
      <c r="K38" t="s">
        <v>396</v>
      </c>
      <c r="L38">
        <v>1368</v>
      </c>
      <c r="N38">
        <v>1011</v>
      </c>
      <c r="O38" t="s">
        <v>363</v>
      </c>
      <c r="P38" t="s">
        <v>363</v>
      </c>
      <c r="Q38">
        <v>1</v>
      </c>
      <c r="X38">
        <v>2.59</v>
      </c>
      <c r="Y38">
        <v>0</v>
      </c>
      <c r="Z38">
        <v>43.87</v>
      </c>
      <c r="AA38">
        <v>0</v>
      </c>
      <c r="AB38">
        <v>0</v>
      </c>
      <c r="AC38">
        <v>0</v>
      </c>
      <c r="AD38">
        <v>1</v>
      </c>
      <c r="AE38">
        <v>0</v>
      </c>
      <c r="AF38" t="s">
        <v>3</v>
      </c>
      <c r="AG38">
        <v>2.59</v>
      </c>
      <c r="AH38">
        <v>2</v>
      </c>
      <c r="AI38">
        <v>73954645</v>
      </c>
      <c r="AJ38">
        <v>37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ROW(Source!A74)</f>
        <v>74</v>
      </c>
      <c r="B39">
        <v>73954646</v>
      </c>
      <c r="C39">
        <v>73954637</v>
      </c>
      <c r="D39">
        <v>72647493</v>
      </c>
      <c r="E39">
        <v>1</v>
      </c>
      <c r="F39">
        <v>1</v>
      </c>
      <c r="G39">
        <v>1</v>
      </c>
      <c r="H39">
        <v>2</v>
      </c>
      <c r="I39" t="s">
        <v>401</v>
      </c>
      <c r="J39" t="s">
        <v>402</v>
      </c>
      <c r="K39" t="s">
        <v>403</v>
      </c>
      <c r="L39">
        <v>1368</v>
      </c>
      <c r="N39">
        <v>1011</v>
      </c>
      <c r="O39" t="s">
        <v>363</v>
      </c>
      <c r="P39" t="s">
        <v>363</v>
      </c>
      <c r="Q39">
        <v>1</v>
      </c>
      <c r="X39">
        <v>1.27</v>
      </c>
      <c r="Y39">
        <v>0</v>
      </c>
      <c r="Z39">
        <v>4.5199999999999996</v>
      </c>
      <c r="AA39">
        <v>0</v>
      </c>
      <c r="AB39">
        <v>0</v>
      </c>
      <c r="AC39">
        <v>0</v>
      </c>
      <c r="AD39">
        <v>1</v>
      </c>
      <c r="AE39">
        <v>0</v>
      </c>
      <c r="AF39" t="s">
        <v>3</v>
      </c>
      <c r="AG39">
        <v>1.27</v>
      </c>
      <c r="AH39">
        <v>2</v>
      </c>
      <c r="AI39">
        <v>73954646</v>
      </c>
      <c r="AJ39">
        <v>38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ROW(Source!A74)</f>
        <v>74</v>
      </c>
      <c r="B40">
        <v>73954647</v>
      </c>
      <c r="C40">
        <v>73954637</v>
      </c>
      <c r="D40">
        <v>72647554</v>
      </c>
      <c r="E40">
        <v>1</v>
      </c>
      <c r="F40">
        <v>1</v>
      </c>
      <c r="G40">
        <v>1</v>
      </c>
      <c r="H40">
        <v>2</v>
      </c>
      <c r="I40" t="s">
        <v>447</v>
      </c>
      <c r="J40" t="s">
        <v>448</v>
      </c>
      <c r="K40" t="s">
        <v>449</v>
      </c>
      <c r="L40">
        <v>1368</v>
      </c>
      <c r="N40">
        <v>1011</v>
      </c>
      <c r="O40" t="s">
        <v>363</v>
      </c>
      <c r="P40" t="s">
        <v>363</v>
      </c>
      <c r="Q40">
        <v>1</v>
      </c>
      <c r="X40">
        <v>0.06</v>
      </c>
      <c r="Y40">
        <v>0</v>
      </c>
      <c r="Z40">
        <v>143.61000000000001</v>
      </c>
      <c r="AA40">
        <v>0</v>
      </c>
      <c r="AB40">
        <v>0</v>
      </c>
      <c r="AC40">
        <v>0</v>
      </c>
      <c r="AD40">
        <v>1</v>
      </c>
      <c r="AE40">
        <v>0</v>
      </c>
      <c r="AF40" t="s">
        <v>3</v>
      </c>
      <c r="AG40">
        <v>0.06</v>
      </c>
      <c r="AH40">
        <v>2</v>
      </c>
      <c r="AI40">
        <v>73954647</v>
      </c>
      <c r="AJ40">
        <v>39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ROW(Source!A74)</f>
        <v>74</v>
      </c>
      <c r="B41">
        <v>73954648</v>
      </c>
      <c r="C41">
        <v>73954637</v>
      </c>
      <c r="D41">
        <v>72589309</v>
      </c>
      <c r="E41">
        <v>1</v>
      </c>
      <c r="F41">
        <v>1</v>
      </c>
      <c r="G41">
        <v>1</v>
      </c>
      <c r="H41">
        <v>3</v>
      </c>
      <c r="I41" t="s">
        <v>450</v>
      </c>
      <c r="J41" t="s">
        <v>451</v>
      </c>
      <c r="K41" t="s">
        <v>452</v>
      </c>
      <c r="L41">
        <v>1339</v>
      </c>
      <c r="N41">
        <v>1007</v>
      </c>
      <c r="O41" t="s">
        <v>48</v>
      </c>
      <c r="P41" t="s">
        <v>48</v>
      </c>
      <c r="Q41">
        <v>1</v>
      </c>
      <c r="X41">
        <v>0.43</v>
      </c>
      <c r="Y41">
        <v>115.4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 t="s">
        <v>3</v>
      </c>
      <c r="AG41">
        <v>0.43</v>
      </c>
      <c r="AH41">
        <v>2</v>
      </c>
      <c r="AI41">
        <v>73954648</v>
      </c>
      <c r="AJ41">
        <v>40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ROW(Source!A74)</f>
        <v>74</v>
      </c>
      <c r="B42">
        <v>73954649</v>
      </c>
      <c r="C42">
        <v>73954637</v>
      </c>
      <c r="D42">
        <v>72589313</v>
      </c>
      <c r="E42">
        <v>1</v>
      </c>
      <c r="F42">
        <v>1</v>
      </c>
      <c r="G42">
        <v>1</v>
      </c>
      <c r="H42">
        <v>3</v>
      </c>
      <c r="I42" t="s">
        <v>453</v>
      </c>
      <c r="J42" t="s">
        <v>454</v>
      </c>
      <c r="K42" t="s">
        <v>455</v>
      </c>
      <c r="L42">
        <v>1346</v>
      </c>
      <c r="N42">
        <v>1009</v>
      </c>
      <c r="O42" t="s">
        <v>411</v>
      </c>
      <c r="P42" t="s">
        <v>411</v>
      </c>
      <c r="Q42">
        <v>1</v>
      </c>
      <c r="X42">
        <v>0.09</v>
      </c>
      <c r="Y42">
        <v>41.38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 t="s">
        <v>3</v>
      </c>
      <c r="AG42">
        <v>0.09</v>
      </c>
      <c r="AH42">
        <v>2</v>
      </c>
      <c r="AI42">
        <v>73954649</v>
      </c>
      <c r="AJ42">
        <v>41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ROW(Source!A74)</f>
        <v>74</v>
      </c>
      <c r="B43">
        <v>73954650</v>
      </c>
      <c r="C43">
        <v>73954637</v>
      </c>
      <c r="D43">
        <v>72591353</v>
      </c>
      <c r="E43">
        <v>1</v>
      </c>
      <c r="F43">
        <v>1</v>
      </c>
      <c r="G43">
        <v>1</v>
      </c>
      <c r="H43">
        <v>3</v>
      </c>
      <c r="I43" t="s">
        <v>404</v>
      </c>
      <c r="J43" t="s">
        <v>405</v>
      </c>
      <c r="K43" t="s">
        <v>406</v>
      </c>
      <c r="L43">
        <v>1383</v>
      </c>
      <c r="N43">
        <v>1013</v>
      </c>
      <c r="O43" t="s">
        <v>407</v>
      </c>
      <c r="P43" t="s">
        <v>407</v>
      </c>
      <c r="Q43">
        <v>1</v>
      </c>
      <c r="X43">
        <v>0.54400000000000004</v>
      </c>
      <c r="Y43">
        <v>9.5500000000000007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0</v>
      </c>
      <c r="AF43" t="s">
        <v>3</v>
      </c>
      <c r="AG43">
        <v>0.54400000000000004</v>
      </c>
      <c r="AH43">
        <v>2</v>
      </c>
      <c r="AI43">
        <v>73954650</v>
      </c>
      <c r="AJ43">
        <v>42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ROW(Source!A74)</f>
        <v>74</v>
      </c>
      <c r="B44">
        <v>73954651</v>
      </c>
      <c r="C44">
        <v>73954637</v>
      </c>
      <c r="D44">
        <v>72592092</v>
      </c>
      <c r="E44">
        <v>1</v>
      </c>
      <c r="F44">
        <v>1</v>
      </c>
      <c r="G44">
        <v>1</v>
      </c>
      <c r="H44">
        <v>3</v>
      </c>
      <c r="I44" t="s">
        <v>408</v>
      </c>
      <c r="J44" t="s">
        <v>409</v>
      </c>
      <c r="K44" t="s">
        <v>410</v>
      </c>
      <c r="L44">
        <v>1346</v>
      </c>
      <c r="N44">
        <v>1009</v>
      </c>
      <c r="O44" t="s">
        <v>411</v>
      </c>
      <c r="P44" t="s">
        <v>411</v>
      </c>
      <c r="Q44">
        <v>1</v>
      </c>
      <c r="X44">
        <v>0.7</v>
      </c>
      <c r="Y44">
        <v>131.85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0</v>
      </c>
      <c r="AF44" t="s">
        <v>3</v>
      </c>
      <c r="AG44">
        <v>0.7</v>
      </c>
      <c r="AH44">
        <v>2</v>
      </c>
      <c r="AI44">
        <v>73954651</v>
      </c>
      <c r="AJ44">
        <v>43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ROW(Source!A74)</f>
        <v>74</v>
      </c>
      <c r="B45">
        <v>73954652</v>
      </c>
      <c r="C45">
        <v>73954637</v>
      </c>
      <c r="D45">
        <v>72520015</v>
      </c>
      <c r="E45">
        <v>119</v>
      </c>
      <c r="F45">
        <v>1</v>
      </c>
      <c r="G45">
        <v>1</v>
      </c>
      <c r="H45">
        <v>3</v>
      </c>
      <c r="I45" t="s">
        <v>560</v>
      </c>
      <c r="J45" t="s">
        <v>3</v>
      </c>
      <c r="K45" t="s">
        <v>561</v>
      </c>
      <c r="L45">
        <v>1339</v>
      </c>
      <c r="N45">
        <v>1007</v>
      </c>
      <c r="O45" t="s">
        <v>48</v>
      </c>
      <c r="P45" t="s">
        <v>48</v>
      </c>
      <c r="Q45">
        <v>1</v>
      </c>
      <c r="X45">
        <v>0.57999999999999996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 t="s">
        <v>3</v>
      </c>
      <c r="AG45">
        <v>0.57999999999999996</v>
      </c>
      <c r="AH45">
        <v>3</v>
      </c>
      <c r="AI45">
        <v>-1</v>
      </c>
      <c r="AJ45" t="s">
        <v>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ROW(Source!A74)</f>
        <v>74</v>
      </c>
      <c r="B46">
        <v>73954653</v>
      </c>
      <c r="C46">
        <v>73954637</v>
      </c>
      <c r="D46">
        <v>72600496</v>
      </c>
      <c r="E46">
        <v>1</v>
      </c>
      <c r="F46">
        <v>1</v>
      </c>
      <c r="G46">
        <v>1</v>
      </c>
      <c r="H46">
        <v>3</v>
      </c>
      <c r="I46" t="s">
        <v>456</v>
      </c>
      <c r="J46" t="s">
        <v>457</v>
      </c>
      <c r="K46" t="s">
        <v>458</v>
      </c>
      <c r="L46">
        <v>1348</v>
      </c>
      <c r="N46">
        <v>1009</v>
      </c>
      <c r="O46" t="s">
        <v>248</v>
      </c>
      <c r="P46" t="s">
        <v>248</v>
      </c>
      <c r="Q46">
        <v>1000</v>
      </c>
      <c r="X46">
        <v>2.8000000000000001E-2</v>
      </c>
      <c r="Y46">
        <v>47531.7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2.8000000000000001E-2</v>
      </c>
      <c r="AH46">
        <v>2</v>
      </c>
      <c r="AI46">
        <v>73954653</v>
      </c>
      <c r="AJ46">
        <v>45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ROW(Source!A74)</f>
        <v>74</v>
      </c>
      <c r="B47">
        <v>73954654</v>
      </c>
      <c r="C47">
        <v>73954637</v>
      </c>
      <c r="D47">
        <v>72610564</v>
      </c>
      <c r="E47">
        <v>1</v>
      </c>
      <c r="F47">
        <v>1</v>
      </c>
      <c r="G47">
        <v>1</v>
      </c>
      <c r="H47">
        <v>3</v>
      </c>
      <c r="I47" t="s">
        <v>459</v>
      </c>
      <c r="J47" t="s">
        <v>460</v>
      </c>
      <c r="K47" t="s">
        <v>461</v>
      </c>
      <c r="L47">
        <v>1346</v>
      </c>
      <c r="N47">
        <v>1009</v>
      </c>
      <c r="O47" t="s">
        <v>411</v>
      </c>
      <c r="P47" t="s">
        <v>411</v>
      </c>
      <c r="Q47">
        <v>1</v>
      </c>
      <c r="X47">
        <v>1.2</v>
      </c>
      <c r="Y47">
        <v>61.28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 t="s">
        <v>3</v>
      </c>
      <c r="AG47">
        <v>1.2</v>
      </c>
      <c r="AH47">
        <v>2</v>
      </c>
      <c r="AI47">
        <v>73954654</v>
      </c>
      <c r="AJ47">
        <v>46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ROW(Source!A74)</f>
        <v>74</v>
      </c>
      <c r="B48">
        <v>73954655</v>
      </c>
      <c r="C48">
        <v>73954637</v>
      </c>
      <c r="D48">
        <v>72524163</v>
      </c>
      <c r="E48">
        <v>119</v>
      </c>
      <c r="F48">
        <v>1</v>
      </c>
      <c r="G48">
        <v>1</v>
      </c>
      <c r="H48">
        <v>3</v>
      </c>
      <c r="I48" t="s">
        <v>558</v>
      </c>
      <c r="J48" t="s">
        <v>3</v>
      </c>
      <c r="K48" t="s">
        <v>562</v>
      </c>
      <c r="L48">
        <v>1301</v>
      </c>
      <c r="N48">
        <v>1003</v>
      </c>
      <c r="O48" t="s">
        <v>122</v>
      </c>
      <c r="P48" t="s">
        <v>122</v>
      </c>
      <c r="Q48">
        <v>1</v>
      </c>
      <c r="X48">
        <v>33.6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 t="s">
        <v>3</v>
      </c>
      <c r="AG48">
        <v>33.6</v>
      </c>
      <c r="AH48">
        <v>3</v>
      </c>
      <c r="AI48">
        <v>-1</v>
      </c>
      <c r="AJ48" t="s">
        <v>3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ROW(Source!A77)</f>
        <v>77</v>
      </c>
      <c r="B49">
        <v>73953804</v>
      </c>
      <c r="C49">
        <v>73953797</v>
      </c>
      <c r="D49">
        <v>72518646</v>
      </c>
      <c r="E49">
        <v>119</v>
      </c>
      <c r="F49">
        <v>1</v>
      </c>
      <c r="G49">
        <v>1</v>
      </c>
      <c r="H49">
        <v>1</v>
      </c>
      <c r="I49" t="s">
        <v>462</v>
      </c>
      <c r="J49" t="s">
        <v>3</v>
      </c>
      <c r="K49" t="s">
        <v>463</v>
      </c>
      <c r="L49">
        <v>1191</v>
      </c>
      <c r="N49">
        <v>1013</v>
      </c>
      <c r="O49" t="s">
        <v>359</v>
      </c>
      <c r="P49" t="s">
        <v>359</v>
      </c>
      <c r="Q49">
        <v>1</v>
      </c>
      <c r="X49">
        <v>0.32</v>
      </c>
      <c r="Y49">
        <v>0</v>
      </c>
      <c r="Z49">
        <v>0</v>
      </c>
      <c r="AA49">
        <v>0</v>
      </c>
      <c r="AB49">
        <v>386.8</v>
      </c>
      <c r="AC49">
        <v>0</v>
      </c>
      <c r="AD49">
        <v>1</v>
      </c>
      <c r="AE49">
        <v>1</v>
      </c>
      <c r="AF49" t="s">
        <v>3</v>
      </c>
      <c r="AG49">
        <v>0.32</v>
      </c>
      <c r="AH49">
        <v>2</v>
      </c>
      <c r="AI49">
        <v>73953798</v>
      </c>
      <c r="AJ49">
        <v>48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ROW(Source!A77)</f>
        <v>77</v>
      </c>
      <c r="B50">
        <v>73953805</v>
      </c>
      <c r="C50">
        <v>73953797</v>
      </c>
      <c r="D50">
        <v>72647089</v>
      </c>
      <c r="E50">
        <v>1</v>
      </c>
      <c r="F50">
        <v>1</v>
      </c>
      <c r="G50">
        <v>1</v>
      </c>
      <c r="H50">
        <v>2</v>
      </c>
      <c r="I50" t="s">
        <v>464</v>
      </c>
      <c r="J50" t="s">
        <v>465</v>
      </c>
      <c r="K50" t="s">
        <v>466</v>
      </c>
      <c r="L50">
        <v>1368</v>
      </c>
      <c r="N50">
        <v>1011</v>
      </c>
      <c r="O50" t="s">
        <v>363</v>
      </c>
      <c r="P50" t="s">
        <v>363</v>
      </c>
      <c r="Q50">
        <v>1</v>
      </c>
      <c r="X50">
        <v>0.19</v>
      </c>
      <c r="Y50">
        <v>0</v>
      </c>
      <c r="Z50">
        <v>8.6300000000000008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0.19</v>
      </c>
      <c r="AH50">
        <v>2</v>
      </c>
      <c r="AI50">
        <v>73953799</v>
      </c>
      <c r="AJ50">
        <v>49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ROW(Source!A77)</f>
        <v>77</v>
      </c>
      <c r="B51">
        <v>73953806</v>
      </c>
      <c r="C51">
        <v>73953797</v>
      </c>
      <c r="D51">
        <v>72647111</v>
      </c>
      <c r="E51">
        <v>1</v>
      </c>
      <c r="F51">
        <v>1</v>
      </c>
      <c r="G51">
        <v>1</v>
      </c>
      <c r="H51">
        <v>2</v>
      </c>
      <c r="I51" t="s">
        <v>467</v>
      </c>
      <c r="J51" t="s">
        <v>468</v>
      </c>
      <c r="K51" t="s">
        <v>469</v>
      </c>
      <c r="L51">
        <v>1368</v>
      </c>
      <c r="N51">
        <v>1011</v>
      </c>
      <c r="O51" t="s">
        <v>363</v>
      </c>
      <c r="P51" t="s">
        <v>363</v>
      </c>
      <c r="Q51">
        <v>1</v>
      </c>
      <c r="X51">
        <v>0.33</v>
      </c>
      <c r="Y51">
        <v>0</v>
      </c>
      <c r="Z51">
        <v>3.34</v>
      </c>
      <c r="AA51">
        <v>0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0.33</v>
      </c>
      <c r="AH51">
        <v>2</v>
      </c>
      <c r="AI51">
        <v>73953800</v>
      </c>
      <c r="AJ51">
        <v>50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ROW(Source!A77)</f>
        <v>77</v>
      </c>
      <c r="B52">
        <v>73953807</v>
      </c>
      <c r="C52">
        <v>73953797</v>
      </c>
      <c r="D52">
        <v>72589277</v>
      </c>
      <c r="E52">
        <v>1</v>
      </c>
      <c r="F52">
        <v>1</v>
      </c>
      <c r="G52">
        <v>1</v>
      </c>
      <c r="H52">
        <v>3</v>
      </c>
      <c r="I52" t="s">
        <v>470</v>
      </c>
      <c r="J52" t="s">
        <v>471</v>
      </c>
      <c r="K52" t="s">
        <v>472</v>
      </c>
      <c r="L52">
        <v>1346</v>
      </c>
      <c r="N52">
        <v>1009</v>
      </c>
      <c r="O52" t="s">
        <v>411</v>
      </c>
      <c r="P52" t="s">
        <v>411</v>
      </c>
      <c r="Q52">
        <v>1</v>
      </c>
      <c r="X52">
        <v>0.02</v>
      </c>
      <c r="Y52">
        <v>596.80999999999995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 t="s">
        <v>3</v>
      </c>
      <c r="AG52">
        <v>0.02</v>
      </c>
      <c r="AH52">
        <v>2</v>
      </c>
      <c r="AI52">
        <v>73953801</v>
      </c>
      <c r="AJ52">
        <v>51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ROW(Source!A77)</f>
        <v>77</v>
      </c>
      <c r="B53">
        <v>73953808</v>
      </c>
      <c r="C53">
        <v>73953797</v>
      </c>
      <c r="D53">
        <v>72594025</v>
      </c>
      <c r="E53">
        <v>1</v>
      </c>
      <c r="F53">
        <v>1</v>
      </c>
      <c r="G53">
        <v>1</v>
      </c>
      <c r="H53">
        <v>3</v>
      </c>
      <c r="I53" t="s">
        <v>473</v>
      </c>
      <c r="J53" t="s">
        <v>474</v>
      </c>
      <c r="K53" t="s">
        <v>475</v>
      </c>
      <c r="L53">
        <v>1346</v>
      </c>
      <c r="N53">
        <v>1009</v>
      </c>
      <c r="O53" t="s">
        <v>411</v>
      </c>
      <c r="P53" t="s">
        <v>411</v>
      </c>
      <c r="Q53">
        <v>1</v>
      </c>
      <c r="X53">
        <v>2E-3</v>
      </c>
      <c r="Y53">
        <v>56.11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 t="s">
        <v>3</v>
      </c>
      <c r="AG53">
        <v>2E-3</v>
      </c>
      <c r="AH53">
        <v>2</v>
      </c>
      <c r="AI53">
        <v>73953802</v>
      </c>
      <c r="AJ53">
        <v>52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ROW(Source!A77)</f>
        <v>77</v>
      </c>
      <c r="B54">
        <v>73953809</v>
      </c>
      <c r="C54">
        <v>73953797</v>
      </c>
      <c r="D54">
        <v>72524528</v>
      </c>
      <c r="E54">
        <v>119</v>
      </c>
      <c r="F54">
        <v>1</v>
      </c>
      <c r="G54">
        <v>1</v>
      </c>
      <c r="H54">
        <v>3</v>
      </c>
      <c r="I54" t="s">
        <v>563</v>
      </c>
      <c r="J54" t="s">
        <v>3</v>
      </c>
      <c r="K54" t="s">
        <v>564</v>
      </c>
      <c r="L54">
        <v>1371</v>
      </c>
      <c r="N54">
        <v>1013</v>
      </c>
      <c r="O54" t="s">
        <v>130</v>
      </c>
      <c r="P54" t="s">
        <v>130</v>
      </c>
      <c r="Q54">
        <v>1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 t="s">
        <v>3</v>
      </c>
      <c r="AG54">
        <v>1</v>
      </c>
      <c r="AH54">
        <v>3</v>
      </c>
      <c r="AI54">
        <v>-1</v>
      </c>
      <c r="AJ54" t="s">
        <v>3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ROW(Source!A79)</f>
        <v>79</v>
      </c>
      <c r="B55">
        <v>73953845</v>
      </c>
      <c r="C55">
        <v>73953834</v>
      </c>
      <c r="D55">
        <v>72518787</v>
      </c>
      <c r="E55">
        <v>119</v>
      </c>
      <c r="F55">
        <v>1</v>
      </c>
      <c r="G55">
        <v>1</v>
      </c>
      <c r="H55">
        <v>1</v>
      </c>
      <c r="I55" t="s">
        <v>476</v>
      </c>
      <c r="J55" t="s">
        <v>3</v>
      </c>
      <c r="K55" t="s">
        <v>477</v>
      </c>
      <c r="L55">
        <v>1369</v>
      </c>
      <c r="N55">
        <v>1013</v>
      </c>
      <c r="O55" t="s">
        <v>478</v>
      </c>
      <c r="P55" t="s">
        <v>478</v>
      </c>
      <c r="Q55">
        <v>1</v>
      </c>
      <c r="X55">
        <v>0.1</v>
      </c>
      <c r="Y55">
        <v>0</v>
      </c>
      <c r="Z55">
        <v>0</v>
      </c>
      <c r="AA55">
        <v>0</v>
      </c>
      <c r="AB55">
        <v>325.57</v>
      </c>
      <c r="AC55">
        <v>0</v>
      </c>
      <c r="AD55">
        <v>1</v>
      </c>
      <c r="AE55">
        <v>1</v>
      </c>
      <c r="AF55" t="s">
        <v>3</v>
      </c>
      <c r="AG55">
        <v>0.1</v>
      </c>
      <c r="AH55">
        <v>2</v>
      </c>
      <c r="AI55">
        <v>73953835</v>
      </c>
      <c r="AJ55">
        <v>54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ROW(Source!A79)</f>
        <v>79</v>
      </c>
      <c r="B56">
        <v>73953846</v>
      </c>
      <c r="C56">
        <v>73953834</v>
      </c>
      <c r="D56">
        <v>72518791</v>
      </c>
      <c r="E56">
        <v>119</v>
      </c>
      <c r="F56">
        <v>1</v>
      </c>
      <c r="G56">
        <v>1</v>
      </c>
      <c r="H56">
        <v>1</v>
      </c>
      <c r="I56" t="s">
        <v>479</v>
      </c>
      <c r="J56" t="s">
        <v>3</v>
      </c>
      <c r="K56" t="s">
        <v>480</v>
      </c>
      <c r="L56">
        <v>1369</v>
      </c>
      <c r="N56">
        <v>1013</v>
      </c>
      <c r="O56" t="s">
        <v>478</v>
      </c>
      <c r="P56" t="s">
        <v>478</v>
      </c>
      <c r="Q56">
        <v>1</v>
      </c>
      <c r="X56">
        <v>69.83</v>
      </c>
      <c r="Y56">
        <v>0</v>
      </c>
      <c r="Z56">
        <v>0</v>
      </c>
      <c r="AA56">
        <v>0</v>
      </c>
      <c r="AB56">
        <v>400.24</v>
      </c>
      <c r="AC56">
        <v>0</v>
      </c>
      <c r="AD56">
        <v>1</v>
      </c>
      <c r="AE56">
        <v>1</v>
      </c>
      <c r="AF56" t="s">
        <v>3</v>
      </c>
      <c r="AG56">
        <v>69.83</v>
      </c>
      <c r="AH56">
        <v>2</v>
      </c>
      <c r="AI56">
        <v>73953836</v>
      </c>
      <c r="AJ56">
        <v>55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ROW(Source!A79)</f>
        <v>79</v>
      </c>
      <c r="B57">
        <v>73953847</v>
      </c>
      <c r="C57">
        <v>73953834</v>
      </c>
      <c r="D57">
        <v>72518826</v>
      </c>
      <c r="E57">
        <v>119</v>
      </c>
      <c r="F57">
        <v>1</v>
      </c>
      <c r="G57">
        <v>1</v>
      </c>
      <c r="H57">
        <v>1</v>
      </c>
      <c r="I57" t="s">
        <v>357</v>
      </c>
      <c r="J57" t="s">
        <v>3</v>
      </c>
      <c r="K57" t="s">
        <v>358</v>
      </c>
      <c r="L57">
        <v>1191</v>
      </c>
      <c r="N57">
        <v>1013</v>
      </c>
      <c r="O57" t="s">
        <v>359</v>
      </c>
      <c r="P57" t="s">
        <v>359</v>
      </c>
      <c r="Q57">
        <v>1</v>
      </c>
      <c r="X57">
        <v>0.09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2</v>
      </c>
      <c r="AF57" t="s">
        <v>3</v>
      </c>
      <c r="AG57">
        <v>0.09</v>
      </c>
      <c r="AH57">
        <v>2</v>
      </c>
      <c r="AI57">
        <v>73953837</v>
      </c>
      <c r="AJ57">
        <v>56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ROW(Source!A79)</f>
        <v>79</v>
      </c>
      <c r="B58">
        <v>73953848</v>
      </c>
      <c r="C58">
        <v>73953834</v>
      </c>
      <c r="D58">
        <v>72646931</v>
      </c>
      <c r="E58">
        <v>1</v>
      </c>
      <c r="F58">
        <v>1</v>
      </c>
      <c r="G58">
        <v>1</v>
      </c>
      <c r="H58">
        <v>2</v>
      </c>
      <c r="I58" t="s">
        <v>441</v>
      </c>
      <c r="J58" t="s">
        <v>442</v>
      </c>
      <c r="K58" t="s">
        <v>443</v>
      </c>
      <c r="L58">
        <v>1368</v>
      </c>
      <c r="N58">
        <v>1011</v>
      </c>
      <c r="O58" t="s">
        <v>363</v>
      </c>
      <c r="P58" t="s">
        <v>363</v>
      </c>
      <c r="Q58">
        <v>1</v>
      </c>
      <c r="X58">
        <v>0.09</v>
      </c>
      <c r="Y58">
        <v>0</v>
      </c>
      <c r="Z58">
        <v>655.95</v>
      </c>
      <c r="AA58">
        <v>400.24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0.09</v>
      </c>
      <c r="AH58">
        <v>2</v>
      </c>
      <c r="AI58">
        <v>73953838</v>
      </c>
      <c r="AJ58">
        <v>57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ROW(Source!A79)</f>
        <v>79</v>
      </c>
      <c r="B59">
        <v>73953849</v>
      </c>
      <c r="C59">
        <v>73953834</v>
      </c>
      <c r="D59">
        <v>72647089</v>
      </c>
      <c r="E59">
        <v>1</v>
      </c>
      <c r="F59">
        <v>1</v>
      </c>
      <c r="G59">
        <v>1</v>
      </c>
      <c r="H59">
        <v>2</v>
      </c>
      <c r="I59" t="s">
        <v>464</v>
      </c>
      <c r="J59" t="s">
        <v>465</v>
      </c>
      <c r="K59" t="s">
        <v>466</v>
      </c>
      <c r="L59">
        <v>1368</v>
      </c>
      <c r="N59">
        <v>1011</v>
      </c>
      <c r="O59" t="s">
        <v>363</v>
      </c>
      <c r="P59" t="s">
        <v>363</v>
      </c>
      <c r="Q59">
        <v>1</v>
      </c>
      <c r="X59">
        <v>0.6</v>
      </c>
      <c r="Y59">
        <v>0</v>
      </c>
      <c r="Z59">
        <v>8.6300000000000008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0.6</v>
      </c>
      <c r="AH59">
        <v>2</v>
      </c>
      <c r="AI59">
        <v>73953839</v>
      </c>
      <c r="AJ59">
        <v>58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ROW(Source!A79)</f>
        <v>79</v>
      </c>
      <c r="B60">
        <v>73953850</v>
      </c>
      <c r="C60">
        <v>73953834</v>
      </c>
      <c r="D60">
        <v>72647111</v>
      </c>
      <c r="E60">
        <v>1</v>
      </c>
      <c r="F60">
        <v>1</v>
      </c>
      <c r="G60">
        <v>1</v>
      </c>
      <c r="H60">
        <v>2</v>
      </c>
      <c r="I60" t="s">
        <v>467</v>
      </c>
      <c r="J60" t="s">
        <v>468</v>
      </c>
      <c r="K60" t="s">
        <v>469</v>
      </c>
      <c r="L60">
        <v>1368</v>
      </c>
      <c r="N60">
        <v>1011</v>
      </c>
      <c r="O60" t="s">
        <v>363</v>
      </c>
      <c r="P60" t="s">
        <v>363</v>
      </c>
      <c r="Q60">
        <v>1</v>
      </c>
      <c r="X60">
        <v>33.9</v>
      </c>
      <c r="Y60">
        <v>0</v>
      </c>
      <c r="Z60">
        <v>3.34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33.9</v>
      </c>
      <c r="AH60">
        <v>2</v>
      </c>
      <c r="AI60">
        <v>73953840</v>
      </c>
      <c r="AJ60">
        <v>59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ROW(Source!A79)</f>
        <v>79</v>
      </c>
      <c r="B61">
        <v>73953851</v>
      </c>
      <c r="C61">
        <v>73953834</v>
      </c>
      <c r="D61">
        <v>72647129</v>
      </c>
      <c r="E61">
        <v>1</v>
      </c>
      <c r="F61">
        <v>1</v>
      </c>
      <c r="G61">
        <v>1</v>
      </c>
      <c r="H61">
        <v>2</v>
      </c>
      <c r="I61" t="s">
        <v>394</v>
      </c>
      <c r="J61" t="s">
        <v>395</v>
      </c>
      <c r="K61" t="s">
        <v>396</v>
      </c>
      <c r="L61">
        <v>1368</v>
      </c>
      <c r="N61">
        <v>1011</v>
      </c>
      <c r="O61" t="s">
        <v>363</v>
      </c>
      <c r="P61" t="s">
        <v>363</v>
      </c>
      <c r="Q61">
        <v>1</v>
      </c>
      <c r="X61">
        <v>2.1</v>
      </c>
      <c r="Y61">
        <v>0</v>
      </c>
      <c r="Z61">
        <v>43.87</v>
      </c>
      <c r="AA61">
        <v>0</v>
      </c>
      <c r="AB61">
        <v>0</v>
      </c>
      <c r="AC61">
        <v>0</v>
      </c>
      <c r="AD61">
        <v>1</v>
      </c>
      <c r="AE61">
        <v>0</v>
      </c>
      <c r="AF61" t="s">
        <v>3</v>
      </c>
      <c r="AG61">
        <v>2.1</v>
      </c>
      <c r="AH61">
        <v>2</v>
      </c>
      <c r="AI61">
        <v>73953841</v>
      </c>
      <c r="AJ61">
        <v>60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ROW(Source!A79)</f>
        <v>79</v>
      </c>
      <c r="B62">
        <v>73953852</v>
      </c>
      <c r="C62">
        <v>73953834</v>
      </c>
      <c r="D62">
        <v>72592092</v>
      </c>
      <c r="E62">
        <v>1</v>
      </c>
      <c r="F62">
        <v>1</v>
      </c>
      <c r="G62">
        <v>1</v>
      </c>
      <c r="H62">
        <v>3</v>
      </c>
      <c r="I62" t="s">
        <v>408</v>
      </c>
      <c r="J62" t="s">
        <v>409</v>
      </c>
      <c r="K62" t="s">
        <v>410</v>
      </c>
      <c r="L62">
        <v>1346</v>
      </c>
      <c r="N62">
        <v>1009</v>
      </c>
      <c r="O62" t="s">
        <v>411</v>
      </c>
      <c r="P62" t="s">
        <v>411</v>
      </c>
      <c r="Q62">
        <v>1</v>
      </c>
      <c r="X62">
        <v>0.33</v>
      </c>
      <c r="Y62">
        <v>131.85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 t="s">
        <v>3</v>
      </c>
      <c r="AG62">
        <v>0.33</v>
      </c>
      <c r="AH62">
        <v>2</v>
      </c>
      <c r="AI62">
        <v>73953842</v>
      </c>
      <c r="AJ62">
        <v>61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ROW(Source!A79)</f>
        <v>79</v>
      </c>
      <c r="B63">
        <v>73953853</v>
      </c>
      <c r="C63">
        <v>73953834</v>
      </c>
      <c r="D63">
        <v>72594025</v>
      </c>
      <c r="E63">
        <v>1</v>
      </c>
      <c r="F63">
        <v>1</v>
      </c>
      <c r="G63">
        <v>1</v>
      </c>
      <c r="H63">
        <v>3</v>
      </c>
      <c r="I63" t="s">
        <v>473</v>
      </c>
      <c r="J63" t="s">
        <v>474</v>
      </c>
      <c r="K63" t="s">
        <v>475</v>
      </c>
      <c r="L63">
        <v>1346</v>
      </c>
      <c r="N63">
        <v>1009</v>
      </c>
      <c r="O63" t="s">
        <v>411</v>
      </c>
      <c r="P63" t="s">
        <v>411</v>
      </c>
      <c r="Q63">
        <v>1</v>
      </c>
      <c r="X63">
        <v>0.02</v>
      </c>
      <c r="Y63">
        <v>56.11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 t="s">
        <v>3</v>
      </c>
      <c r="AG63">
        <v>0.02</v>
      </c>
      <c r="AH63">
        <v>2</v>
      </c>
      <c r="AI63">
        <v>73953843</v>
      </c>
      <c r="AJ63">
        <v>62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ROW(Source!A79)</f>
        <v>79</v>
      </c>
      <c r="B64">
        <v>73953854</v>
      </c>
      <c r="C64">
        <v>73953834</v>
      </c>
      <c r="D64">
        <v>72610957</v>
      </c>
      <c r="E64">
        <v>1</v>
      </c>
      <c r="F64">
        <v>1</v>
      </c>
      <c r="G64">
        <v>1</v>
      </c>
      <c r="H64">
        <v>3</v>
      </c>
      <c r="I64" t="s">
        <v>481</v>
      </c>
      <c r="J64" t="s">
        <v>482</v>
      </c>
      <c r="K64" t="s">
        <v>483</v>
      </c>
      <c r="L64">
        <v>1346</v>
      </c>
      <c r="N64">
        <v>1009</v>
      </c>
      <c r="O64" t="s">
        <v>411</v>
      </c>
      <c r="P64" t="s">
        <v>411</v>
      </c>
      <c r="Q64">
        <v>1</v>
      </c>
      <c r="X64">
        <v>0.1</v>
      </c>
      <c r="Y64">
        <v>60.6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0</v>
      </c>
      <c r="AF64" t="s">
        <v>3</v>
      </c>
      <c r="AG64">
        <v>0.1</v>
      </c>
      <c r="AH64">
        <v>2</v>
      </c>
      <c r="AI64">
        <v>73953844</v>
      </c>
      <c r="AJ64">
        <v>63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ROW(Source!A79)</f>
        <v>79</v>
      </c>
      <c r="B65">
        <v>73953855</v>
      </c>
      <c r="C65">
        <v>73953834</v>
      </c>
      <c r="D65">
        <v>72524093</v>
      </c>
      <c r="E65">
        <v>119</v>
      </c>
      <c r="F65">
        <v>1</v>
      </c>
      <c r="G65">
        <v>1</v>
      </c>
      <c r="H65">
        <v>3</v>
      </c>
      <c r="I65" t="s">
        <v>565</v>
      </c>
      <c r="J65" t="s">
        <v>3</v>
      </c>
      <c r="K65" t="s">
        <v>562</v>
      </c>
      <c r="L65">
        <v>1301</v>
      </c>
      <c r="N65">
        <v>1003</v>
      </c>
      <c r="O65" t="s">
        <v>122</v>
      </c>
      <c r="P65" t="s">
        <v>122</v>
      </c>
      <c r="Q65">
        <v>1</v>
      </c>
      <c r="X65">
        <v>5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 t="s">
        <v>3</v>
      </c>
      <c r="AG65">
        <v>5</v>
      </c>
      <c r="AH65">
        <v>3</v>
      </c>
      <c r="AI65">
        <v>-1</v>
      </c>
      <c r="AJ65" t="s">
        <v>3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ROW(Source!A79)</f>
        <v>79</v>
      </c>
      <c r="B66">
        <v>73953856</v>
      </c>
      <c r="C66">
        <v>73953834</v>
      </c>
      <c r="D66">
        <v>72524306</v>
      </c>
      <c r="E66">
        <v>119</v>
      </c>
      <c r="F66">
        <v>1</v>
      </c>
      <c r="G66">
        <v>1</v>
      </c>
      <c r="H66">
        <v>3</v>
      </c>
      <c r="I66" t="s">
        <v>566</v>
      </c>
      <c r="J66" t="s">
        <v>3</v>
      </c>
      <c r="K66" t="s">
        <v>567</v>
      </c>
      <c r="L66">
        <v>1371</v>
      </c>
      <c r="N66">
        <v>1013</v>
      </c>
      <c r="O66" t="s">
        <v>130</v>
      </c>
      <c r="P66" t="s">
        <v>130</v>
      </c>
      <c r="Q66">
        <v>1</v>
      </c>
      <c r="X66">
        <v>10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 t="s">
        <v>3</v>
      </c>
      <c r="AG66">
        <v>10</v>
      </c>
      <c r="AH66">
        <v>3</v>
      </c>
      <c r="AI66">
        <v>-1</v>
      </c>
      <c r="AJ66" t="s">
        <v>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ROW(Source!A79)</f>
        <v>79</v>
      </c>
      <c r="B67">
        <v>73953857</v>
      </c>
      <c r="C67">
        <v>73953834</v>
      </c>
      <c r="D67">
        <v>72524457</v>
      </c>
      <c r="E67">
        <v>119</v>
      </c>
      <c r="F67">
        <v>1</v>
      </c>
      <c r="G67">
        <v>1</v>
      </c>
      <c r="H67">
        <v>3</v>
      </c>
      <c r="I67" t="s">
        <v>568</v>
      </c>
      <c r="J67" t="s">
        <v>3</v>
      </c>
      <c r="K67" t="s">
        <v>569</v>
      </c>
      <c r="L67">
        <v>1301</v>
      </c>
      <c r="N67">
        <v>1003</v>
      </c>
      <c r="O67" t="s">
        <v>122</v>
      </c>
      <c r="P67" t="s">
        <v>122</v>
      </c>
      <c r="Q67">
        <v>1</v>
      </c>
      <c r="X67">
        <v>5.91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 t="s">
        <v>3</v>
      </c>
      <c r="AG67">
        <v>5.91</v>
      </c>
      <c r="AH67">
        <v>3</v>
      </c>
      <c r="AI67">
        <v>-1</v>
      </c>
      <c r="AJ67" t="s">
        <v>3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ROW(Source!A79)</f>
        <v>79</v>
      </c>
      <c r="B68">
        <v>73953858</v>
      </c>
      <c r="C68">
        <v>73953834</v>
      </c>
      <c r="D68">
        <v>72524472</v>
      </c>
      <c r="E68">
        <v>119</v>
      </c>
      <c r="F68">
        <v>1</v>
      </c>
      <c r="G68">
        <v>1</v>
      </c>
      <c r="H68">
        <v>3</v>
      </c>
      <c r="I68" t="s">
        <v>556</v>
      </c>
      <c r="J68" t="s">
        <v>3</v>
      </c>
      <c r="K68" t="s">
        <v>570</v>
      </c>
      <c r="L68">
        <v>1301</v>
      </c>
      <c r="N68">
        <v>1003</v>
      </c>
      <c r="O68" t="s">
        <v>122</v>
      </c>
      <c r="P68" t="s">
        <v>122</v>
      </c>
      <c r="Q68">
        <v>1</v>
      </c>
      <c r="X68">
        <v>0</v>
      </c>
      <c r="Y68">
        <v>0</v>
      </c>
      <c r="Z68">
        <v>0</v>
      </c>
      <c r="AA68">
        <v>0</v>
      </c>
      <c r="AB68">
        <v>0</v>
      </c>
      <c r="AC68">
        <v>1</v>
      </c>
      <c r="AD68">
        <v>0</v>
      </c>
      <c r="AE68">
        <v>0</v>
      </c>
      <c r="AF68" t="s">
        <v>3</v>
      </c>
      <c r="AG68">
        <v>0</v>
      </c>
      <c r="AH68">
        <v>3</v>
      </c>
      <c r="AI68">
        <v>-1</v>
      </c>
      <c r="AJ68" t="s">
        <v>3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ROW(Source!A79)</f>
        <v>79</v>
      </c>
      <c r="B69">
        <v>73953859</v>
      </c>
      <c r="C69">
        <v>73953834</v>
      </c>
      <c r="D69">
        <v>72524528</v>
      </c>
      <c r="E69">
        <v>119</v>
      </c>
      <c r="F69">
        <v>1</v>
      </c>
      <c r="G69">
        <v>1</v>
      </c>
      <c r="H69">
        <v>3</v>
      </c>
      <c r="I69" t="s">
        <v>563</v>
      </c>
      <c r="J69" t="s">
        <v>3</v>
      </c>
      <c r="K69" t="s">
        <v>571</v>
      </c>
      <c r="L69">
        <v>1371</v>
      </c>
      <c r="N69">
        <v>1013</v>
      </c>
      <c r="O69" t="s">
        <v>130</v>
      </c>
      <c r="P69" t="s">
        <v>130</v>
      </c>
      <c r="Q69">
        <v>1</v>
      </c>
      <c r="X69">
        <v>30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 t="s">
        <v>3</v>
      </c>
      <c r="AG69">
        <v>30</v>
      </c>
      <c r="AH69">
        <v>3</v>
      </c>
      <c r="AI69">
        <v>-1</v>
      </c>
      <c r="AJ69" t="s">
        <v>3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ROW(Source!A79)</f>
        <v>79</v>
      </c>
      <c r="B70">
        <v>73953860</v>
      </c>
      <c r="C70">
        <v>73953834</v>
      </c>
      <c r="D70">
        <v>72524535</v>
      </c>
      <c r="E70">
        <v>119</v>
      </c>
      <c r="F70">
        <v>1</v>
      </c>
      <c r="G70">
        <v>1</v>
      </c>
      <c r="H70">
        <v>3</v>
      </c>
      <c r="I70" t="s">
        <v>572</v>
      </c>
      <c r="J70" t="s">
        <v>3</v>
      </c>
      <c r="K70" t="s">
        <v>573</v>
      </c>
      <c r="L70">
        <v>1371</v>
      </c>
      <c r="N70">
        <v>1013</v>
      </c>
      <c r="O70" t="s">
        <v>130</v>
      </c>
      <c r="P70" t="s">
        <v>130</v>
      </c>
      <c r="Q70">
        <v>1</v>
      </c>
      <c r="X70">
        <v>10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 t="s">
        <v>3</v>
      </c>
      <c r="AG70">
        <v>10</v>
      </c>
      <c r="AH70">
        <v>3</v>
      </c>
      <c r="AI70">
        <v>-1</v>
      </c>
      <c r="AJ70" t="s">
        <v>3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ROW(Source!A81)</f>
        <v>81</v>
      </c>
      <c r="B71">
        <v>73954692</v>
      </c>
      <c r="C71">
        <v>73954665</v>
      </c>
      <c r="D71">
        <v>72518648</v>
      </c>
      <c r="E71">
        <v>119</v>
      </c>
      <c r="F71">
        <v>1</v>
      </c>
      <c r="G71">
        <v>1</v>
      </c>
      <c r="H71">
        <v>1</v>
      </c>
      <c r="I71" t="s">
        <v>430</v>
      </c>
      <c r="J71" t="s">
        <v>3</v>
      </c>
      <c r="K71" t="s">
        <v>431</v>
      </c>
      <c r="L71">
        <v>1191</v>
      </c>
      <c r="N71">
        <v>1013</v>
      </c>
      <c r="O71" t="s">
        <v>359</v>
      </c>
      <c r="P71" t="s">
        <v>359</v>
      </c>
      <c r="Q71">
        <v>1</v>
      </c>
      <c r="X71">
        <v>1.54</v>
      </c>
      <c r="Y71">
        <v>0</v>
      </c>
      <c r="Z71">
        <v>0</v>
      </c>
      <c r="AA71">
        <v>0</v>
      </c>
      <c r="AB71">
        <v>391.28</v>
      </c>
      <c r="AC71">
        <v>0</v>
      </c>
      <c r="AD71">
        <v>1</v>
      </c>
      <c r="AE71">
        <v>1</v>
      </c>
      <c r="AF71" t="s">
        <v>3</v>
      </c>
      <c r="AG71">
        <v>1.54</v>
      </c>
      <c r="AH71">
        <v>2</v>
      </c>
      <c r="AI71">
        <v>73954692</v>
      </c>
      <c r="AJ71">
        <v>64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ROW(Source!A81)</f>
        <v>81</v>
      </c>
      <c r="B72">
        <v>73954693</v>
      </c>
      <c r="C72">
        <v>73954665</v>
      </c>
      <c r="D72">
        <v>72518826</v>
      </c>
      <c r="E72">
        <v>119</v>
      </c>
      <c r="F72">
        <v>1</v>
      </c>
      <c r="G72">
        <v>1</v>
      </c>
      <c r="H72">
        <v>1</v>
      </c>
      <c r="I72" t="s">
        <v>357</v>
      </c>
      <c r="J72" t="s">
        <v>3</v>
      </c>
      <c r="K72" t="s">
        <v>358</v>
      </c>
      <c r="L72">
        <v>1191</v>
      </c>
      <c r="N72">
        <v>1013</v>
      </c>
      <c r="O72" t="s">
        <v>359</v>
      </c>
      <c r="P72" t="s">
        <v>359</v>
      </c>
      <c r="Q72">
        <v>1</v>
      </c>
      <c r="X72">
        <v>0.48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2</v>
      </c>
      <c r="AF72" t="s">
        <v>3</v>
      </c>
      <c r="AG72">
        <v>0.48</v>
      </c>
      <c r="AH72">
        <v>2</v>
      </c>
      <c r="AI72">
        <v>73954693</v>
      </c>
      <c r="AJ72">
        <v>65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ROW(Source!A81)</f>
        <v>81</v>
      </c>
      <c r="B73">
        <v>73954694</v>
      </c>
      <c r="C73">
        <v>73954665</v>
      </c>
      <c r="D73">
        <v>72646037</v>
      </c>
      <c r="E73">
        <v>1</v>
      </c>
      <c r="F73">
        <v>1</v>
      </c>
      <c r="G73">
        <v>1</v>
      </c>
      <c r="H73">
        <v>2</v>
      </c>
      <c r="I73" t="s">
        <v>435</v>
      </c>
      <c r="J73" t="s">
        <v>436</v>
      </c>
      <c r="K73" t="s">
        <v>437</v>
      </c>
      <c r="L73">
        <v>1368</v>
      </c>
      <c r="N73">
        <v>1011</v>
      </c>
      <c r="O73" t="s">
        <v>363</v>
      </c>
      <c r="P73" t="s">
        <v>363</v>
      </c>
      <c r="Q73">
        <v>1</v>
      </c>
      <c r="X73">
        <v>0.25</v>
      </c>
      <c r="Y73">
        <v>0</v>
      </c>
      <c r="Z73">
        <v>1836.16</v>
      </c>
      <c r="AA73">
        <v>537.64</v>
      </c>
      <c r="AB73">
        <v>0</v>
      </c>
      <c r="AC73">
        <v>0</v>
      </c>
      <c r="AD73">
        <v>1</v>
      </c>
      <c r="AE73">
        <v>0</v>
      </c>
      <c r="AF73" t="s">
        <v>3</v>
      </c>
      <c r="AG73">
        <v>0.25</v>
      </c>
      <c r="AH73">
        <v>2</v>
      </c>
      <c r="AI73">
        <v>73954694</v>
      </c>
      <c r="AJ73">
        <v>66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ROW(Source!A81)</f>
        <v>81</v>
      </c>
      <c r="B74">
        <v>73954695</v>
      </c>
      <c r="C74">
        <v>73954665</v>
      </c>
      <c r="D74">
        <v>72646931</v>
      </c>
      <c r="E74">
        <v>1</v>
      </c>
      <c r="F74">
        <v>1</v>
      </c>
      <c r="G74">
        <v>1</v>
      </c>
      <c r="H74">
        <v>2</v>
      </c>
      <c r="I74" t="s">
        <v>441</v>
      </c>
      <c r="J74" t="s">
        <v>442</v>
      </c>
      <c r="K74" t="s">
        <v>443</v>
      </c>
      <c r="L74">
        <v>1368</v>
      </c>
      <c r="N74">
        <v>1011</v>
      </c>
      <c r="O74" t="s">
        <v>363</v>
      </c>
      <c r="P74" t="s">
        <v>363</v>
      </c>
      <c r="Q74">
        <v>1</v>
      </c>
      <c r="X74">
        <v>0.23</v>
      </c>
      <c r="Y74">
        <v>0</v>
      </c>
      <c r="Z74">
        <v>655.95</v>
      </c>
      <c r="AA74">
        <v>400.24</v>
      </c>
      <c r="AB74">
        <v>0</v>
      </c>
      <c r="AC74">
        <v>0</v>
      </c>
      <c r="AD74">
        <v>1</v>
      </c>
      <c r="AE74">
        <v>0</v>
      </c>
      <c r="AF74" t="s">
        <v>3</v>
      </c>
      <c r="AG74">
        <v>0.23</v>
      </c>
      <c r="AH74">
        <v>2</v>
      </c>
      <c r="AI74">
        <v>73954695</v>
      </c>
      <c r="AJ74">
        <v>67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ROW(Source!A81)</f>
        <v>81</v>
      </c>
      <c r="B75">
        <v>73954696</v>
      </c>
      <c r="C75">
        <v>73954665</v>
      </c>
      <c r="D75">
        <v>72647091</v>
      </c>
      <c r="E75">
        <v>1</v>
      </c>
      <c r="F75">
        <v>1</v>
      </c>
      <c r="G75">
        <v>1</v>
      </c>
      <c r="H75">
        <v>2</v>
      </c>
      <c r="I75" t="s">
        <v>444</v>
      </c>
      <c r="J75" t="s">
        <v>445</v>
      </c>
      <c r="K75" t="s">
        <v>446</v>
      </c>
      <c r="L75">
        <v>1368</v>
      </c>
      <c r="N75">
        <v>1011</v>
      </c>
      <c r="O75" t="s">
        <v>363</v>
      </c>
      <c r="P75" t="s">
        <v>363</v>
      </c>
      <c r="Q75">
        <v>1</v>
      </c>
      <c r="X75">
        <v>0.01</v>
      </c>
      <c r="Y75">
        <v>0</v>
      </c>
      <c r="Z75">
        <v>4.3499999999999996</v>
      </c>
      <c r="AA75">
        <v>0</v>
      </c>
      <c r="AB75">
        <v>0</v>
      </c>
      <c r="AC75">
        <v>0</v>
      </c>
      <c r="AD75">
        <v>1</v>
      </c>
      <c r="AE75">
        <v>0</v>
      </c>
      <c r="AF75" t="s">
        <v>3</v>
      </c>
      <c r="AG75">
        <v>0.01</v>
      </c>
      <c r="AH75">
        <v>2</v>
      </c>
      <c r="AI75">
        <v>73954696</v>
      </c>
      <c r="AJ75">
        <v>68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ROW(Source!A81)</f>
        <v>81</v>
      </c>
      <c r="B76">
        <v>73954697</v>
      </c>
      <c r="C76">
        <v>73954665</v>
      </c>
      <c r="D76">
        <v>72647129</v>
      </c>
      <c r="E76">
        <v>1</v>
      </c>
      <c r="F76">
        <v>1</v>
      </c>
      <c r="G76">
        <v>1</v>
      </c>
      <c r="H76">
        <v>2</v>
      </c>
      <c r="I76" t="s">
        <v>394</v>
      </c>
      <c r="J76" t="s">
        <v>395</v>
      </c>
      <c r="K76" t="s">
        <v>396</v>
      </c>
      <c r="L76">
        <v>1368</v>
      </c>
      <c r="N76">
        <v>1011</v>
      </c>
      <c r="O76" t="s">
        <v>363</v>
      </c>
      <c r="P76" t="s">
        <v>363</v>
      </c>
      <c r="Q76">
        <v>1</v>
      </c>
      <c r="X76">
        <v>0.41</v>
      </c>
      <c r="Y76">
        <v>0</v>
      </c>
      <c r="Z76">
        <v>43.87</v>
      </c>
      <c r="AA76">
        <v>0</v>
      </c>
      <c r="AB76">
        <v>0</v>
      </c>
      <c r="AC76">
        <v>0</v>
      </c>
      <c r="AD76">
        <v>1</v>
      </c>
      <c r="AE76">
        <v>0</v>
      </c>
      <c r="AF76" t="s">
        <v>3</v>
      </c>
      <c r="AG76">
        <v>0.41</v>
      </c>
      <c r="AH76">
        <v>2</v>
      </c>
      <c r="AI76">
        <v>73954697</v>
      </c>
      <c r="AJ76">
        <v>69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ROW(Source!A81)</f>
        <v>81</v>
      </c>
      <c r="B77">
        <v>73954698</v>
      </c>
      <c r="C77">
        <v>73954665</v>
      </c>
      <c r="D77">
        <v>72589309</v>
      </c>
      <c r="E77">
        <v>1</v>
      </c>
      <c r="F77">
        <v>1</v>
      </c>
      <c r="G77">
        <v>1</v>
      </c>
      <c r="H77">
        <v>3</v>
      </c>
      <c r="I77" t="s">
        <v>450</v>
      </c>
      <c r="J77" t="s">
        <v>451</v>
      </c>
      <c r="K77" t="s">
        <v>452</v>
      </c>
      <c r="L77">
        <v>1339</v>
      </c>
      <c r="N77">
        <v>1007</v>
      </c>
      <c r="O77" t="s">
        <v>48</v>
      </c>
      <c r="P77" t="s">
        <v>48</v>
      </c>
      <c r="Q77">
        <v>1</v>
      </c>
      <c r="X77">
        <v>1.4999999999999999E-2</v>
      </c>
      <c r="Y77">
        <v>115.4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 t="s">
        <v>3</v>
      </c>
      <c r="AG77">
        <v>1.4999999999999999E-2</v>
      </c>
      <c r="AH77">
        <v>2</v>
      </c>
      <c r="AI77">
        <v>73954698</v>
      </c>
      <c r="AJ77">
        <v>70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ROW(Source!A81)</f>
        <v>81</v>
      </c>
      <c r="B78">
        <v>73954699</v>
      </c>
      <c r="C78">
        <v>73954665</v>
      </c>
      <c r="D78">
        <v>72589313</v>
      </c>
      <c r="E78">
        <v>1</v>
      </c>
      <c r="F78">
        <v>1</v>
      </c>
      <c r="G78">
        <v>1</v>
      </c>
      <c r="H78">
        <v>3</v>
      </c>
      <c r="I78" t="s">
        <v>453</v>
      </c>
      <c r="J78" t="s">
        <v>454</v>
      </c>
      <c r="K78" t="s">
        <v>455</v>
      </c>
      <c r="L78">
        <v>1346</v>
      </c>
      <c r="N78">
        <v>1009</v>
      </c>
      <c r="O78" t="s">
        <v>411</v>
      </c>
      <c r="P78" t="s">
        <v>411</v>
      </c>
      <c r="Q78">
        <v>1</v>
      </c>
      <c r="X78">
        <v>3.5</v>
      </c>
      <c r="Y78">
        <v>41.38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 t="s">
        <v>3</v>
      </c>
      <c r="AG78">
        <v>3.5</v>
      </c>
      <c r="AH78">
        <v>2</v>
      </c>
      <c r="AI78">
        <v>73954699</v>
      </c>
      <c r="AJ78">
        <v>71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ROW(Source!A81)</f>
        <v>81</v>
      </c>
      <c r="B79">
        <v>73954700</v>
      </c>
      <c r="C79">
        <v>73954665</v>
      </c>
      <c r="D79">
        <v>72591353</v>
      </c>
      <c r="E79">
        <v>1</v>
      </c>
      <c r="F79">
        <v>1</v>
      </c>
      <c r="G79">
        <v>1</v>
      </c>
      <c r="H79">
        <v>3</v>
      </c>
      <c r="I79" t="s">
        <v>404</v>
      </c>
      <c r="J79" t="s">
        <v>405</v>
      </c>
      <c r="K79" t="s">
        <v>406</v>
      </c>
      <c r="L79">
        <v>1383</v>
      </c>
      <c r="N79">
        <v>1013</v>
      </c>
      <c r="O79" t="s">
        <v>407</v>
      </c>
      <c r="P79" t="s">
        <v>407</v>
      </c>
      <c r="Q79">
        <v>1</v>
      </c>
      <c r="X79">
        <v>0.16200000000000001</v>
      </c>
      <c r="Y79">
        <v>9.5500000000000007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 t="s">
        <v>3</v>
      </c>
      <c r="AG79">
        <v>0.16200000000000001</v>
      </c>
      <c r="AH79">
        <v>2</v>
      </c>
      <c r="AI79">
        <v>73954700</v>
      </c>
      <c r="AJ79">
        <v>72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ROW(Source!A81)</f>
        <v>81</v>
      </c>
      <c r="B80">
        <v>73954701</v>
      </c>
      <c r="C80">
        <v>73954665</v>
      </c>
      <c r="D80">
        <v>72592092</v>
      </c>
      <c r="E80">
        <v>1</v>
      </c>
      <c r="F80">
        <v>1</v>
      </c>
      <c r="G80">
        <v>1</v>
      </c>
      <c r="H80">
        <v>3</v>
      </c>
      <c r="I80" t="s">
        <v>408</v>
      </c>
      <c r="J80" t="s">
        <v>409</v>
      </c>
      <c r="K80" t="s">
        <v>410</v>
      </c>
      <c r="L80">
        <v>1346</v>
      </c>
      <c r="N80">
        <v>1009</v>
      </c>
      <c r="O80" t="s">
        <v>411</v>
      </c>
      <c r="P80" t="s">
        <v>411</v>
      </c>
      <c r="Q80">
        <v>1</v>
      </c>
      <c r="X80">
        <v>0.09</v>
      </c>
      <c r="Y80">
        <v>131.85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0</v>
      </c>
      <c r="AF80" t="s">
        <v>3</v>
      </c>
      <c r="AG80">
        <v>0.09</v>
      </c>
      <c r="AH80">
        <v>2</v>
      </c>
      <c r="AI80">
        <v>73954701</v>
      </c>
      <c r="AJ80">
        <v>73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ROW(Source!A81)</f>
        <v>81</v>
      </c>
      <c r="B81">
        <v>73954702</v>
      </c>
      <c r="C81">
        <v>73954665</v>
      </c>
      <c r="D81">
        <v>72594458</v>
      </c>
      <c r="E81">
        <v>1</v>
      </c>
      <c r="F81">
        <v>1</v>
      </c>
      <c r="G81">
        <v>1</v>
      </c>
      <c r="H81">
        <v>3</v>
      </c>
      <c r="I81" t="s">
        <v>484</v>
      </c>
      <c r="J81" t="s">
        <v>485</v>
      </c>
      <c r="K81" t="s">
        <v>486</v>
      </c>
      <c r="L81">
        <v>1339</v>
      </c>
      <c r="N81">
        <v>1007</v>
      </c>
      <c r="O81" t="s">
        <v>48</v>
      </c>
      <c r="P81" t="s">
        <v>48</v>
      </c>
      <c r="Q81">
        <v>1</v>
      </c>
      <c r="X81">
        <v>0.02</v>
      </c>
      <c r="Y81">
        <v>565.20000000000005</v>
      </c>
      <c r="Z81">
        <v>0</v>
      </c>
      <c r="AA81">
        <v>0</v>
      </c>
      <c r="AB81">
        <v>0</v>
      </c>
      <c r="AC81">
        <v>0</v>
      </c>
      <c r="AD81">
        <v>1</v>
      </c>
      <c r="AE81">
        <v>0</v>
      </c>
      <c r="AF81" t="s">
        <v>3</v>
      </c>
      <c r="AG81">
        <v>0.02</v>
      </c>
      <c r="AH81">
        <v>2</v>
      </c>
      <c r="AI81">
        <v>73954702</v>
      </c>
      <c r="AJ81">
        <v>74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ROW(Source!A81)</f>
        <v>81</v>
      </c>
      <c r="B82">
        <v>73954703</v>
      </c>
      <c r="C82">
        <v>73954665</v>
      </c>
      <c r="D82">
        <v>72594935</v>
      </c>
      <c r="E82">
        <v>1</v>
      </c>
      <c r="F82">
        <v>1</v>
      </c>
      <c r="G82">
        <v>1</v>
      </c>
      <c r="H82">
        <v>3</v>
      </c>
      <c r="I82" t="s">
        <v>487</v>
      </c>
      <c r="J82" t="s">
        <v>488</v>
      </c>
      <c r="K82" t="s">
        <v>489</v>
      </c>
      <c r="L82">
        <v>1339</v>
      </c>
      <c r="N82">
        <v>1007</v>
      </c>
      <c r="O82" t="s">
        <v>48</v>
      </c>
      <c r="P82" t="s">
        <v>48</v>
      </c>
      <c r="Q82">
        <v>1</v>
      </c>
      <c r="X82">
        <v>1E-3</v>
      </c>
      <c r="Y82">
        <v>4442.71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0</v>
      </c>
      <c r="AF82" t="s">
        <v>3</v>
      </c>
      <c r="AG82">
        <v>1E-3</v>
      </c>
      <c r="AH82">
        <v>2</v>
      </c>
      <c r="AI82">
        <v>73954703</v>
      </c>
      <c r="AJ82">
        <v>75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ROW(Source!A81)</f>
        <v>81</v>
      </c>
      <c r="B83">
        <v>73954704</v>
      </c>
      <c r="C83">
        <v>73954665</v>
      </c>
      <c r="D83">
        <v>72520200</v>
      </c>
      <c r="E83">
        <v>119</v>
      </c>
      <c r="F83">
        <v>1</v>
      </c>
      <c r="G83">
        <v>1</v>
      </c>
      <c r="H83">
        <v>3</v>
      </c>
      <c r="I83" t="s">
        <v>574</v>
      </c>
      <c r="J83" t="s">
        <v>3</v>
      </c>
      <c r="K83" t="s">
        <v>575</v>
      </c>
      <c r="L83">
        <v>1339</v>
      </c>
      <c r="N83">
        <v>1007</v>
      </c>
      <c r="O83" t="s">
        <v>48</v>
      </c>
      <c r="P83" t="s">
        <v>48</v>
      </c>
      <c r="Q83">
        <v>1</v>
      </c>
      <c r="X83">
        <v>0.04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 t="s">
        <v>3</v>
      </c>
      <c r="AG83">
        <v>0.04</v>
      </c>
      <c r="AH83">
        <v>3</v>
      </c>
      <c r="AI83">
        <v>-1</v>
      </c>
      <c r="AJ83" t="s">
        <v>3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ROW(Source!A81)</f>
        <v>81</v>
      </c>
      <c r="B84">
        <v>73954705</v>
      </c>
      <c r="C84">
        <v>73954665</v>
      </c>
      <c r="D84">
        <v>72523439</v>
      </c>
      <c r="E84">
        <v>119</v>
      </c>
      <c r="F84">
        <v>1</v>
      </c>
      <c r="G84">
        <v>1</v>
      </c>
      <c r="H84">
        <v>3</v>
      </c>
      <c r="I84" t="s">
        <v>576</v>
      </c>
      <c r="J84" t="s">
        <v>3</v>
      </c>
      <c r="K84" t="s">
        <v>577</v>
      </c>
      <c r="L84">
        <v>1371</v>
      </c>
      <c r="N84">
        <v>1013</v>
      </c>
      <c r="O84" t="s">
        <v>130</v>
      </c>
      <c r="P84" t="s">
        <v>130</v>
      </c>
      <c r="Q84">
        <v>1</v>
      </c>
      <c r="X84">
        <v>1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 t="s">
        <v>3</v>
      </c>
      <c r="AG84">
        <v>1</v>
      </c>
      <c r="AH84">
        <v>3</v>
      </c>
      <c r="AI84">
        <v>-1</v>
      </c>
      <c r="AJ84" t="s">
        <v>3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ROW(Source!A81)</f>
        <v>81</v>
      </c>
      <c r="B85">
        <v>73954706</v>
      </c>
      <c r="C85">
        <v>73954665</v>
      </c>
      <c r="D85">
        <v>72523458</v>
      </c>
      <c r="E85">
        <v>119</v>
      </c>
      <c r="F85">
        <v>1</v>
      </c>
      <c r="G85">
        <v>1</v>
      </c>
      <c r="H85">
        <v>3</v>
      </c>
      <c r="I85" t="s">
        <v>578</v>
      </c>
      <c r="J85" t="s">
        <v>3</v>
      </c>
      <c r="K85" t="s">
        <v>579</v>
      </c>
      <c r="L85">
        <v>1377</v>
      </c>
      <c r="N85">
        <v>1013</v>
      </c>
      <c r="O85" t="s">
        <v>580</v>
      </c>
      <c r="P85" t="s">
        <v>580</v>
      </c>
      <c r="Q85">
        <v>1</v>
      </c>
      <c r="X85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 t="s">
        <v>3</v>
      </c>
      <c r="AG85">
        <v>1</v>
      </c>
      <c r="AH85">
        <v>3</v>
      </c>
      <c r="AI85">
        <v>-1</v>
      </c>
      <c r="AJ85" t="s">
        <v>3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ROW(Source!A83)</f>
        <v>83</v>
      </c>
      <c r="B86">
        <v>73953879</v>
      </c>
      <c r="C86">
        <v>73953862</v>
      </c>
      <c r="D86">
        <v>72518669</v>
      </c>
      <c r="E86">
        <v>119</v>
      </c>
      <c r="F86">
        <v>1</v>
      </c>
      <c r="G86">
        <v>1</v>
      </c>
      <c r="H86">
        <v>1</v>
      </c>
      <c r="I86" t="s">
        <v>490</v>
      </c>
      <c r="J86" t="s">
        <v>3</v>
      </c>
      <c r="K86" t="s">
        <v>491</v>
      </c>
      <c r="L86">
        <v>1191</v>
      </c>
      <c r="N86">
        <v>1013</v>
      </c>
      <c r="O86" t="s">
        <v>359</v>
      </c>
      <c r="P86" t="s">
        <v>359</v>
      </c>
      <c r="Q86">
        <v>1</v>
      </c>
      <c r="X86">
        <v>5.91</v>
      </c>
      <c r="Y86">
        <v>0</v>
      </c>
      <c r="Z86">
        <v>0</v>
      </c>
      <c r="AA86">
        <v>0</v>
      </c>
      <c r="AB86">
        <v>430.11</v>
      </c>
      <c r="AC86">
        <v>0</v>
      </c>
      <c r="AD86">
        <v>1</v>
      </c>
      <c r="AE86">
        <v>1</v>
      </c>
      <c r="AF86" t="s">
        <v>3</v>
      </c>
      <c r="AG86">
        <v>5.91</v>
      </c>
      <c r="AH86">
        <v>2</v>
      </c>
      <c r="AI86">
        <v>73953863</v>
      </c>
      <c r="AJ86">
        <v>77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ROW(Source!A83)</f>
        <v>83</v>
      </c>
      <c r="B87">
        <v>73953880</v>
      </c>
      <c r="C87">
        <v>73953862</v>
      </c>
      <c r="D87">
        <v>72518826</v>
      </c>
      <c r="E87">
        <v>119</v>
      </c>
      <c r="F87">
        <v>1</v>
      </c>
      <c r="G87">
        <v>1</v>
      </c>
      <c r="H87">
        <v>1</v>
      </c>
      <c r="I87" t="s">
        <v>357</v>
      </c>
      <c r="J87" t="s">
        <v>3</v>
      </c>
      <c r="K87" t="s">
        <v>358</v>
      </c>
      <c r="L87">
        <v>1191</v>
      </c>
      <c r="N87">
        <v>1013</v>
      </c>
      <c r="O87" t="s">
        <v>359</v>
      </c>
      <c r="P87" t="s">
        <v>359</v>
      </c>
      <c r="Q87">
        <v>1</v>
      </c>
      <c r="X87">
        <v>0.14000000000000001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2</v>
      </c>
      <c r="AF87" t="s">
        <v>3</v>
      </c>
      <c r="AG87">
        <v>0.14000000000000001</v>
      </c>
      <c r="AH87">
        <v>2</v>
      </c>
      <c r="AI87">
        <v>73953864</v>
      </c>
      <c r="AJ87">
        <v>78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ROW(Source!A83)</f>
        <v>83</v>
      </c>
      <c r="B88">
        <v>73953881</v>
      </c>
      <c r="C88">
        <v>73953862</v>
      </c>
      <c r="D88">
        <v>72646931</v>
      </c>
      <c r="E88">
        <v>1</v>
      </c>
      <c r="F88">
        <v>1</v>
      </c>
      <c r="G88">
        <v>1</v>
      </c>
      <c r="H88">
        <v>2</v>
      </c>
      <c r="I88" t="s">
        <v>441</v>
      </c>
      <c r="J88" t="s">
        <v>442</v>
      </c>
      <c r="K88" t="s">
        <v>443</v>
      </c>
      <c r="L88">
        <v>1368</v>
      </c>
      <c r="N88">
        <v>1011</v>
      </c>
      <c r="O88" t="s">
        <v>363</v>
      </c>
      <c r="P88" t="s">
        <v>363</v>
      </c>
      <c r="Q88">
        <v>1</v>
      </c>
      <c r="X88">
        <v>0.14000000000000001</v>
      </c>
      <c r="Y88">
        <v>0</v>
      </c>
      <c r="Z88">
        <v>655.95</v>
      </c>
      <c r="AA88">
        <v>400.24</v>
      </c>
      <c r="AB88">
        <v>0</v>
      </c>
      <c r="AC88">
        <v>0</v>
      </c>
      <c r="AD88">
        <v>1</v>
      </c>
      <c r="AE88">
        <v>0</v>
      </c>
      <c r="AF88" t="s">
        <v>3</v>
      </c>
      <c r="AG88">
        <v>0.14000000000000001</v>
      </c>
      <c r="AH88">
        <v>2</v>
      </c>
      <c r="AI88">
        <v>73953865</v>
      </c>
      <c r="AJ88">
        <v>79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ROW(Source!A83)</f>
        <v>83</v>
      </c>
      <c r="B89">
        <v>73953882</v>
      </c>
      <c r="C89">
        <v>73953862</v>
      </c>
      <c r="D89">
        <v>72647091</v>
      </c>
      <c r="E89">
        <v>1</v>
      </c>
      <c r="F89">
        <v>1</v>
      </c>
      <c r="G89">
        <v>1</v>
      </c>
      <c r="H89">
        <v>2</v>
      </c>
      <c r="I89" t="s">
        <v>444</v>
      </c>
      <c r="J89" t="s">
        <v>445</v>
      </c>
      <c r="K89" t="s">
        <v>446</v>
      </c>
      <c r="L89">
        <v>1368</v>
      </c>
      <c r="N89">
        <v>1011</v>
      </c>
      <c r="O89" t="s">
        <v>363</v>
      </c>
      <c r="P89" t="s">
        <v>363</v>
      </c>
      <c r="Q89">
        <v>1</v>
      </c>
      <c r="X89">
        <v>0.8</v>
      </c>
      <c r="Y89">
        <v>0</v>
      </c>
      <c r="Z89">
        <v>4.3499999999999996</v>
      </c>
      <c r="AA89">
        <v>0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0.8</v>
      </c>
      <c r="AH89">
        <v>2</v>
      </c>
      <c r="AI89">
        <v>73953866</v>
      </c>
      <c r="AJ89">
        <v>80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ROW(Source!A83)</f>
        <v>83</v>
      </c>
      <c r="B90">
        <v>73953883</v>
      </c>
      <c r="C90">
        <v>73953862</v>
      </c>
      <c r="D90">
        <v>72647129</v>
      </c>
      <c r="E90">
        <v>1</v>
      </c>
      <c r="F90">
        <v>1</v>
      </c>
      <c r="G90">
        <v>1</v>
      </c>
      <c r="H90">
        <v>2</v>
      </c>
      <c r="I90" t="s">
        <v>394</v>
      </c>
      <c r="J90" t="s">
        <v>395</v>
      </c>
      <c r="K90" t="s">
        <v>396</v>
      </c>
      <c r="L90">
        <v>1368</v>
      </c>
      <c r="N90">
        <v>1011</v>
      </c>
      <c r="O90" t="s">
        <v>363</v>
      </c>
      <c r="P90" t="s">
        <v>363</v>
      </c>
      <c r="Q90">
        <v>1</v>
      </c>
      <c r="X90">
        <v>2.4500000000000002</v>
      </c>
      <c r="Y90">
        <v>0</v>
      </c>
      <c r="Z90">
        <v>43.87</v>
      </c>
      <c r="AA90">
        <v>0</v>
      </c>
      <c r="AB90">
        <v>0</v>
      </c>
      <c r="AC90">
        <v>0</v>
      </c>
      <c r="AD90">
        <v>1</v>
      </c>
      <c r="AE90">
        <v>0</v>
      </c>
      <c r="AF90" t="s">
        <v>3</v>
      </c>
      <c r="AG90">
        <v>2.4500000000000002</v>
      </c>
      <c r="AH90">
        <v>2</v>
      </c>
      <c r="AI90">
        <v>73953867</v>
      </c>
      <c r="AJ90">
        <v>81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ROW(Source!A83)</f>
        <v>83</v>
      </c>
      <c r="B91">
        <v>73953884</v>
      </c>
      <c r="C91">
        <v>73953862</v>
      </c>
      <c r="D91">
        <v>72589309</v>
      </c>
      <c r="E91">
        <v>1</v>
      </c>
      <c r="F91">
        <v>1</v>
      </c>
      <c r="G91">
        <v>1</v>
      </c>
      <c r="H91">
        <v>3</v>
      </c>
      <c r="I91" t="s">
        <v>450</v>
      </c>
      <c r="J91" t="s">
        <v>451</v>
      </c>
      <c r="K91" t="s">
        <v>452</v>
      </c>
      <c r="L91">
        <v>1339</v>
      </c>
      <c r="N91">
        <v>1007</v>
      </c>
      <c r="O91" t="s">
        <v>48</v>
      </c>
      <c r="P91" t="s">
        <v>48</v>
      </c>
      <c r="Q91">
        <v>1</v>
      </c>
      <c r="X91">
        <v>0.3</v>
      </c>
      <c r="Y91">
        <v>115.4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0</v>
      </c>
      <c r="AF91" t="s">
        <v>3</v>
      </c>
      <c r="AG91">
        <v>0.3</v>
      </c>
      <c r="AH91">
        <v>2</v>
      </c>
      <c r="AI91">
        <v>73953868</v>
      </c>
      <c r="AJ91">
        <v>82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ROW(Source!A83)</f>
        <v>83</v>
      </c>
      <c r="B92">
        <v>73953885</v>
      </c>
      <c r="C92">
        <v>73953862</v>
      </c>
      <c r="D92">
        <v>72589313</v>
      </c>
      <c r="E92">
        <v>1</v>
      </c>
      <c r="F92">
        <v>1</v>
      </c>
      <c r="G92">
        <v>1</v>
      </c>
      <c r="H92">
        <v>3</v>
      </c>
      <c r="I92" t="s">
        <v>453</v>
      </c>
      <c r="J92" t="s">
        <v>454</v>
      </c>
      <c r="K92" t="s">
        <v>455</v>
      </c>
      <c r="L92">
        <v>1346</v>
      </c>
      <c r="N92">
        <v>1009</v>
      </c>
      <c r="O92" t="s">
        <v>411</v>
      </c>
      <c r="P92" t="s">
        <v>411</v>
      </c>
      <c r="Q92">
        <v>1</v>
      </c>
      <c r="X92">
        <v>0.06</v>
      </c>
      <c r="Y92">
        <v>41.38</v>
      </c>
      <c r="Z92">
        <v>0</v>
      </c>
      <c r="AA92">
        <v>0</v>
      </c>
      <c r="AB92">
        <v>0</v>
      </c>
      <c r="AC92">
        <v>0</v>
      </c>
      <c r="AD92">
        <v>1</v>
      </c>
      <c r="AE92">
        <v>0</v>
      </c>
      <c r="AF92" t="s">
        <v>3</v>
      </c>
      <c r="AG92">
        <v>0.06</v>
      </c>
      <c r="AH92">
        <v>2</v>
      </c>
      <c r="AI92">
        <v>73953869</v>
      </c>
      <c r="AJ92">
        <v>83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ROW(Source!A83)</f>
        <v>83</v>
      </c>
      <c r="B93">
        <v>73953886</v>
      </c>
      <c r="C93">
        <v>73953862</v>
      </c>
      <c r="D93">
        <v>72591353</v>
      </c>
      <c r="E93">
        <v>1</v>
      </c>
      <c r="F93">
        <v>1</v>
      </c>
      <c r="G93">
        <v>1</v>
      </c>
      <c r="H93">
        <v>3</v>
      </c>
      <c r="I93" t="s">
        <v>404</v>
      </c>
      <c r="J93" t="s">
        <v>405</v>
      </c>
      <c r="K93" t="s">
        <v>406</v>
      </c>
      <c r="L93">
        <v>1383</v>
      </c>
      <c r="N93">
        <v>1013</v>
      </c>
      <c r="O93" t="s">
        <v>407</v>
      </c>
      <c r="P93" t="s">
        <v>407</v>
      </c>
      <c r="Q93">
        <v>1</v>
      </c>
      <c r="X93">
        <v>0.45</v>
      </c>
      <c r="Y93">
        <v>9.5500000000000007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0</v>
      </c>
      <c r="AF93" t="s">
        <v>3</v>
      </c>
      <c r="AG93">
        <v>0.45</v>
      </c>
      <c r="AH93">
        <v>2</v>
      </c>
      <c r="AI93">
        <v>73953870</v>
      </c>
      <c r="AJ93">
        <v>84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ROW(Source!A83)</f>
        <v>83</v>
      </c>
      <c r="B94">
        <v>73953887</v>
      </c>
      <c r="C94">
        <v>73953862</v>
      </c>
      <c r="D94">
        <v>72592092</v>
      </c>
      <c r="E94">
        <v>1</v>
      </c>
      <c r="F94">
        <v>1</v>
      </c>
      <c r="G94">
        <v>1</v>
      </c>
      <c r="H94">
        <v>3</v>
      </c>
      <c r="I94" t="s">
        <v>408</v>
      </c>
      <c r="J94" t="s">
        <v>409</v>
      </c>
      <c r="K94" t="s">
        <v>410</v>
      </c>
      <c r="L94">
        <v>1346</v>
      </c>
      <c r="N94">
        <v>1009</v>
      </c>
      <c r="O94" t="s">
        <v>411</v>
      </c>
      <c r="P94" t="s">
        <v>411</v>
      </c>
      <c r="Q94">
        <v>1</v>
      </c>
      <c r="X94">
        <v>0.72</v>
      </c>
      <c r="Y94">
        <v>131.85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0</v>
      </c>
      <c r="AF94" t="s">
        <v>3</v>
      </c>
      <c r="AG94">
        <v>0.72</v>
      </c>
      <c r="AH94">
        <v>2</v>
      </c>
      <c r="AI94">
        <v>73953871</v>
      </c>
      <c r="AJ94">
        <v>85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ROW(Source!A83)</f>
        <v>83</v>
      </c>
      <c r="B95">
        <v>73953888</v>
      </c>
      <c r="C95">
        <v>73953862</v>
      </c>
      <c r="D95">
        <v>72592868</v>
      </c>
      <c r="E95">
        <v>1</v>
      </c>
      <c r="F95">
        <v>1</v>
      </c>
      <c r="G95">
        <v>1</v>
      </c>
      <c r="H95">
        <v>3</v>
      </c>
      <c r="I95" t="s">
        <v>492</v>
      </c>
      <c r="J95" t="s">
        <v>493</v>
      </c>
      <c r="K95" t="s">
        <v>494</v>
      </c>
      <c r="L95">
        <v>1346</v>
      </c>
      <c r="N95">
        <v>1009</v>
      </c>
      <c r="O95" t="s">
        <v>411</v>
      </c>
      <c r="P95" t="s">
        <v>411</v>
      </c>
      <c r="Q95">
        <v>1</v>
      </c>
      <c r="X95">
        <v>0.75</v>
      </c>
      <c r="Y95">
        <v>174.93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 t="s">
        <v>3</v>
      </c>
      <c r="AG95">
        <v>0.75</v>
      </c>
      <c r="AH95">
        <v>2</v>
      </c>
      <c r="AI95">
        <v>73953872</v>
      </c>
      <c r="AJ95">
        <v>86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ROW(Source!A83)</f>
        <v>83</v>
      </c>
      <c r="B96">
        <v>73953889</v>
      </c>
      <c r="C96">
        <v>73953862</v>
      </c>
      <c r="D96">
        <v>72610535</v>
      </c>
      <c r="E96">
        <v>1</v>
      </c>
      <c r="F96">
        <v>1</v>
      </c>
      <c r="G96">
        <v>1</v>
      </c>
      <c r="H96">
        <v>3</v>
      </c>
      <c r="I96" t="s">
        <v>418</v>
      </c>
      <c r="J96" t="s">
        <v>419</v>
      </c>
      <c r="K96" t="s">
        <v>420</v>
      </c>
      <c r="L96">
        <v>1348</v>
      </c>
      <c r="N96">
        <v>1009</v>
      </c>
      <c r="O96" t="s">
        <v>248</v>
      </c>
      <c r="P96" t="s">
        <v>248</v>
      </c>
      <c r="Q96">
        <v>1000</v>
      </c>
      <c r="X96">
        <v>1.8000000000000001E-4</v>
      </c>
      <c r="Y96">
        <v>74437.320000000007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 t="s">
        <v>3</v>
      </c>
      <c r="AG96">
        <v>1.8000000000000001E-4</v>
      </c>
      <c r="AH96">
        <v>2</v>
      </c>
      <c r="AI96">
        <v>73953873</v>
      </c>
      <c r="AJ96">
        <v>87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ROW(Source!A83)</f>
        <v>83</v>
      </c>
      <c r="B97">
        <v>73953890</v>
      </c>
      <c r="C97">
        <v>73953862</v>
      </c>
      <c r="D97">
        <v>72610602</v>
      </c>
      <c r="E97">
        <v>1</v>
      </c>
      <c r="F97">
        <v>1</v>
      </c>
      <c r="G97">
        <v>1</v>
      </c>
      <c r="H97">
        <v>3</v>
      </c>
      <c r="I97" t="s">
        <v>495</v>
      </c>
      <c r="J97" t="s">
        <v>496</v>
      </c>
      <c r="K97" t="s">
        <v>497</v>
      </c>
      <c r="L97">
        <v>1348</v>
      </c>
      <c r="N97">
        <v>1009</v>
      </c>
      <c r="O97" t="s">
        <v>248</v>
      </c>
      <c r="P97" t="s">
        <v>248</v>
      </c>
      <c r="Q97">
        <v>1000</v>
      </c>
      <c r="X97">
        <v>1.8000000000000001E-4</v>
      </c>
      <c r="Y97">
        <v>118848.25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 t="s">
        <v>3</v>
      </c>
      <c r="AG97">
        <v>1.8000000000000001E-4</v>
      </c>
      <c r="AH97">
        <v>2</v>
      </c>
      <c r="AI97">
        <v>73953874</v>
      </c>
      <c r="AJ97">
        <v>88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ROW(Source!A83)</f>
        <v>83</v>
      </c>
      <c r="B98">
        <v>73953891</v>
      </c>
      <c r="C98">
        <v>73953862</v>
      </c>
      <c r="D98">
        <v>72610848</v>
      </c>
      <c r="E98">
        <v>1</v>
      </c>
      <c r="F98">
        <v>1</v>
      </c>
      <c r="G98">
        <v>1</v>
      </c>
      <c r="H98">
        <v>3</v>
      </c>
      <c r="I98" t="s">
        <v>498</v>
      </c>
      <c r="J98" t="s">
        <v>499</v>
      </c>
      <c r="K98" t="s">
        <v>500</v>
      </c>
      <c r="L98">
        <v>1348</v>
      </c>
      <c r="N98">
        <v>1009</v>
      </c>
      <c r="O98" t="s">
        <v>248</v>
      </c>
      <c r="P98" t="s">
        <v>248</v>
      </c>
      <c r="Q98">
        <v>1000</v>
      </c>
      <c r="X98">
        <v>2.0000000000000002E-5</v>
      </c>
      <c r="Y98">
        <v>344491.84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 t="s">
        <v>3</v>
      </c>
      <c r="AG98">
        <v>2.0000000000000002E-5</v>
      </c>
      <c r="AH98">
        <v>2</v>
      </c>
      <c r="AI98">
        <v>73953875</v>
      </c>
      <c r="AJ98">
        <v>89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ROW(Source!A83)</f>
        <v>83</v>
      </c>
      <c r="B99">
        <v>73953892</v>
      </c>
      <c r="C99">
        <v>73953862</v>
      </c>
      <c r="D99">
        <v>72523108</v>
      </c>
      <c r="E99">
        <v>119</v>
      </c>
      <c r="F99">
        <v>1</v>
      </c>
      <c r="G99">
        <v>1</v>
      </c>
      <c r="H99">
        <v>3</v>
      </c>
      <c r="I99" t="s">
        <v>581</v>
      </c>
      <c r="J99" t="s">
        <v>3</v>
      </c>
      <c r="K99" t="s">
        <v>582</v>
      </c>
      <c r="L99">
        <v>1371</v>
      </c>
      <c r="N99">
        <v>1013</v>
      </c>
      <c r="O99" t="s">
        <v>130</v>
      </c>
      <c r="P99" t="s">
        <v>130</v>
      </c>
      <c r="Q99">
        <v>1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 t="s">
        <v>3</v>
      </c>
      <c r="AG99">
        <v>1</v>
      </c>
      <c r="AH99">
        <v>3</v>
      </c>
      <c r="AI99">
        <v>-1</v>
      </c>
      <c r="AJ99" t="s">
        <v>3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ROW(Source!A83)</f>
        <v>83</v>
      </c>
      <c r="B100">
        <v>73953893</v>
      </c>
      <c r="C100">
        <v>73953862</v>
      </c>
      <c r="D100">
        <v>72629460</v>
      </c>
      <c r="E100">
        <v>1</v>
      </c>
      <c r="F100">
        <v>1</v>
      </c>
      <c r="G100">
        <v>1</v>
      </c>
      <c r="H100">
        <v>3</v>
      </c>
      <c r="I100" t="s">
        <v>137</v>
      </c>
      <c r="J100" t="s">
        <v>139</v>
      </c>
      <c r="K100" t="s">
        <v>138</v>
      </c>
      <c r="L100">
        <v>1301</v>
      </c>
      <c r="N100">
        <v>1003</v>
      </c>
      <c r="O100" t="s">
        <v>122</v>
      </c>
      <c r="P100" t="s">
        <v>122</v>
      </c>
      <c r="Q100">
        <v>1</v>
      </c>
      <c r="X100">
        <v>5.8</v>
      </c>
      <c r="Y100">
        <v>201.05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0</v>
      </c>
      <c r="AF100" t="s">
        <v>3</v>
      </c>
      <c r="AG100">
        <v>5.8</v>
      </c>
      <c r="AH100">
        <v>2</v>
      </c>
      <c r="AI100">
        <v>73953876</v>
      </c>
      <c r="AJ100">
        <v>90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ROW(Source!A83)</f>
        <v>83</v>
      </c>
      <c r="B101">
        <v>73953894</v>
      </c>
      <c r="C101">
        <v>73953862</v>
      </c>
      <c r="D101">
        <v>72630654</v>
      </c>
      <c r="E101">
        <v>1</v>
      </c>
      <c r="F101">
        <v>1</v>
      </c>
      <c r="G101">
        <v>1</v>
      </c>
      <c r="H101">
        <v>3</v>
      </c>
      <c r="I101" t="s">
        <v>501</v>
      </c>
      <c r="J101" t="s">
        <v>502</v>
      </c>
      <c r="K101" t="s">
        <v>503</v>
      </c>
      <c r="L101">
        <v>1371</v>
      </c>
      <c r="N101">
        <v>1013</v>
      </c>
      <c r="O101" t="s">
        <v>130</v>
      </c>
      <c r="P101" t="s">
        <v>130</v>
      </c>
      <c r="Q101">
        <v>1</v>
      </c>
      <c r="X101">
        <v>2</v>
      </c>
      <c r="Y101">
        <v>434.55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0</v>
      </c>
      <c r="AF101" t="s">
        <v>3</v>
      </c>
      <c r="AG101">
        <v>2</v>
      </c>
      <c r="AH101">
        <v>2</v>
      </c>
      <c r="AI101">
        <v>73953877</v>
      </c>
      <c r="AJ101">
        <v>91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ROW(Source!A83)</f>
        <v>83</v>
      </c>
      <c r="B102">
        <v>73953895</v>
      </c>
      <c r="C102">
        <v>73953862</v>
      </c>
      <c r="D102">
        <v>72631043</v>
      </c>
      <c r="E102">
        <v>1</v>
      </c>
      <c r="F102">
        <v>1</v>
      </c>
      <c r="G102">
        <v>1</v>
      </c>
      <c r="H102">
        <v>3</v>
      </c>
      <c r="I102" t="s">
        <v>504</v>
      </c>
      <c r="J102" t="s">
        <v>505</v>
      </c>
      <c r="K102" t="s">
        <v>506</v>
      </c>
      <c r="L102">
        <v>1371</v>
      </c>
      <c r="N102">
        <v>1013</v>
      </c>
      <c r="O102" t="s">
        <v>130</v>
      </c>
      <c r="P102" t="s">
        <v>130</v>
      </c>
      <c r="Q102">
        <v>1</v>
      </c>
      <c r="X102">
        <v>4</v>
      </c>
      <c r="Y102">
        <v>75.239999999999995</v>
      </c>
      <c r="Z102">
        <v>0</v>
      </c>
      <c r="AA102">
        <v>0</v>
      </c>
      <c r="AB102">
        <v>0</v>
      </c>
      <c r="AC102">
        <v>0</v>
      </c>
      <c r="AD102">
        <v>1</v>
      </c>
      <c r="AE102">
        <v>0</v>
      </c>
      <c r="AF102" t="s">
        <v>3</v>
      </c>
      <c r="AG102">
        <v>4</v>
      </c>
      <c r="AH102">
        <v>2</v>
      </c>
      <c r="AI102">
        <v>73953878</v>
      </c>
      <c r="AJ102">
        <v>92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ROW(Source!A85)</f>
        <v>85</v>
      </c>
      <c r="B103">
        <v>73953914</v>
      </c>
      <c r="C103">
        <v>73953908</v>
      </c>
      <c r="D103">
        <v>72518642</v>
      </c>
      <c r="E103">
        <v>119</v>
      </c>
      <c r="F103">
        <v>1</v>
      </c>
      <c r="G103">
        <v>1</v>
      </c>
      <c r="H103">
        <v>1</v>
      </c>
      <c r="I103" t="s">
        <v>507</v>
      </c>
      <c r="J103" t="s">
        <v>3</v>
      </c>
      <c r="K103" t="s">
        <v>508</v>
      </c>
      <c r="L103">
        <v>1191</v>
      </c>
      <c r="N103">
        <v>1013</v>
      </c>
      <c r="O103" t="s">
        <v>359</v>
      </c>
      <c r="P103" t="s">
        <v>359</v>
      </c>
      <c r="Q103">
        <v>1</v>
      </c>
      <c r="X103">
        <v>27</v>
      </c>
      <c r="Y103">
        <v>0</v>
      </c>
      <c r="Z103">
        <v>0</v>
      </c>
      <c r="AA103">
        <v>0</v>
      </c>
      <c r="AB103">
        <v>377.84</v>
      </c>
      <c r="AC103">
        <v>0</v>
      </c>
      <c r="AD103">
        <v>1</v>
      </c>
      <c r="AE103">
        <v>1</v>
      </c>
      <c r="AF103" t="s">
        <v>3</v>
      </c>
      <c r="AG103">
        <v>27</v>
      </c>
      <c r="AH103">
        <v>2</v>
      </c>
      <c r="AI103">
        <v>73953909</v>
      </c>
      <c r="AJ103">
        <v>93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ROW(Source!A85)</f>
        <v>85</v>
      </c>
      <c r="B104">
        <v>73953915</v>
      </c>
      <c r="C104">
        <v>73953908</v>
      </c>
      <c r="D104">
        <v>72518826</v>
      </c>
      <c r="E104">
        <v>119</v>
      </c>
      <c r="F104">
        <v>1</v>
      </c>
      <c r="G104">
        <v>1</v>
      </c>
      <c r="H104">
        <v>1</v>
      </c>
      <c r="I104" t="s">
        <v>357</v>
      </c>
      <c r="J104" t="s">
        <v>3</v>
      </c>
      <c r="K104" t="s">
        <v>358</v>
      </c>
      <c r="L104">
        <v>1191</v>
      </c>
      <c r="N104">
        <v>1013</v>
      </c>
      <c r="O104" t="s">
        <v>359</v>
      </c>
      <c r="P104" t="s">
        <v>359</v>
      </c>
      <c r="Q104">
        <v>1</v>
      </c>
      <c r="X104">
        <v>7.42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2</v>
      </c>
      <c r="AF104" t="s">
        <v>3</v>
      </c>
      <c r="AG104">
        <v>7.42</v>
      </c>
      <c r="AH104">
        <v>2</v>
      </c>
      <c r="AI104">
        <v>73953910</v>
      </c>
      <c r="AJ104">
        <v>94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ROW(Source!A85)</f>
        <v>85</v>
      </c>
      <c r="B105">
        <v>73953916</v>
      </c>
      <c r="C105">
        <v>73953908</v>
      </c>
      <c r="D105">
        <v>72646779</v>
      </c>
      <c r="E105">
        <v>1</v>
      </c>
      <c r="F105">
        <v>1</v>
      </c>
      <c r="G105">
        <v>1</v>
      </c>
      <c r="H105">
        <v>2</v>
      </c>
      <c r="I105" t="s">
        <v>509</v>
      </c>
      <c r="J105" t="s">
        <v>510</v>
      </c>
      <c r="K105" t="s">
        <v>511</v>
      </c>
      <c r="L105">
        <v>1368</v>
      </c>
      <c r="N105">
        <v>1011</v>
      </c>
      <c r="O105" t="s">
        <v>363</v>
      </c>
      <c r="P105" t="s">
        <v>363</v>
      </c>
      <c r="Q105">
        <v>1</v>
      </c>
      <c r="X105">
        <v>7.42</v>
      </c>
      <c r="Y105">
        <v>0</v>
      </c>
      <c r="Z105">
        <v>995.51</v>
      </c>
      <c r="AA105">
        <v>459.98</v>
      </c>
      <c r="AB105">
        <v>0</v>
      </c>
      <c r="AC105">
        <v>0</v>
      </c>
      <c r="AD105">
        <v>1</v>
      </c>
      <c r="AE105">
        <v>0</v>
      </c>
      <c r="AF105" t="s">
        <v>3</v>
      </c>
      <c r="AG105">
        <v>7.42</v>
      </c>
      <c r="AH105">
        <v>2</v>
      </c>
      <c r="AI105">
        <v>73953911</v>
      </c>
      <c r="AJ105">
        <v>95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ROW(Source!A85)</f>
        <v>85</v>
      </c>
      <c r="B106">
        <v>73953917</v>
      </c>
      <c r="C106">
        <v>73953908</v>
      </c>
      <c r="D106">
        <v>72646972</v>
      </c>
      <c r="E106">
        <v>1</v>
      </c>
      <c r="F106">
        <v>1</v>
      </c>
      <c r="G106">
        <v>1</v>
      </c>
      <c r="H106">
        <v>2</v>
      </c>
      <c r="I106" t="s">
        <v>512</v>
      </c>
      <c r="J106" t="s">
        <v>513</v>
      </c>
      <c r="K106" t="s">
        <v>514</v>
      </c>
      <c r="L106">
        <v>1368</v>
      </c>
      <c r="N106">
        <v>1011</v>
      </c>
      <c r="O106" t="s">
        <v>363</v>
      </c>
      <c r="P106" t="s">
        <v>363</v>
      </c>
      <c r="Q106">
        <v>1</v>
      </c>
      <c r="X106">
        <v>7.42</v>
      </c>
      <c r="Y106">
        <v>0</v>
      </c>
      <c r="Z106">
        <v>34.409999999999997</v>
      </c>
      <c r="AA106">
        <v>0</v>
      </c>
      <c r="AB106">
        <v>0</v>
      </c>
      <c r="AC106">
        <v>0</v>
      </c>
      <c r="AD106">
        <v>1</v>
      </c>
      <c r="AE106">
        <v>0</v>
      </c>
      <c r="AF106" t="s">
        <v>3</v>
      </c>
      <c r="AG106">
        <v>7.42</v>
      </c>
      <c r="AH106">
        <v>2</v>
      </c>
      <c r="AI106">
        <v>73953912</v>
      </c>
      <c r="AJ106">
        <v>96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ROW(Source!A85)</f>
        <v>85</v>
      </c>
      <c r="B107">
        <v>73953918</v>
      </c>
      <c r="C107">
        <v>73953908</v>
      </c>
      <c r="D107">
        <v>72524853</v>
      </c>
      <c r="E107">
        <v>119</v>
      </c>
      <c r="F107">
        <v>1</v>
      </c>
      <c r="G107">
        <v>1</v>
      </c>
      <c r="H107">
        <v>3</v>
      </c>
      <c r="I107" t="s">
        <v>197</v>
      </c>
      <c r="J107" t="s">
        <v>3</v>
      </c>
      <c r="K107" t="s">
        <v>198</v>
      </c>
      <c r="L107">
        <v>3277935</v>
      </c>
      <c r="N107">
        <v>1013</v>
      </c>
      <c r="O107" t="s">
        <v>199</v>
      </c>
      <c r="P107" t="s">
        <v>199</v>
      </c>
      <c r="Q107">
        <v>1</v>
      </c>
      <c r="X107">
        <v>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 t="s">
        <v>3</v>
      </c>
      <c r="AG107">
        <v>2</v>
      </c>
      <c r="AH107">
        <v>2</v>
      </c>
      <c r="AI107">
        <v>73953913</v>
      </c>
      <c r="AJ107">
        <v>97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ROW(Source!A88)</f>
        <v>88</v>
      </c>
      <c r="B108">
        <v>73953927</v>
      </c>
      <c r="C108">
        <v>73953921</v>
      </c>
      <c r="D108">
        <v>72518642</v>
      </c>
      <c r="E108">
        <v>119</v>
      </c>
      <c r="F108">
        <v>1</v>
      </c>
      <c r="G108">
        <v>1</v>
      </c>
      <c r="H108">
        <v>1</v>
      </c>
      <c r="I108" t="s">
        <v>507</v>
      </c>
      <c r="J108" t="s">
        <v>3</v>
      </c>
      <c r="K108" t="s">
        <v>508</v>
      </c>
      <c r="L108">
        <v>1191</v>
      </c>
      <c r="N108">
        <v>1013</v>
      </c>
      <c r="O108" t="s">
        <v>359</v>
      </c>
      <c r="P108" t="s">
        <v>359</v>
      </c>
      <c r="Q108">
        <v>1</v>
      </c>
      <c r="X108">
        <v>27</v>
      </c>
      <c r="Y108">
        <v>0</v>
      </c>
      <c r="Z108">
        <v>0</v>
      </c>
      <c r="AA108">
        <v>0</v>
      </c>
      <c r="AB108">
        <v>377.84</v>
      </c>
      <c r="AC108">
        <v>0</v>
      </c>
      <c r="AD108">
        <v>1</v>
      </c>
      <c r="AE108">
        <v>1</v>
      </c>
      <c r="AF108" t="s">
        <v>3</v>
      </c>
      <c r="AG108">
        <v>27</v>
      </c>
      <c r="AH108">
        <v>2</v>
      </c>
      <c r="AI108">
        <v>73953922</v>
      </c>
      <c r="AJ108">
        <v>98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ROW(Source!A88)</f>
        <v>88</v>
      </c>
      <c r="B109">
        <v>73953928</v>
      </c>
      <c r="C109">
        <v>73953921</v>
      </c>
      <c r="D109">
        <v>72518826</v>
      </c>
      <c r="E109">
        <v>119</v>
      </c>
      <c r="F109">
        <v>1</v>
      </c>
      <c r="G109">
        <v>1</v>
      </c>
      <c r="H109">
        <v>1</v>
      </c>
      <c r="I109" t="s">
        <v>357</v>
      </c>
      <c r="J109" t="s">
        <v>3</v>
      </c>
      <c r="K109" t="s">
        <v>358</v>
      </c>
      <c r="L109">
        <v>1191</v>
      </c>
      <c r="N109">
        <v>1013</v>
      </c>
      <c r="O109" t="s">
        <v>359</v>
      </c>
      <c r="P109" t="s">
        <v>359</v>
      </c>
      <c r="Q109">
        <v>1</v>
      </c>
      <c r="X109">
        <v>7.42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2</v>
      </c>
      <c r="AF109" t="s">
        <v>3</v>
      </c>
      <c r="AG109">
        <v>7.42</v>
      </c>
      <c r="AH109">
        <v>2</v>
      </c>
      <c r="AI109">
        <v>73953923</v>
      </c>
      <c r="AJ109">
        <v>99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ROW(Source!A88)</f>
        <v>88</v>
      </c>
      <c r="B110">
        <v>73953929</v>
      </c>
      <c r="C110">
        <v>73953921</v>
      </c>
      <c r="D110">
        <v>72646779</v>
      </c>
      <c r="E110">
        <v>1</v>
      </c>
      <c r="F110">
        <v>1</v>
      </c>
      <c r="G110">
        <v>1</v>
      </c>
      <c r="H110">
        <v>2</v>
      </c>
      <c r="I110" t="s">
        <v>509</v>
      </c>
      <c r="J110" t="s">
        <v>510</v>
      </c>
      <c r="K110" t="s">
        <v>511</v>
      </c>
      <c r="L110">
        <v>1368</v>
      </c>
      <c r="N110">
        <v>1011</v>
      </c>
      <c r="O110" t="s">
        <v>363</v>
      </c>
      <c r="P110" t="s">
        <v>363</v>
      </c>
      <c r="Q110">
        <v>1</v>
      </c>
      <c r="X110">
        <v>7.42</v>
      </c>
      <c r="Y110">
        <v>0</v>
      </c>
      <c r="Z110">
        <v>995.51</v>
      </c>
      <c r="AA110">
        <v>459.98</v>
      </c>
      <c r="AB110">
        <v>0</v>
      </c>
      <c r="AC110">
        <v>0</v>
      </c>
      <c r="AD110">
        <v>1</v>
      </c>
      <c r="AE110">
        <v>0</v>
      </c>
      <c r="AF110" t="s">
        <v>3</v>
      </c>
      <c r="AG110">
        <v>7.42</v>
      </c>
      <c r="AH110">
        <v>2</v>
      </c>
      <c r="AI110">
        <v>73953924</v>
      </c>
      <c r="AJ110">
        <v>100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ROW(Source!A88)</f>
        <v>88</v>
      </c>
      <c r="B111">
        <v>73953930</v>
      </c>
      <c r="C111">
        <v>73953921</v>
      </c>
      <c r="D111">
        <v>72646972</v>
      </c>
      <c r="E111">
        <v>1</v>
      </c>
      <c r="F111">
        <v>1</v>
      </c>
      <c r="G111">
        <v>1</v>
      </c>
      <c r="H111">
        <v>2</v>
      </c>
      <c r="I111" t="s">
        <v>512</v>
      </c>
      <c r="J111" t="s">
        <v>513</v>
      </c>
      <c r="K111" t="s">
        <v>514</v>
      </c>
      <c r="L111">
        <v>1368</v>
      </c>
      <c r="N111">
        <v>1011</v>
      </c>
      <c r="O111" t="s">
        <v>363</v>
      </c>
      <c r="P111" t="s">
        <v>363</v>
      </c>
      <c r="Q111">
        <v>1</v>
      </c>
      <c r="X111">
        <v>7.42</v>
      </c>
      <c r="Y111">
        <v>0</v>
      </c>
      <c r="Z111">
        <v>34.409999999999997</v>
      </c>
      <c r="AA111">
        <v>0</v>
      </c>
      <c r="AB111">
        <v>0</v>
      </c>
      <c r="AC111">
        <v>0</v>
      </c>
      <c r="AD111">
        <v>1</v>
      </c>
      <c r="AE111">
        <v>0</v>
      </c>
      <c r="AF111" t="s">
        <v>3</v>
      </c>
      <c r="AG111">
        <v>7.42</v>
      </c>
      <c r="AH111">
        <v>2</v>
      </c>
      <c r="AI111">
        <v>73953925</v>
      </c>
      <c r="AJ111">
        <v>101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ROW(Source!A88)</f>
        <v>88</v>
      </c>
      <c r="B112">
        <v>73953931</v>
      </c>
      <c r="C112">
        <v>73953921</v>
      </c>
      <c r="D112">
        <v>72524853</v>
      </c>
      <c r="E112">
        <v>119</v>
      </c>
      <c r="F112">
        <v>1</v>
      </c>
      <c r="G112">
        <v>1</v>
      </c>
      <c r="H112">
        <v>3</v>
      </c>
      <c r="I112" t="s">
        <v>197</v>
      </c>
      <c r="J112" t="s">
        <v>3</v>
      </c>
      <c r="K112" t="s">
        <v>198</v>
      </c>
      <c r="L112">
        <v>3277935</v>
      </c>
      <c r="N112">
        <v>1013</v>
      </c>
      <c r="O112" t="s">
        <v>199</v>
      </c>
      <c r="P112" t="s">
        <v>199</v>
      </c>
      <c r="Q112">
        <v>1</v>
      </c>
      <c r="X112">
        <v>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 t="s">
        <v>3</v>
      </c>
      <c r="AG112">
        <v>2</v>
      </c>
      <c r="AH112">
        <v>2</v>
      </c>
      <c r="AI112">
        <v>73953926</v>
      </c>
      <c r="AJ112">
        <v>102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ROW(Source!A91)</f>
        <v>91</v>
      </c>
      <c r="B113">
        <v>73953940</v>
      </c>
      <c r="C113">
        <v>73953934</v>
      </c>
      <c r="D113">
        <v>72518610</v>
      </c>
      <c r="E113">
        <v>119</v>
      </c>
      <c r="F113">
        <v>1</v>
      </c>
      <c r="G113">
        <v>1</v>
      </c>
      <c r="H113">
        <v>1</v>
      </c>
      <c r="I113" t="s">
        <v>515</v>
      </c>
      <c r="J113" t="s">
        <v>3</v>
      </c>
      <c r="K113" t="s">
        <v>516</v>
      </c>
      <c r="L113">
        <v>1191</v>
      </c>
      <c r="N113">
        <v>1013</v>
      </c>
      <c r="O113" t="s">
        <v>359</v>
      </c>
      <c r="P113" t="s">
        <v>359</v>
      </c>
      <c r="Q113">
        <v>1</v>
      </c>
      <c r="X113">
        <v>11.35</v>
      </c>
      <c r="Y113">
        <v>0</v>
      </c>
      <c r="Z113">
        <v>0</v>
      </c>
      <c r="AA113">
        <v>0</v>
      </c>
      <c r="AB113">
        <v>337.52</v>
      </c>
      <c r="AC113">
        <v>0</v>
      </c>
      <c r="AD113">
        <v>1</v>
      </c>
      <c r="AE113">
        <v>1</v>
      </c>
      <c r="AF113" t="s">
        <v>3</v>
      </c>
      <c r="AG113">
        <v>11.35</v>
      </c>
      <c r="AH113">
        <v>2</v>
      </c>
      <c r="AI113">
        <v>73953935</v>
      </c>
      <c r="AJ113">
        <v>103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ROW(Source!A91)</f>
        <v>91</v>
      </c>
      <c r="B114">
        <v>73953941</v>
      </c>
      <c r="C114">
        <v>73953934</v>
      </c>
      <c r="D114">
        <v>72518826</v>
      </c>
      <c r="E114">
        <v>119</v>
      </c>
      <c r="F114">
        <v>1</v>
      </c>
      <c r="G114">
        <v>1</v>
      </c>
      <c r="H114">
        <v>1</v>
      </c>
      <c r="I114" t="s">
        <v>357</v>
      </c>
      <c r="J114" t="s">
        <v>3</v>
      </c>
      <c r="K114" t="s">
        <v>358</v>
      </c>
      <c r="L114">
        <v>1191</v>
      </c>
      <c r="N114">
        <v>1013</v>
      </c>
      <c r="O114" t="s">
        <v>359</v>
      </c>
      <c r="P114" t="s">
        <v>359</v>
      </c>
      <c r="Q114">
        <v>1</v>
      </c>
      <c r="X114">
        <v>0.94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2</v>
      </c>
      <c r="AF114" t="s">
        <v>3</v>
      </c>
      <c r="AG114">
        <v>0.94</v>
      </c>
      <c r="AH114">
        <v>2</v>
      </c>
      <c r="AI114">
        <v>73953936</v>
      </c>
      <c r="AJ114">
        <v>104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ROW(Source!A91)</f>
        <v>91</v>
      </c>
      <c r="B115">
        <v>73953942</v>
      </c>
      <c r="C115">
        <v>73953934</v>
      </c>
      <c r="D115">
        <v>72646876</v>
      </c>
      <c r="E115">
        <v>1</v>
      </c>
      <c r="F115">
        <v>1</v>
      </c>
      <c r="G115">
        <v>1</v>
      </c>
      <c r="H115">
        <v>2</v>
      </c>
      <c r="I115" t="s">
        <v>517</v>
      </c>
      <c r="J115" t="s">
        <v>518</v>
      </c>
      <c r="K115" t="s">
        <v>519</v>
      </c>
      <c r="L115">
        <v>1368</v>
      </c>
      <c r="N115">
        <v>1011</v>
      </c>
      <c r="O115" t="s">
        <v>363</v>
      </c>
      <c r="P115" t="s">
        <v>363</v>
      </c>
      <c r="Q115">
        <v>1</v>
      </c>
      <c r="X115">
        <v>0.94</v>
      </c>
      <c r="Y115">
        <v>0</v>
      </c>
      <c r="Z115">
        <v>865.46</v>
      </c>
      <c r="AA115">
        <v>400.24</v>
      </c>
      <c r="AB115">
        <v>0</v>
      </c>
      <c r="AC115">
        <v>0</v>
      </c>
      <c r="AD115">
        <v>1</v>
      </c>
      <c r="AE115">
        <v>0</v>
      </c>
      <c r="AF115" t="s">
        <v>3</v>
      </c>
      <c r="AG115">
        <v>0.94</v>
      </c>
      <c r="AH115">
        <v>2</v>
      </c>
      <c r="AI115">
        <v>73953937</v>
      </c>
      <c r="AJ115">
        <v>105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ROW(Source!A91)</f>
        <v>91</v>
      </c>
      <c r="B116">
        <v>73953943</v>
      </c>
      <c r="C116">
        <v>73953934</v>
      </c>
      <c r="D116">
        <v>72647549</v>
      </c>
      <c r="E116">
        <v>1</v>
      </c>
      <c r="F116">
        <v>1</v>
      </c>
      <c r="G116">
        <v>1</v>
      </c>
      <c r="H116">
        <v>2</v>
      </c>
      <c r="I116" t="s">
        <v>520</v>
      </c>
      <c r="J116" t="s">
        <v>521</v>
      </c>
      <c r="K116" t="s">
        <v>522</v>
      </c>
      <c r="L116">
        <v>1368</v>
      </c>
      <c r="N116">
        <v>1011</v>
      </c>
      <c r="O116" t="s">
        <v>363</v>
      </c>
      <c r="P116" t="s">
        <v>363</v>
      </c>
      <c r="Q116">
        <v>1</v>
      </c>
      <c r="X116">
        <v>4.24</v>
      </c>
      <c r="Y116">
        <v>0</v>
      </c>
      <c r="Z116">
        <v>30.37</v>
      </c>
      <c r="AA116">
        <v>0</v>
      </c>
      <c r="AB116">
        <v>0</v>
      </c>
      <c r="AC116">
        <v>0</v>
      </c>
      <c r="AD116">
        <v>1</v>
      </c>
      <c r="AE116">
        <v>0</v>
      </c>
      <c r="AF116" t="s">
        <v>3</v>
      </c>
      <c r="AG116">
        <v>4.24</v>
      </c>
      <c r="AH116">
        <v>2</v>
      </c>
      <c r="AI116">
        <v>73953938</v>
      </c>
      <c r="AJ116">
        <v>106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ROW(Source!A91)</f>
        <v>91</v>
      </c>
      <c r="B117">
        <v>73953944</v>
      </c>
      <c r="C117">
        <v>73953934</v>
      </c>
      <c r="D117">
        <v>72519051</v>
      </c>
      <c r="E117">
        <v>119</v>
      </c>
      <c r="F117">
        <v>1</v>
      </c>
      <c r="G117">
        <v>1</v>
      </c>
      <c r="H117">
        <v>3</v>
      </c>
      <c r="I117" t="s">
        <v>583</v>
      </c>
      <c r="J117" t="s">
        <v>3</v>
      </c>
      <c r="K117" t="s">
        <v>584</v>
      </c>
      <c r="L117">
        <v>1371</v>
      </c>
      <c r="N117">
        <v>1013</v>
      </c>
      <c r="O117" t="s">
        <v>130</v>
      </c>
      <c r="P117" t="s">
        <v>130</v>
      </c>
      <c r="Q117">
        <v>1</v>
      </c>
      <c r="X117">
        <v>100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 t="s">
        <v>3</v>
      </c>
      <c r="AG117">
        <v>100</v>
      </c>
      <c r="AH117">
        <v>3</v>
      </c>
      <c r="AI117">
        <v>-1</v>
      </c>
      <c r="AJ117" t="s">
        <v>3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ROW(Source!A94)</f>
        <v>94</v>
      </c>
      <c r="B118">
        <v>73953957</v>
      </c>
      <c r="C118">
        <v>73953948</v>
      </c>
      <c r="D118">
        <v>72518592</v>
      </c>
      <c r="E118">
        <v>119</v>
      </c>
      <c r="F118">
        <v>1</v>
      </c>
      <c r="G118">
        <v>1</v>
      </c>
      <c r="H118">
        <v>1</v>
      </c>
      <c r="I118" t="s">
        <v>365</v>
      </c>
      <c r="J118" t="s">
        <v>3</v>
      </c>
      <c r="K118" t="s">
        <v>366</v>
      </c>
      <c r="L118">
        <v>1191</v>
      </c>
      <c r="N118">
        <v>1013</v>
      </c>
      <c r="O118" t="s">
        <v>359</v>
      </c>
      <c r="P118" t="s">
        <v>359</v>
      </c>
      <c r="Q118">
        <v>1</v>
      </c>
      <c r="X118">
        <v>135</v>
      </c>
      <c r="Y118">
        <v>0</v>
      </c>
      <c r="Z118">
        <v>0</v>
      </c>
      <c r="AA118">
        <v>0</v>
      </c>
      <c r="AB118">
        <v>325.57</v>
      </c>
      <c r="AC118">
        <v>0</v>
      </c>
      <c r="AD118">
        <v>1</v>
      </c>
      <c r="AE118">
        <v>1</v>
      </c>
      <c r="AF118" t="s">
        <v>3</v>
      </c>
      <c r="AG118">
        <v>135</v>
      </c>
      <c r="AH118">
        <v>2</v>
      </c>
      <c r="AI118">
        <v>73953949</v>
      </c>
      <c r="AJ118">
        <v>107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ROW(Source!A94)</f>
        <v>94</v>
      </c>
      <c r="B119">
        <v>73953958</v>
      </c>
      <c r="C119">
        <v>73953948</v>
      </c>
      <c r="D119">
        <v>72518826</v>
      </c>
      <c r="E119">
        <v>119</v>
      </c>
      <c r="F119">
        <v>1</v>
      </c>
      <c r="G119">
        <v>1</v>
      </c>
      <c r="H119">
        <v>1</v>
      </c>
      <c r="I119" t="s">
        <v>357</v>
      </c>
      <c r="J119" t="s">
        <v>3</v>
      </c>
      <c r="K119" t="s">
        <v>358</v>
      </c>
      <c r="L119">
        <v>1191</v>
      </c>
      <c r="N119">
        <v>1013</v>
      </c>
      <c r="O119" t="s">
        <v>359</v>
      </c>
      <c r="P119" t="s">
        <v>359</v>
      </c>
      <c r="Q119">
        <v>1</v>
      </c>
      <c r="X119">
        <v>18.12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2</v>
      </c>
      <c r="AF119" t="s">
        <v>3</v>
      </c>
      <c r="AG119">
        <v>18.12</v>
      </c>
      <c r="AH119">
        <v>2</v>
      </c>
      <c r="AI119">
        <v>73953950</v>
      </c>
      <c r="AJ119">
        <v>108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ROW(Source!A94)</f>
        <v>94</v>
      </c>
      <c r="B120">
        <v>73953959</v>
      </c>
      <c r="C120">
        <v>73953948</v>
      </c>
      <c r="D120">
        <v>72645984</v>
      </c>
      <c r="E120">
        <v>1</v>
      </c>
      <c r="F120">
        <v>1</v>
      </c>
      <c r="G120">
        <v>1</v>
      </c>
      <c r="H120">
        <v>2</v>
      </c>
      <c r="I120" t="s">
        <v>523</v>
      </c>
      <c r="J120" t="s">
        <v>524</v>
      </c>
      <c r="K120" t="s">
        <v>525</v>
      </c>
      <c r="L120">
        <v>1368</v>
      </c>
      <c r="N120">
        <v>1011</v>
      </c>
      <c r="O120" t="s">
        <v>363</v>
      </c>
      <c r="P120" t="s">
        <v>363</v>
      </c>
      <c r="Q120">
        <v>1</v>
      </c>
      <c r="X120">
        <v>18</v>
      </c>
      <c r="Y120">
        <v>0</v>
      </c>
      <c r="Z120">
        <v>622.62</v>
      </c>
      <c r="AA120">
        <v>537.64</v>
      </c>
      <c r="AB120">
        <v>0</v>
      </c>
      <c r="AC120">
        <v>0</v>
      </c>
      <c r="AD120">
        <v>1</v>
      </c>
      <c r="AE120">
        <v>0</v>
      </c>
      <c r="AF120" t="s">
        <v>3</v>
      </c>
      <c r="AG120">
        <v>18</v>
      </c>
      <c r="AH120">
        <v>2</v>
      </c>
      <c r="AI120">
        <v>73953951</v>
      </c>
      <c r="AJ120">
        <v>109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ROW(Source!A94)</f>
        <v>94</v>
      </c>
      <c r="B121">
        <v>73953960</v>
      </c>
      <c r="C121">
        <v>73953948</v>
      </c>
      <c r="D121">
        <v>72646294</v>
      </c>
      <c r="E121">
        <v>1</v>
      </c>
      <c r="F121">
        <v>1</v>
      </c>
      <c r="G121">
        <v>1</v>
      </c>
      <c r="H121">
        <v>2</v>
      </c>
      <c r="I121" t="s">
        <v>526</v>
      </c>
      <c r="J121" t="s">
        <v>527</v>
      </c>
      <c r="K121" t="s">
        <v>528</v>
      </c>
      <c r="L121">
        <v>1368</v>
      </c>
      <c r="N121">
        <v>1011</v>
      </c>
      <c r="O121" t="s">
        <v>363</v>
      </c>
      <c r="P121" t="s">
        <v>363</v>
      </c>
      <c r="Q121">
        <v>1</v>
      </c>
      <c r="X121">
        <v>5.93</v>
      </c>
      <c r="Y121">
        <v>0</v>
      </c>
      <c r="Z121">
        <v>8.5399999999999991</v>
      </c>
      <c r="AA121">
        <v>0</v>
      </c>
      <c r="AB121">
        <v>0</v>
      </c>
      <c r="AC121">
        <v>0</v>
      </c>
      <c r="AD121">
        <v>1</v>
      </c>
      <c r="AE121">
        <v>0</v>
      </c>
      <c r="AF121" t="s">
        <v>3</v>
      </c>
      <c r="AG121">
        <v>5.93</v>
      </c>
      <c r="AH121">
        <v>2</v>
      </c>
      <c r="AI121">
        <v>73953952</v>
      </c>
      <c r="AJ121">
        <v>110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ROW(Source!A94)</f>
        <v>94</v>
      </c>
      <c r="B122">
        <v>73953961</v>
      </c>
      <c r="C122">
        <v>73953948</v>
      </c>
      <c r="D122">
        <v>72646931</v>
      </c>
      <c r="E122">
        <v>1</v>
      </c>
      <c r="F122">
        <v>1</v>
      </c>
      <c r="G122">
        <v>1</v>
      </c>
      <c r="H122">
        <v>2</v>
      </c>
      <c r="I122" t="s">
        <v>441</v>
      </c>
      <c r="J122" t="s">
        <v>442</v>
      </c>
      <c r="K122" t="s">
        <v>443</v>
      </c>
      <c r="L122">
        <v>1368</v>
      </c>
      <c r="N122">
        <v>1011</v>
      </c>
      <c r="O122" t="s">
        <v>363</v>
      </c>
      <c r="P122" t="s">
        <v>363</v>
      </c>
      <c r="Q122">
        <v>1</v>
      </c>
      <c r="X122">
        <v>0.12</v>
      </c>
      <c r="Y122">
        <v>0</v>
      </c>
      <c r="Z122">
        <v>655.95</v>
      </c>
      <c r="AA122">
        <v>400.24</v>
      </c>
      <c r="AB122">
        <v>0</v>
      </c>
      <c r="AC122">
        <v>0</v>
      </c>
      <c r="AD122">
        <v>1</v>
      </c>
      <c r="AE122">
        <v>0</v>
      </c>
      <c r="AF122" t="s">
        <v>3</v>
      </c>
      <c r="AG122">
        <v>0.12</v>
      </c>
      <c r="AH122">
        <v>2</v>
      </c>
      <c r="AI122">
        <v>73953953</v>
      </c>
      <c r="AJ122">
        <v>111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ROW(Source!A94)</f>
        <v>94</v>
      </c>
      <c r="B123">
        <v>73953962</v>
      </c>
      <c r="C123">
        <v>73953948</v>
      </c>
      <c r="D123">
        <v>72591341</v>
      </c>
      <c r="E123">
        <v>1</v>
      </c>
      <c r="F123">
        <v>1</v>
      </c>
      <c r="G123">
        <v>1</v>
      </c>
      <c r="H123">
        <v>3</v>
      </c>
      <c r="I123" t="s">
        <v>529</v>
      </c>
      <c r="J123" t="s">
        <v>530</v>
      </c>
      <c r="K123" t="s">
        <v>531</v>
      </c>
      <c r="L123">
        <v>1339</v>
      </c>
      <c r="N123">
        <v>1007</v>
      </c>
      <c r="O123" t="s">
        <v>48</v>
      </c>
      <c r="P123" t="s">
        <v>48</v>
      </c>
      <c r="Q123">
        <v>1</v>
      </c>
      <c r="X123">
        <v>1.75</v>
      </c>
      <c r="Y123">
        <v>35.71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 t="s">
        <v>3</v>
      </c>
      <c r="AG123">
        <v>1.75</v>
      </c>
      <c r="AH123">
        <v>2</v>
      </c>
      <c r="AI123">
        <v>73953954</v>
      </c>
      <c r="AJ123">
        <v>112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ROW(Source!A94)</f>
        <v>94</v>
      </c>
      <c r="B124">
        <v>73953963</v>
      </c>
      <c r="C124">
        <v>73953948</v>
      </c>
      <c r="D124">
        <v>72591655</v>
      </c>
      <c r="E124">
        <v>1</v>
      </c>
      <c r="F124">
        <v>1</v>
      </c>
      <c r="G124">
        <v>1</v>
      </c>
      <c r="H124">
        <v>3</v>
      </c>
      <c r="I124" t="s">
        <v>532</v>
      </c>
      <c r="J124" t="s">
        <v>533</v>
      </c>
      <c r="K124" t="s">
        <v>534</v>
      </c>
      <c r="L124">
        <v>1327</v>
      </c>
      <c r="N124">
        <v>1005</v>
      </c>
      <c r="O124" t="s">
        <v>535</v>
      </c>
      <c r="P124" t="s">
        <v>535</v>
      </c>
      <c r="Q124">
        <v>1</v>
      </c>
      <c r="X124">
        <v>250</v>
      </c>
      <c r="Y124">
        <v>12.83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 t="s">
        <v>3</v>
      </c>
      <c r="AG124">
        <v>250</v>
      </c>
      <c r="AH124">
        <v>2</v>
      </c>
      <c r="AI124">
        <v>73953955</v>
      </c>
      <c r="AJ124">
        <v>113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ROW(Source!A94)</f>
        <v>94</v>
      </c>
      <c r="B125">
        <v>73953964</v>
      </c>
      <c r="C125">
        <v>73953948</v>
      </c>
      <c r="D125">
        <v>72520011</v>
      </c>
      <c r="E125">
        <v>119</v>
      </c>
      <c r="F125">
        <v>1</v>
      </c>
      <c r="G125">
        <v>1</v>
      </c>
      <c r="H125">
        <v>3</v>
      </c>
      <c r="I125" t="s">
        <v>560</v>
      </c>
      <c r="J125" t="s">
        <v>3</v>
      </c>
      <c r="K125" t="s">
        <v>561</v>
      </c>
      <c r="L125">
        <v>1339</v>
      </c>
      <c r="N125">
        <v>1007</v>
      </c>
      <c r="O125" t="s">
        <v>48</v>
      </c>
      <c r="P125" t="s">
        <v>48</v>
      </c>
      <c r="Q125">
        <v>1</v>
      </c>
      <c r="X125">
        <v>102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 t="s">
        <v>3</v>
      </c>
      <c r="AG125">
        <v>102</v>
      </c>
      <c r="AH125">
        <v>3</v>
      </c>
      <c r="AI125">
        <v>-1</v>
      </c>
      <c r="AJ125" t="s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ROW(Source!A96)</f>
        <v>96</v>
      </c>
      <c r="B126">
        <v>73953973</v>
      </c>
      <c r="C126">
        <v>73953966</v>
      </c>
      <c r="D126">
        <v>72518638</v>
      </c>
      <c r="E126">
        <v>119</v>
      </c>
      <c r="F126">
        <v>1</v>
      </c>
      <c r="G126">
        <v>1</v>
      </c>
      <c r="H126">
        <v>1</v>
      </c>
      <c r="I126" t="s">
        <v>536</v>
      </c>
      <c r="J126" t="s">
        <v>3</v>
      </c>
      <c r="K126" t="s">
        <v>537</v>
      </c>
      <c r="L126">
        <v>1191</v>
      </c>
      <c r="N126">
        <v>1013</v>
      </c>
      <c r="O126" t="s">
        <v>359</v>
      </c>
      <c r="P126" t="s">
        <v>359</v>
      </c>
      <c r="Q126">
        <v>1</v>
      </c>
      <c r="X126">
        <v>289</v>
      </c>
      <c r="Y126">
        <v>0</v>
      </c>
      <c r="Z126">
        <v>0</v>
      </c>
      <c r="AA126">
        <v>0</v>
      </c>
      <c r="AB126">
        <v>368.88</v>
      </c>
      <c r="AC126">
        <v>0</v>
      </c>
      <c r="AD126">
        <v>1</v>
      </c>
      <c r="AE126">
        <v>1</v>
      </c>
      <c r="AF126" t="s">
        <v>3</v>
      </c>
      <c r="AG126">
        <v>289</v>
      </c>
      <c r="AH126">
        <v>2</v>
      </c>
      <c r="AI126">
        <v>73953967</v>
      </c>
      <c r="AJ126">
        <v>115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ROW(Source!A96)</f>
        <v>96</v>
      </c>
      <c r="B127">
        <v>73953974</v>
      </c>
      <c r="C127">
        <v>73953966</v>
      </c>
      <c r="D127">
        <v>72518826</v>
      </c>
      <c r="E127">
        <v>119</v>
      </c>
      <c r="F127">
        <v>1</v>
      </c>
      <c r="G127">
        <v>1</v>
      </c>
      <c r="H127">
        <v>1</v>
      </c>
      <c r="I127" t="s">
        <v>357</v>
      </c>
      <c r="J127" t="s">
        <v>3</v>
      </c>
      <c r="K127" t="s">
        <v>358</v>
      </c>
      <c r="L127">
        <v>1191</v>
      </c>
      <c r="N127">
        <v>1013</v>
      </c>
      <c r="O127" t="s">
        <v>359</v>
      </c>
      <c r="P127" t="s">
        <v>359</v>
      </c>
      <c r="Q127">
        <v>1</v>
      </c>
      <c r="X127">
        <v>0.59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2</v>
      </c>
      <c r="AF127" t="s">
        <v>3</v>
      </c>
      <c r="AG127">
        <v>0.59</v>
      </c>
      <c r="AH127">
        <v>2</v>
      </c>
      <c r="AI127">
        <v>73953968</v>
      </c>
      <c r="AJ127">
        <v>116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ROW(Source!A96)</f>
        <v>96</v>
      </c>
      <c r="B128">
        <v>73953975</v>
      </c>
      <c r="C128">
        <v>73953966</v>
      </c>
      <c r="D128">
        <v>72646037</v>
      </c>
      <c r="E128">
        <v>1</v>
      </c>
      <c r="F128">
        <v>1</v>
      </c>
      <c r="G128">
        <v>1</v>
      </c>
      <c r="H128">
        <v>2</v>
      </c>
      <c r="I128" t="s">
        <v>435</v>
      </c>
      <c r="J128" t="s">
        <v>436</v>
      </c>
      <c r="K128" t="s">
        <v>437</v>
      </c>
      <c r="L128">
        <v>1368</v>
      </c>
      <c r="N128">
        <v>1011</v>
      </c>
      <c r="O128" t="s">
        <v>363</v>
      </c>
      <c r="P128" t="s">
        <v>363</v>
      </c>
      <c r="Q128">
        <v>1</v>
      </c>
      <c r="X128">
        <v>0.25</v>
      </c>
      <c r="Y128">
        <v>0</v>
      </c>
      <c r="Z128">
        <v>1836.16</v>
      </c>
      <c r="AA128">
        <v>537.64</v>
      </c>
      <c r="AB128">
        <v>0</v>
      </c>
      <c r="AC128">
        <v>0</v>
      </c>
      <c r="AD128">
        <v>1</v>
      </c>
      <c r="AE128">
        <v>0</v>
      </c>
      <c r="AF128" t="s">
        <v>3</v>
      </c>
      <c r="AG128">
        <v>0.25</v>
      </c>
      <c r="AH128">
        <v>2</v>
      </c>
      <c r="AI128">
        <v>73953969</v>
      </c>
      <c r="AJ128">
        <v>117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ROW(Source!A96)</f>
        <v>96</v>
      </c>
      <c r="B129">
        <v>73953976</v>
      </c>
      <c r="C129">
        <v>73953966</v>
      </c>
      <c r="D129">
        <v>72646931</v>
      </c>
      <c r="E129">
        <v>1</v>
      </c>
      <c r="F129">
        <v>1</v>
      </c>
      <c r="G129">
        <v>1</v>
      </c>
      <c r="H129">
        <v>2</v>
      </c>
      <c r="I129" t="s">
        <v>441</v>
      </c>
      <c r="J129" t="s">
        <v>442</v>
      </c>
      <c r="K129" t="s">
        <v>443</v>
      </c>
      <c r="L129">
        <v>1368</v>
      </c>
      <c r="N129">
        <v>1011</v>
      </c>
      <c r="O129" t="s">
        <v>363</v>
      </c>
      <c r="P129" t="s">
        <v>363</v>
      </c>
      <c r="Q129">
        <v>1</v>
      </c>
      <c r="X129">
        <v>0.34</v>
      </c>
      <c r="Y129">
        <v>0</v>
      </c>
      <c r="Z129">
        <v>655.95</v>
      </c>
      <c r="AA129">
        <v>400.24</v>
      </c>
      <c r="AB129">
        <v>0</v>
      </c>
      <c r="AC129">
        <v>0</v>
      </c>
      <c r="AD129">
        <v>1</v>
      </c>
      <c r="AE129">
        <v>0</v>
      </c>
      <c r="AF129" t="s">
        <v>3</v>
      </c>
      <c r="AG129">
        <v>0.34</v>
      </c>
      <c r="AH129">
        <v>2</v>
      </c>
      <c r="AI129">
        <v>73953970</v>
      </c>
      <c r="AJ129">
        <v>118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ROW(Source!A96)</f>
        <v>96</v>
      </c>
      <c r="B130">
        <v>73953977</v>
      </c>
      <c r="C130">
        <v>73953966</v>
      </c>
      <c r="D130">
        <v>72598147</v>
      </c>
      <c r="E130">
        <v>1</v>
      </c>
      <c r="F130">
        <v>1</v>
      </c>
      <c r="G130">
        <v>1</v>
      </c>
      <c r="H130">
        <v>3</v>
      </c>
      <c r="I130" t="s">
        <v>538</v>
      </c>
      <c r="J130" t="s">
        <v>539</v>
      </c>
      <c r="K130" t="s">
        <v>540</v>
      </c>
      <c r="L130">
        <v>1371</v>
      </c>
      <c r="N130">
        <v>1013</v>
      </c>
      <c r="O130" t="s">
        <v>130</v>
      </c>
      <c r="P130" t="s">
        <v>130</v>
      </c>
      <c r="Q130">
        <v>1</v>
      </c>
      <c r="X130">
        <v>0.01</v>
      </c>
      <c r="Y130">
        <v>61015.76</v>
      </c>
      <c r="Z130">
        <v>0</v>
      </c>
      <c r="AA130">
        <v>0</v>
      </c>
      <c r="AB130">
        <v>0</v>
      </c>
      <c r="AC130">
        <v>0</v>
      </c>
      <c r="AD130">
        <v>1</v>
      </c>
      <c r="AE130">
        <v>0</v>
      </c>
      <c r="AF130" t="s">
        <v>3</v>
      </c>
      <c r="AG130">
        <v>0.01</v>
      </c>
      <c r="AH130">
        <v>2</v>
      </c>
      <c r="AI130">
        <v>73953971</v>
      </c>
      <c r="AJ130">
        <v>119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ROW(Source!A96)</f>
        <v>96</v>
      </c>
      <c r="B131">
        <v>73953978</v>
      </c>
      <c r="C131">
        <v>73953966</v>
      </c>
      <c r="D131">
        <v>72521534</v>
      </c>
      <c r="E131">
        <v>119</v>
      </c>
      <c r="F131">
        <v>1</v>
      </c>
      <c r="G131">
        <v>1</v>
      </c>
      <c r="H131">
        <v>3</v>
      </c>
      <c r="I131" t="s">
        <v>585</v>
      </c>
      <c r="J131" t="s">
        <v>3</v>
      </c>
      <c r="K131" t="s">
        <v>586</v>
      </c>
      <c r="L131">
        <v>1348</v>
      </c>
      <c r="N131">
        <v>1009</v>
      </c>
      <c r="O131" t="s">
        <v>248</v>
      </c>
      <c r="P131" t="s">
        <v>248</v>
      </c>
      <c r="Q131">
        <v>1000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 t="s">
        <v>3</v>
      </c>
      <c r="AG131">
        <v>1</v>
      </c>
      <c r="AH131">
        <v>3</v>
      </c>
      <c r="AI131">
        <v>-1</v>
      </c>
      <c r="AJ131" t="s">
        <v>3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ROW(Source!A98)</f>
        <v>98</v>
      </c>
      <c r="B132">
        <v>73953984</v>
      </c>
      <c r="C132">
        <v>73953980</v>
      </c>
      <c r="D132">
        <v>72518655</v>
      </c>
      <c r="E132">
        <v>119</v>
      </c>
      <c r="F132">
        <v>1</v>
      </c>
      <c r="G132">
        <v>1</v>
      </c>
      <c r="H132">
        <v>1</v>
      </c>
      <c r="I132" t="s">
        <v>541</v>
      </c>
      <c r="J132" t="s">
        <v>3</v>
      </c>
      <c r="K132" t="s">
        <v>542</v>
      </c>
      <c r="L132">
        <v>1191</v>
      </c>
      <c r="N132">
        <v>1013</v>
      </c>
      <c r="O132" t="s">
        <v>359</v>
      </c>
      <c r="P132" t="s">
        <v>359</v>
      </c>
      <c r="Q132">
        <v>1</v>
      </c>
      <c r="X132">
        <v>0.41</v>
      </c>
      <c r="Y132">
        <v>0</v>
      </c>
      <c r="Z132">
        <v>0</v>
      </c>
      <c r="AA132">
        <v>0</v>
      </c>
      <c r="AB132">
        <v>400.24</v>
      </c>
      <c r="AC132">
        <v>0</v>
      </c>
      <c r="AD132">
        <v>1</v>
      </c>
      <c r="AE132">
        <v>1</v>
      </c>
      <c r="AF132" t="s">
        <v>3</v>
      </c>
      <c r="AG132">
        <v>0.41</v>
      </c>
      <c r="AH132">
        <v>2</v>
      </c>
      <c r="AI132">
        <v>73953981</v>
      </c>
      <c r="AJ132">
        <v>121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ROW(Source!A98)</f>
        <v>98</v>
      </c>
      <c r="B133">
        <v>73953985</v>
      </c>
      <c r="C133">
        <v>73953980</v>
      </c>
      <c r="D133">
        <v>72518826</v>
      </c>
      <c r="E133">
        <v>119</v>
      </c>
      <c r="F133">
        <v>1</v>
      </c>
      <c r="G133">
        <v>1</v>
      </c>
      <c r="H133">
        <v>1</v>
      </c>
      <c r="I133" t="s">
        <v>357</v>
      </c>
      <c r="J133" t="s">
        <v>3</v>
      </c>
      <c r="K133" t="s">
        <v>358</v>
      </c>
      <c r="L133">
        <v>1191</v>
      </c>
      <c r="N133">
        <v>1013</v>
      </c>
      <c r="O133" t="s">
        <v>359</v>
      </c>
      <c r="P133" t="s">
        <v>359</v>
      </c>
      <c r="Q133">
        <v>1</v>
      </c>
      <c r="X133">
        <v>0.2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2</v>
      </c>
      <c r="AF133" t="s">
        <v>3</v>
      </c>
      <c r="AG133">
        <v>0.2</v>
      </c>
      <c r="AH133">
        <v>2</v>
      </c>
      <c r="AI133">
        <v>73953982</v>
      </c>
      <c r="AJ133">
        <v>122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ROW(Source!A98)</f>
        <v>98</v>
      </c>
      <c r="B134">
        <v>73953986</v>
      </c>
      <c r="C134">
        <v>73953980</v>
      </c>
      <c r="D134">
        <v>72647141</v>
      </c>
      <c r="E134">
        <v>1</v>
      </c>
      <c r="F134">
        <v>1</v>
      </c>
      <c r="G134">
        <v>1</v>
      </c>
      <c r="H134">
        <v>2</v>
      </c>
      <c r="I134" t="s">
        <v>397</v>
      </c>
      <c r="J134" t="s">
        <v>398</v>
      </c>
      <c r="K134" t="s">
        <v>399</v>
      </c>
      <c r="L134">
        <v>1368</v>
      </c>
      <c r="N134">
        <v>1011</v>
      </c>
      <c r="O134" t="s">
        <v>363</v>
      </c>
      <c r="P134" t="s">
        <v>363</v>
      </c>
      <c r="Q134">
        <v>1</v>
      </c>
      <c r="X134">
        <v>0.2</v>
      </c>
      <c r="Y134">
        <v>0</v>
      </c>
      <c r="Z134">
        <v>417.12</v>
      </c>
      <c r="AA134">
        <v>400.24</v>
      </c>
      <c r="AB134">
        <v>0</v>
      </c>
      <c r="AC134">
        <v>0</v>
      </c>
      <c r="AD134">
        <v>1</v>
      </c>
      <c r="AE134">
        <v>0</v>
      </c>
      <c r="AF134" t="s">
        <v>3</v>
      </c>
      <c r="AG134">
        <v>0.2</v>
      </c>
      <c r="AH134">
        <v>2</v>
      </c>
      <c r="AI134">
        <v>73953983</v>
      </c>
      <c r="AJ134">
        <v>123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ROW(Source!A99)</f>
        <v>99</v>
      </c>
      <c r="B135">
        <v>73954008</v>
      </c>
      <c r="C135">
        <v>73954001</v>
      </c>
      <c r="D135">
        <v>72518791</v>
      </c>
      <c r="E135">
        <v>119</v>
      </c>
      <c r="F135">
        <v>1</v>
      </c>
      <c r="G135">
        <v>1</v>
      </c>
      <c r="H135">
        <v>1</v>
      </c>
      <c r="I135" t="s">
        <v>479</v>
      </c>
      <c r="J135" t="s">
        <v>3</v>
      </c>
      <c r="K135" t="s">
        <v>480</v>
      </c>
      <c r="L135">
        <v>1369</v>
      </c>
      <c r="N135">
        <v>1013</v>
      </c>
      <c r="O135" t="s">
        <v>478</v>
      </c>
      <c r="P135" t="s">
        <v>478</v>
      </c>
      <c r="Q135">
        <v>1</v>
      </c>
      <c r="X135">
        <v>19.899999999999999</v>
      </c>
      <c r="Y135">
        <v>0</v>
      </c>
      <c r="Z135">
        <v>0</v>
      </c>
      <c r="AA135">
        <v>0</v>
      </c>
      <c r="AB135">
        <v>400.24</v>
      </c>
      <c r="AC135">
        <v>0</v>
      </c>
      <c r="AD135">
        <v>1</v>
      </c>
      <c r="AE135">
        <v>1</v>
      </c>
      <c r="AF135" t="s">
        <v>3</v>
      </c>
      <c r="AG135">
        <v>19.899999999999999</v>
      </c>
      <c r="AH135">
        <v>2</v>
      </c>
      <c r="AI135">
        <v>73954002</v>
      </c>
      <c r="AJ135">
        <v>124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ROW(Source!A99)</f>
        <v>99</v>
      </c>
      <c r="B136">
        <v>73954009</v>
      </c>
      <c r="C136">
        <v>73954001</v>
      </c>
      <c r="D136">
        <v>72518793</v>
      </c>
      <c r="E136">
        <v>119</v>
      </c>
      <c r="F136">
        <v>1</v>
      </c>
      <c r="G136">
        <v>1</v>
      </c>
      <c r="H136">
        <v>1</v>
      </c>
      <c r="I136" t="s">
        <v>543</v>
      </c>
      <c r="J136" t="s">
        <v>3</v>
      </c>
      <c r="K136" t="s">
        <v>544</v>
      </c>
      <c r="L136">
        <v>1369</v>
      </c>
      <c r="N136">
        <v>1013</v>
      </c>
      <c r="O136" t="s">
        <v>478</v>
      </c>
      <c r="P136" t="s">
        <v>478</v>
      </c>
      <c r="Q136">
        <v>1</v>
      </c>
      <c r="X136">
        <v>19.899999999999999</v>
      </c>
      <c r="Y136">
        <v>0</v>
      </c>
      <c r="Z136">
        <v>0</v>
      </c>
      <c r="AA136">
        <v>0</v>
      </c>
      <c r="AB136">
        <v>459.98</v>
      </c>
      <c r="AC136">
        <v>0</v>
      </c>
      <c r="AD136">
        <v>1</v>
      </c>
      <c r="AE136">
        <v>1</v>
      </c>
      <c r="AF136" t="s">
        <v>3</v>
      </c>
      <c r="AG136">
        <v>19.899999999999999</v>
      </c>
      <c r="AH136">
        <v>2</v>
      </c>
      <c r="AI136">
        <v>73954003</v>
      </c>
      <c r="AJ136">
        <v>125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ROW(Source!A99)</f>
        <v>99</v>
      </c>
      <c r="B137">
        <v>73954010</v>
      </c>
      <c r="C137">
        <v>73954001</v>
      </c>
      <c r="D137">
        <v>72518826</v>
      </c>
      <c r="E137">
        <v>119</v>
      </c>
      <c r="F137">
        <v>1</v>
      </c>
      <c r="G137">
        <v>1</v>
      </c>
      <c r="H137">
        <v>1</v>
      </c>
      <c r="I137" t="s">
        <v>357</v>
      </c>
      <c r="J137" t="s">
        <v>3</v>
      </c>
      <c r="K137" t="s">
        <v>358</v>
      </c>
      <c r="L137">
        <v>1191</v>
      </c>
      <c r="N137">
        <v>1013</v>
      </c>
      <c r="O137" t="s">
        <v>359</v>
      </c>
      <c r="P137" t="s">
        <v>359</v>
      </c>
      <c r="Q137">
        <v>1</v>
      </c>
      <c r="X137">
        <v>0.01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2</v>
      </c>
      <c r="AF137" t="s">
        <v>3</v>
      </c>
      <c r="AG137">
        <v>0.01</v>
      </c>
      <c r="AH137">
        <v>2</v>
      </c>
      <c r="AI137">
        <v>73954004</v>
      </c>
      <c r="AJ137">
        <v>126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ROW(Source!A99)</f>
        <v>99</v>
      </c>
      <c r="B138">
        <v>73954011</v>
      </c>
      <c r="C138">
        <v>73954001</v>
      </c>
      <c r="D138">
        <v>72647140</v>
      </c>
      <c r="E138">
        <v>1</v>
      </c>
      <c r="F138">
        <v>1</v>
      </c>
      <c r="G138">
        <v>1</v>
      </c>
      <c r="H138">
        <v>2</v>
      </c>
      <c r="I138" t="s">
        <v>545</v>
      </c>
      <c r="J138" t="s">
        <v>546</v>
      </c>
      <c r="K138" t="s">
        <v>547</v>
      </c>
      <c r="L138">
        <v>1368</v>
      </c>
      <c r="N138">
        <v>1011</v>
      </c>
      <c r="O138" t="s">
        <v>363</v>
      </c>
      <c r="P138" t="s">
        <v>363</v>
      </c>
      <c r="Q138">
        <v>1</v>
      </c>
      <c r="X138">
        <v>0.01</v>
      </c>
      <c r="Y138">
        <v>0</v>
      </c>
      <c r="Z138">
        <v>2445.0500000000002</v>
      </c>
      <c r="AA138">
        <v>400.24</v>
      </c>
      <c r="AB138">
        <v>0</v>
      </c>
      <c r="AC138">
        <v>0</v>
      </c>
      <c r="AD138">
        <v>1</v>
      </c>
      <c r="AE138">
        <v>0</v>
      </c>
      <c r="AF138" t="s">
        <v>3</v>
      </c>
      <c r="AG138">
        <v>0.01</v>
      </c>
      <c r="AH138">
        <v>2</v>
      </c>
      <c r="AI138">
        <v>73954005</v>
      </c>
      <c r="AJ138">
        <v>127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ROW(Source!A99)</f>
        <v>99</v>
      </c>
      <c r="B139">
        <v>73954012</v>
      </c>
      <c r="C139">
        <v>73954001</v>
      </c>
      <c r="D139">
        <v>72591341</v>
      </c>
      <c r="E139">
        <v>1</v>
      </c>
      <c r="F139">
        <v>1</v>
      </c>
      <c r="G139">
        <v>1</v>
      </c>
      <c r="H139">
        <v>3</v>
      </c>
      <c r="I139" t="s">
        <v>529</v>
      </c>
      <c r="J139" t="s">
        <v>530</v>
      </c>
      <c r="K139" t="s">
        <v>531</v>
      </c>
      <c r="L139">
        <v>1339</v>
      </c>
      <c r="N139">
        <v>1007</v>
      </c>
      <c r="O139" t="s">
        <v>48</v>
      </c>
      <c r="P139" t="s">
        <v>48</v>
      </c>
      <c r="Q139">
        <v>1</v>
      </c>
      <c r="X139">
        <v>0.1</v>
      </c>
      <c r="Y139">
        <v>35.71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 t="s">
        <v>3</v>
      </c>
      <c r="AG139">
        <v>0.1</v>
      </c>
      <c r="AH139">
        <v>2</v>
      </c>
      <c r="AI139">
        <v>73954006</v>
      </c>
      <c r="AJ139">
        <v>128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ROW(Source!A99)</f>
        <v>99</v>
      </c>
      <c r="B140">
        <v>73954013</v>
      </c>
      <c r="C140">
        <v>73954001</v>
      </c>
      <c r="D140">
        <v>72591641</v>
      </c>
      <c r="E140">
        <v>1</v>
      </c>
      <c r="F140">
        <v>1</v>
      </c>
      <c r="G140">
        <v>1</v>
      </c>
      <c r="H140">
        <v>3</v>
      </c>
      <c r="I140" t="s">
        <v>548</v>
      </c>
      <c r="J140" t="s">
        <v>549</v>
      </c>
      <c r="K140" t="s">
        <v>550</v>
      </c>
      <c r="L140">
        <v>1346</v>
      </c>
      <c r="N140">
        <v>1009</v>
      </c>
      <c r="O140" t="s">
        <v>411</v>
      </c>
      <c r="P140" t="s">
        <v>411</v>
      </c>
      <c r="Q140">
        <v>1</v>
      </c>
      <c r="X140">
        <v>0.01</v>
      </c>
      <c r="Y140">
        <v>114.25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0</v>
      </c>
      <c r="AF140" t="s">
        <v>3</v>
      </c>
      <c r="AG140">
        <v>0.01</v>
      </c>
      <c r="AH140">
        <v>2</v>
      </c>
      <c r="AI140">
        <v>73954007</v>
      </c>
      <c r="AJ140">
        <v>129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ROW(Source!A99)</f>
        <v>99</v>
      </c>
      <c r="B141">
        <v>73954014</v>
      </c>
      <c r="C141">
        <v>73954001</v>
      </c>
      <c r="D141">
        <v>72524511</v>
      </c>
      <c r="E141">
        <v>119</v>
      </c>
      <c r="F141">
        <v>1</v>
      </c>
      <c r="G141">
        <v>1</v>
      </c>
      <c r="H141">
        <v>3</v>
      </c>
      <c r="I141" t="s">
        <v>587</v>
      </c>
      <c r="J141" t="s">
        <v>3</v>
      </c>
      <c r="K141" t="s">
        <v>588</v>
      </c>
      <c r="L141">
        <v>1371</v>
      </c>
      <c r="N141">
        <v>1013</v>
      </c>
      <c r="O141" t="s">
        <v>130</v>
      </c>
      <c r="P141" t="s">
        <v>130</v>
      </c>
      <c r="Q141">
        <v>1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1</v>
      </c>
      <c r="AD141">
        <v>0</v>
      </c>
      <c r="AE141">
        <v>0</v>
      </c>
      <c r="AF141" t="s">
        <v>3</v>
      </c>
      <c r="AG141">
        <v>0</v>
      </c>
      <c r="AH141">
        <v>3</v>
      </c>
      <c r="AI141">
        <v>-1</v>
      </c>
      <c r="AJ141" t="s">
        <v>3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ROW(Source!A100)</f>
        <v>100</v>
      </c>
      <c r="B142">
        <v>73954020</v>
      </c>
      <c r="C142">
        <v>73954015</v>
      </c>
      <c r="D142">
        <v>70491023</v>
      </c>
      <c r="E142">
        <v>118</v>
      </c>
      <c r="F142">
        <v>1</v>
      </c>
      <c r="G142">
        <v>1</v>
      </c>
      <c r="H142">
        <v>1</v>
      </c>
      <c r="I142" t="s">
        <v>541</v>
      </c>
      <c r="J142" t="s">
        <v>3</v>
      </c>
      <c r="K142" t="s">
        <v>542</v>
      </c>
      <c r="L142">
        <v>1191</v>
      </c>
      <c r="N142">
        <v>1013</v>
      </c>
      <c r="O142" t="s">
        <v>359</v>
      </c>
      <c r="P142" t="s">
        <v>359</v>
      </c>
      <c r="Q142">
        <v>1</v>
      </c>
      <c r="X142">
        <v>14</v>
      </c>
      <c r="Y142">
        <v>0</v>
      </c>
      <c r="Z142">
        <v>0</v>
      </c>
      <c r="AA142">
        <v>0</v>
      </c>
      <c r="AB142">
        <v>393.89</v>
      </c>
      <c r="AC142">
        <v>0</v>
      </c>
      <c r="AD142">
        <v>1</v>
      </c>
      <c r="AE142">
        <v>1</v>
      </c>
      <c r="AF142" t="s">
        <v>3</v>
      </c>
      <c r="AG142">
        <v>14</v>
      </c>
      <c r="AH142">
        <v>2</v>
      </c>
      <c r="AI142">
        <v>73954016</v>
      </c>
      <c r="AJ142">
        <v>130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ROW(Source!A100)</f>
        <v>100</v>
      </c>
      <c r="B143">
        <v>73954021</v>
      </c>
      <c r="C143">
        <v>73954015</v>
      </c>
      <c r="D143">
        <v>70491200</v>
      </c>
      <c r="E143">
        <v>118</v>
      </c>
      <c r="F143">
        <v>1</v>
      </c>
      <c r="G143">
        <v>1</v>
      </c>
      <c r="H143">
        <v>1</v>
      </c>
      <c r="I143" t="s">
        <v>357</v>
      </c>
      <c r="J143" t="s">
        <v>3</v>
      </c>
      <c r="K143" t="s">
        <v>358</v>
      </c>
      <c r="L143">
        <v>1191</v>
      </c>
      <c r="N143">
        <v>1013</v>
      </c>
      <c r="O143" t="s">
        <v>359</v>
      </c>
      <c r="P143" t="s">
        <v>359</v>
      </c>
      <c r="Q143">
        <v>1</v>
      </c>
      <c r="X143">
        <v>9.8000000000000007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2</v>
      </c>
      <c r="AF143" t="s">
        <v>3</v>
      </c>
      <c r="AG143">
        <v>9.8000000000000007</v>
      </c>
      <c r="AH143">
        <v>2</v>
      </c>
      <c r="AI143">
        <v>73954017</v>
      </c>
      <c r="AJ143">
        <v>131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ROW(Source!A100)</f>
        <v>100</v>
      </c>
      <c r="B144">
        <v>73954022</v>
      </c>
      <c r="C144">
        <v>73954015</v>
      </c>
      <c r="D144">
        <v>70618538</v>
      </c>
      <c r="E144">
        <v>1</v>
      </c>
      <c r="F144">
        <v>1</v>
      </c>
      <c r="G144">
        <v>1</v>
      </c>
      <c r="H144">
        <v>2</v>
      </c>
      <c r="I144" t="s">
        <v>551</v>
      </c>
      <c r="J144" t="s">
        <v>552</v>
      </c>
      <c r="K144" t="s">
        <v>553</v>
      </c>
      <c r="L144">
        <v>1368</v>
      </c>
      <c r="N144">
        <v>1011</v>
      </c>
      <c r="O144" t="s">
        <v>363</v>
      </c>
      <c r="P144" t="s">
        <v>363</v>
      </c>
      <c r="Q144">
        <v>1</v>
      </c>
      <c r="X144">
        <v>2.8</v>
      </c>
      <c r="Y144">
        <v>0</v>
      </c>
      <c r="Z144">
        <v>1601.67</v>
      </c>
      <c r="AA144">
        <v>529.11</v>
      </c>
      <c r="AB144">
        <v>0</v>
      </c>
      <c r="AC144">
        <v>0</v>
      </c>
      <c r="AD144">
        <v>1</v>
      </c>
      <c r="AE144">
        <v>0</v>
      </c>
      <c r="AF144" t="s">
        <v>3</v>
      </c>
      <c r="AG144">
        <v>2.8</v>
      </c>
      <c r="AH144">
        <v>2</v>
      </c>
      <c r="AI144">
        <v>73954018</v>
      </c>
      <c r="AJ144">
        <v>132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ROW(Source!A100)</f>
        <v>100</v>
      </c>
      <c r="B145">
        <v>73954023</v>
      </c>
      <c r="C145">
        <v>73954015</v>
      </c>
      <c r="D145">
        <v>70618767</v>
      </c>
      <c r="E145">
        <v>1</v>
      </c>
      <c r="F145">
        <v>1</v>
      </c>
      <c r="G145">
        <v>1</v>
      </c>
      <c r="H145">
        <v>2</v>
      </c>
      <c r="I145" t="s">
        <v>397</v>
      </c>
      <c r="J145" t="s">
        <v>398</v>
      </c>
      <c r="K145" t="s">
        <v>399</v>
      </c>
      <c r="L145">
        <v>1368</v>
      </c>
      <c r="N145">
        <v>1011</v>
      </c>
      <c r="O145" t="s">
        <v>363</v>
      </c>
      <c r="P145" t="s">
        <v>363</v>
      </c>
      <c r="Q145">
        <v>1</v>
      </c>
      <c r="X145">
        <v>7</v>
      </c>
      <c r="Y145">
        <v>0</v>
      </c>
      <c r="Z145">
        <v>404.41</v>
      </c>
      <c r="AA145">
        <v>393.89</v>
      </c>
      <c r="AB145">
        <v>0</v>
      </c>
      <c r="AC145">
        <v>0</v>
      </c>
      <c r="AD145">
        <v>1</v>
      </c>
      <c r="AE145">
        <v>0</v>
      </c>
      <c r="AF145" t="s">
        <v>3</v>
      </c>
      <c r="AG145">
        <v>7</v>
      </c>
      <c r="AH145">
        <v>2</v>
      </c>
      <c r="AI145">
        <v>73954019</v>
      </c>
      <c r="AJ145">
        <v>133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cols>
    <col min="1" max="256" width="9.140625" customWidth="1"/>
  </cols>
  <sheetData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03" x14ac:dyDescent="0.2">
      <c r="F12" t="str">
        <f>Source!F12</f>
        <v>Новый объект_(Копия)_(Копия)_(Копия)_(Копия)_(Копия)_(Копия)</v>
      </c>
      <c r="G12" t="str">
        <f>Source!G12</f>
        <v>Газопровод низкого давления к жилому дому,расположенному по адресу: Пензенская область,Лопатинский район,Старовершаутский сельсовет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3</v>
      </c>
      <c r="AI12" t="s">
        <v>3</v>
      </c>
      <c r="AJ12">
        <v>0</v>
      </c>
      <c r="AK12" t="s">
        <v>3</v>
      </c>
      <c r="AL12" t="s">
        <v>3</v>
      </c>
      <c r="AM12" t="s">
        <v>3</v>
      </c>
      <c r="CY12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Смета по ФСНБ 421+557прРИМ_1</vt:lpstr>
      <vt:lpstr>Source</vt:lpstr>
      <vt:lpstr>SourceObSm</vt:lpstr>
      <vt:lpstr>SmtRes</vt:lpstr>
      <vt:lpstr>EtalonRes</vt:lpstr>
      <vt:lpstr>SrcPoprs</vt:lpstr>
      <vt:lpstr>SrcKA</vt:lpstr>
      <vt:lpstr>'Смета по ФСНБ 421+557прРИМ_1'!Заголовки_для_печати</vt:lpstr>
      <vt:lpstr>'Смета по ФСНБ 421+557прРИМ_1'!Область_печати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Smeta</cp:lastModifiedBy>
  <cp:lastPrinted>2026-09-10T06:24:21Z</cp:lastPrinted>
  <dcterms:created xsi:type="dcterms:W3CDTF">2026-09-10T05:40:28Z</dcterms:created>
  <dcterms:modified xsi:type="dcterms:W3CDTF">2026-09-10T06:24:26Z</dcterms:modified>
</cp:coreProperties>
</file>