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ртемьев\ПРОЕКТНАЯ ДОКУМЕНТАЦИЯ\2026 год\Технологическое присоединение\Кузнецк ул. Кирова, 155А_1\"/>
    </mc:Choice>
  </mc:AlternateContent>
  <bookViews>
    <workbookView xWindow="0" yWindow="0" windowWidth="21570" windowHeight="10215"/>
  </bookViews>
  <sheets>
    <sheet name="Смета по ФСНБ 421+557прРИМ" sheetId="7" r:id="rId1"/>
    <sheet name="Конъюнктурный анализ" sheetId="8" r:id="rId2"/>
    <sheet name="Source" sheetId="1" r:id="rId3"/>
    <sheet name="SourceObSm" sheetId="2" r:id="rId4"/>
    <sheet name="SmtRes" sheetId="3" r:id="rId5"/>
    <sheet name="EtalonRes" sheetId="4" r:id="rId6"/>
    <sheet name="SrcPoprs" sheetId="5" r:id="rId7"/>
    <sheet name="SrcKA" sheetId="6" r:id="rId8"/>
  </sheets>
  <definedNames>
    <definedName name="_xlnm.Print_Titles" localSheetId="1">'Конъюнктурный анализ'!$19:$19</definedName>
    <definedName name="_xlnm.Print_Titles" localSheetId="0">'Смета по ФСНБ 421+557прРИМ'!$40:$40</definedName>
    <definedName name="_xlnm.Print_Area" localSheetId="1">'Конъюнктурный анализ'!$A$1:$AB$32</definedName>
    <definedName name="_xlnm.Print_Area" localSheetId="0">'Смета по ФСНБ 421+557прРИМ'!$A$1:$L$995</definedName>
  </definedNames>
  <calcPr calcId="162913" iterate="1"/>
</workbook>
</file>

<file path=xl/calcChain.xml><?xml version="1.0" encoding="utf-8"?>
<calcChain xmlns="http://schemas.openxmlformats.org/spreadsheetml/2006/main">
  <c r="AB23" i="8" l="1"/>
  <c r="Z23" i="8"/>
  <c r="X23" i="8"/>
  <c r="W23" i="8"/>
  <c r="V23" i="8"/>
  <c r="U23" i="8"/>
  <c r="T23" i="8"/>
  <c r="L23" i="8"/>
  <c r="K23" i="8"/>
  <c r="H23" i="8"/>
  <c r="AA23" i="8"/>
  <c r="S23" i="8"/>
  <c r="P23" i="8"/>
  <c r="O23" i="8"/>
  <c r="N23" i="8"/>
  <c r="M23" i="8"/>
  <c r="G23" i="8"/>
  <c r="F23" i="8"/>
  <c r="E23" i="8"/>
  <c r="D23" i="8"/>
  <c r="C23" i="8"/>
  <c r="B23" i="8"/>
  <c r="AB22" i="8"/>
  <c r="Z22" i="8"/>
  <c r="X22" i="8"/>
  <c r="W22" i="8"/>
  <c r="V22" i="8"/>
  <c r="U22" i="8"/>
  <c r="T22" i="8"/>
  <c r="L22" i="8"/>
  <c r="K22" i="8"/>
  <c r="H22" i="8"/>
  <c r="AA22" i="8"/>
  <c r="S22" i="8"/>
  <c r="P22" i="8"/>
  <c r="O22" i="8"/>
  <c r="N22" i="8"/>
  <c r="M22" i="8"/>
  <c r="G22" i="8"/>
  <c r="F22" i="8"/>
  <c r="E22" i="8"/>
  <c r="D22" i="8"/>
  <c r="C22" i="8"/>
  <c r="B22" i="8"/>
  <c r="AB21" i="8"/>
  <c r="Z21" i="8"/>
  <c r="X21" i="8"/>
  <c r="W21" i="8"/>
  <c r="V21" i="8"/>
  <c r="U21" i="8"/>
  <c r="T21" i="8"/>
  <c r="L21" i="8"/>
  <c r="K21" i="8"/>
  <c r="H21" i="8"/>
  <c r="AA21" i="8"/>
  <c r="S21" i="8"/>
  <c r="P21" i="8"/>
  <c r="O21" i="8"/>
  <c r="N21" i="8"/>
  <c r="M21" i="8"/>
  <c r="G21" i="8"/>
  <c r="F21" i="8"/>
  <c r="E21" i="8"/>
  <c r="D21" i="8"/>
  <c r="C21" i="8"/>
  <c r="B21" i="8"/>
  <c r="A20" i="8"/>
  <c r="H993" i="7"/>
  <c r="H990" i="7"/>
  <c r="C993" i="7"/>
  <c r="C990" i="7"/>
  <c r="C33" i="7"/>
  <c r="L985" i="7"/>
  <c r="L984" i="7"/>
  <c r="L982" i="7" s="1"/>
  <c r="L978" i="7"/>
  <c r="L977" i="7"/>
  <c r="L973" i="7"/>
  <c r="L961" i="7"/>
  <c r="L960" i="7"/>
  <c r="L959" i="7"/>
  <c r="L958" i="7"/>
  <c r="L957" i="7"/>
  <c r="L956" i="7"/>
  <c r="L953" i="7"/>
  <c r="L952" i="7"/>
  <c r="L950" i="7"/>
  <c r="L947" i="7"/>
  <c r="L942" i="7"/>
  <c r="L941" i="7"/>
  <c r="L940" i="7"/>
  <c r="L935" i="7"/>
  <c r="L934" i="7"/>
  <c r="L927" i="7"/>
  <c r="L926" i="7"/>
  <c r="L922" i="7"/>
  <c r="L907" i="7"/>
  <c r="L906" i="7"/>
  <c r="L902" i="7"/>
  <c r="L885" i="7"/>
  <c r="L881" i="7"/>
  <c r="L880" i="7"/>
  <c r="L878" i="7"/>
  <c r="L877" i="7"/>
  <c r="L875" i="7" s="1"/>
  <c r="L871" i="7"/>
  <c r="L870" i="7"/>
  <c r="L866" i="7"/>
  <c r="AE856" i="7"/>
  <c r="AD856" i="7"/>
  <c r="G855" i="7"/>
  <c r="E855" i="7"/>
  <c r="G854" i="7"/>
  <c r="E854" i="7"/>
  <c r="BA852" i="7"/>
  <c r="AZ852" i="7"/>
  <c r="AE852" i="7"/>
  <c r="AD852" i="7"/>
  <c r="L852" i="7"/>
  <c r="AW852" i="7" s="1"/>
  <c r="I852" i="7"/>
  <c r="H852" i="7"/>
  <c r="E852" i="7"/>
  <c r="G852" i="7"/>
  <c r="D852" i="7"/>
  <c r="C852" i="7"/>
  <c r="B852" i="7"/>
  <c r="G850" i="7"/>
  <c r="E850" i="7"/>
  <c r="D850" i="7"/>
  <c r="C850" i="7"/>
  <c r="B850" i="7"/>
  <c r="L849" i="7"/>
  <c r="L848" i="7" s="1"/>
  <c r="AW856" i="7" s="1"/>
  <c r="I849" i="7"/>
  <c r="H849" i="7"/>
  <c r="J849" i="7" s="1"/>
  <c r="G849" i="7"/>
  <c r="L846" i="7"/>
  <c r="AT856" i="7" s="1"/>
  <c r="L847" i="7"/>
  <c r="I847" i="7"/>
  <c r="H847" i="7"/>
  <c r="G847" i="7"/>
  <c r="L844" i="7"/>
  <c r="L843" i="7" s="1"/>
  <c r="J844" i="7"/>
  <c r="G844" i="7"/>
  <c r="E842" i="7"/>
  <c r="G842" i="7"/>
  <c r="D842" i="7"/>
  <c r="C842" i="7"/>
  <c r="AE841" i="7"/>
  <c r="AD841" i="7"/>
  <c r="G840" i="7"/>
  <c r="E840" i="7"/>
  <c r="G839" i="7"/>
  <c r="E839" i="7"/>
  <c r="BA837" i="7"/>
  <c r="AZ837" i="7"/>
  <c r="AE837" i="7"/>
  <c r="AD837" i="7"/>
  <c r="L837" i="7"/>
  <c r="AW837" i="7" s="1"/>
  <c r="I837" i="7"/>
  <c r="H837" i="7"/>
  <c r="E837" i="7"/>
  <c r="G837" i="7"/>
  <c r="D837" i="7"/>
  <c r="C837" i="7"/>
  <c r="B837" i="7"/>
  <c r="G835" i="7"/>
  <c r="E835" i="7"/>
  <c r="D835" i="7"/>
  <c r="C835" i="7"/>
  <c r="B835" i="7"/>
  <c r="L834" i="7"/>
  <c r="I834" i="7"/>
  <c r="H834" i="7"/>
  <c r="J834" i="7" s="1"/>
  <c r="G834" i="7"/>
  <c r="L833" i="7"/>
  <c r="I833" i="7"/>
  <c r="H833" i="7"/>
  <c r="J833" i="7" s="1"/>
  <c r="G833" i="7"/>
  <c r="L829" i="7"/>
  <c r="L831" i="7"/>
  <c r="I831" i="7"/>
  <c r="H831" i="7"/>
  <c r="G831" i="7"/>
  <c r="L830" i="7"/>
  <c r="I830" i="7"/>
  <c r="H830" i="7"/>
  <c r="G830" i="7"/>
  <c r="L827" i="7"/>
  <c r="L826" i="7" s="1"/>
  <c r="AR841" i="7" s="1"/>
  <c r="J827" i="7"/>
  <c r="G827" i="7"/>
  <c r="E825" i="7"/>
  <c r="G825" i="7"/>
  <c r="D825" i="7"/>
  <c r="C825" i="7"/>
  <c r="AT824" i="7"/>
  <c r="AR824" i="7"/>
  <c r="AO824" i="7"/>
  <c r="BA824" i="7"/>
  <c r="AZ824" i="7"/>
  <c r="AE824" i="7"/>
  <c r="AD824" i="7"/>
  <c r="L823" i="7"/>
  <c r="K824" i="7" s="1"/>
  <c r="J823" i="7"/>
  <c r="E823" i="7"/>
  <c r="G823" i="7"/>
  <c r="D823" i="7"/>
  <c r="C823" i="7"/>
  <c r="AW822" i="7"/>
  <c r="AE822" i="7"/>
  <c r="AD822" i="7"/>
  <c r="G821" i="7"/>
  <c r="E821" i="7"/>
  <c r="G820" i="7"/>
  <c r="E820" i="7"/>
  <c r="BA818" i="7"/>
  <c r="AZ818" i="7"/>
  <c r="AE818" i="7"/>
  <c r="AD818" i="7"/>
  <c r="E818" i="7"/>
  <c r="G818" i="7"/>
  <c r="D818" i="7"/>
  <c r="C818" i="7"/>
  <c r="B818" i="7"/>
  <c r="L816" i="7"/>
  <c r="I816" i="7"/>
  <c r="H816" i="7"/>
  <c r="G816" i="7"/>
  <c r="L815" i="7"/>
  <c r="L813" i="7" s="1"/>
  <c r="J815" i="7"/>
  <c r="E815" i="7"/>
  <c r="L814" i="7"/>
  <c r="I814" i="7"/>
  <c r="H814" i="7"/>
  <c r="J814" i="7" s="1"/>
  <c r="G814" i="7"/>
  <c r="L811" i="7"/>
  <c r="L810" i="7" s="1"/>
  <c r="AR822" i="7" s="1"/>
  <c r="J811" i="7"/>
  <c r="G811" i="7"/>
  <c r="E809" i="7"/>
  <c r="G809" i="7"/>
  <c r="D809" i="7"/>
  <c r="C809" i="7"/>
  <c r="AT808" i="7"/>
  <c r="AR808" i="7"/>
  <c r="AO808" i="7"/>
  <c r="BA808" i="7"/>
  <c r="AZ808" i="7"/>
  <c r="AE808" i="7"/>
  <c r="AD808" i="7"/>
  <c r="L807" i="7"/>
  <c r="K808" i="7" s="1"/>
  <c r="I807" i="7"/>
  <c r="H807" i="7"/>
  <c r="E807" i="7"/>
  <c r="G807" i="7"/>
  <c r="D807" i="7"/>
  <c r="C807" i="7"/>
  <c r="B807" i="7"/>
  <c r="AE806" i="7"/>
  <c r="AD806" i="7"/>
  <c r="G805" i="7"/>
  <c r="E805" i="7"/>
  <c r="G804" i="7"/>
  <c r="E804" i="7"/>
  <c r="G801" i="7"/>
  <c r="E801" i="7"/>
  <c r="D801" i="7"/>
  <c r="C801" i="7"/>
  <c r="B801" i="7"/>
  <c r="G800" i="7"/>
  <c r="E800" i="7"/>
  <c r="D800" i="7"/>
  <c r="C800" i="7"/>
  <c r="B800" i="7"/>
  <c r="L799" i="7"/>
  <c r="I799" i="7"/>
  <c r="H799" i="7"/>
  <c r="G799" i="7"/>
  <c r="L798" i="7"/>
  <c r="J798" i="7"/>
  <c r="G798" i="7"/>
  <c r="L797" i="7"/>
  <c r="L796" i="7" s="1"/>
  <c r="AW806" i="7" s="1"/>
  <c r="I797" i="7"/>
  <c r="H797" i="7"/>
  <c r="G797" i="7"/>
  <c r="L792" i="7"/>
  <c r="AT806" i="7" s="1"/>
  <c r="L795" i="7"/>
  <c r="I795" i="7"/>
  <c r="H795" i="7"/>
  <c r="G795" i="7"/>
  <c r="L794" i="7"/>
  <c r="I794" i="7"/>
  <c r="H794" i="7"/>
  <c r="G794" i="7"/>
  <c r="L793" i="7"/>
  <c r="J793" i="7"/>
  <c r="G793" i="7"/>
  <c r="L790" i="7"/>
  <c r="L789" i="7" s="1"/>
  <c r="J790" i="7"/>
  <c r="G790" i="7"/>
  <c r="E788" i="7"/>
  <c r="G788" i="7"/>
  <c r="D788" i="7"/>
  <c r="C788" i="7"/>
  <c r="AE787" i="7"/>
  <c r="AD787" i="7"/>
  <c r="G786" i="7"/>
  <c r="E786" i="7"/>
  <c r="G785" i="7"/>
  <c r="E785" i="7"/>
  <c r="BA783" i="7"/>
  <c r="AZ783" i="7"/>
  <c r="AE783" i="7"/>
  <c r="AD783" i="7"/>
  <c r="L783" i="7"/>
  <c r="AN783" i="7" s="1"/>
  <c r="I783" i="7"/>
  <c r="H783" i="7"/>
  <c r="E783" i="7"/>
  <c r="G783" i="7"/>
  <c r="D783" i="7"/>
  <c r="C783" i="7"/>
  <c r="B783" i="7"/>
  <c r="G781" i="7"/>
  <c r="E781" i="7"/>
  <c r="D781" i="7"/>
  <c r="C781" i="7"/>
  <c r="B781" i="7"/>
  <c r="L780" i="7"/>
  <c r="I780" i="7"/>
  <c r="H780" i="7"/>
  <c r="G780" i="7"/>
  <c r="L779" i="7"/>
  <c r="I779" i="7"/>
  <c r="H779" i="7"/>
  <c r="G779" i="7"/>
  <c r="L778" i="7"/>
  <c r="J778" i="7"/>
  <c r="G778" i="7"/>
  <c r="L777" i="7"/>
  <c r="J777" i="7"/>
  <c r="G777" i="7"/>
  <c r="L775" i="7"/>
  <c r="J775" i="7"/>
  <c r="E775" i="7"/>
  <c r="L774" i="7"/>
  <c r="J774" i="7"/>
  <c r="G774" i="7"/>
  <c r="L773" i="7"/>
  <c r="J773" i="7"/>
  <c r="E773" i="7"/>
  <c r="L772" i="7"/>
  <c r="I772" i="7"/>
  <c r="H772" i="7"/>
  <c r="G772" i="7"/>
  <c r="L771" i="7"/>
  <c r="J771" i="7"/>
  <c r="E771" i="7"/>
  <c r="L770" i="7"/>
  <c r="J770" i="7"/>
  <c r="G770" i="7"/>
  <c r="L767" i="7"/>
  <c r="J767" i="7"/>
  <c r="G767" i="7"/>
  <c r="L766" i="7"/>
  <c r="J766" i="7"/>
  <c r="G766" i="7"/>
  <c r="L765" i="7"/>
  <c r="J765" i="7"/>
  <c r="G765" i="7"/>
  <c r="L764" i="7"/>
  <c r="J764" i="7"/>
  <c r="G764" i="7"/>
  <c r="L763" i="7"/>
  <c r="J763" i="7"/>
  <c r="G763" i="7"/>
  <c r="E761" i="7"/>
  <c r="G761" i="7"/>
  <c r="D761" i="7"/>
  <c r="C761" i="7"/>
  <c r="AE760" i="7"/>
  <c r="AD760" i="7"/>
  <c r="G759" i="7"/>
  <c r="E759" i="7"/>
  <c r="G758" i="7"/>
  <c r="E758" i="7"/>
  <c r="BA756" i="7"/>
  <c r="AZ756" i="7"/>
  <c r="AE756" i="7"/>
  <c r="AD756" i="7"/>
  <c r="L756" i="7"/>
  <c r="AN756" i="7" s="1"/>
  <c r="I756" i="7"/>
  <c r="H756" i="7"/>
  <c r="E756" i="7"/>
  <c r="G756" i="7"/>
  <c r="D756" i="7"/>
  <c r="C756" i="7"/>
  <c r="B756" i="7"/>
  <c r="G754" i="7"/>
  <c r="E754" i="7"/>
  <c r="D754" i="7"/>
  <c r="C754" i="7"/>
  <c r="B754" i="7"/>
  <c r="L753" i="7"/>
  <c r="AW760" i="7" s="1"/>
  <c r="L750" i="7"/>
  <c r="AT760" i="7" s="1"/>
  <c r="L752" i="7"/>
  <c r="I752" i="7"/>
  <c r="H752" i="7"/>
  <c r="G752" i="7"/>
  <c r="L751" i="7"/>
  <c r="I751" i="7"/>
  <c r="H751" i="7"/>
  <c r="G751" i="7"/>
  <c r="L748" i="7"/>
  <c r="L747" i="7" s="1"/>
  <c r="J748" i="7"/>
  <c r="G748" i="7"/>
  <c r="C746" i="7"/>
  <c r="E745" i="7"/>
  <c r="G745" i="7"/>
  <c r="D745" i="7"/>
  <c r="C745" i="7"/>
  <c r="AT744" i="7"/>
  <c r="AR744" i="7"/>
  <c r="AO744" i="7"/>
  <c r="BA744" i="7"/>
  <c r="AZ744" i="7"/>
  <c r="AE744" i="7"/>
  <c r="AD744" i="7"/>
  <c r="L743" i="7"/>
  <c r="AN744" i="7" s="1"/>
  <c r="I743" i="7"/>
  <c r="H743" i="7"/>
  <c r="J743" i="7" s="1"/>
  <c r="E743" i="7"/>
  <c r="G743" i="7"/>
  <c r="D743" i="7"/>
  <c r="C743" i="7"/>
  <c r="B743" i="7"/>
  <c r="AE742" i="7"/>
  <c r="AD742" i="7"/>
  <c r="G741" i="7"/>
  <c r="E741" i="7"/>
  <c r="G740" i="7"/>
  <c r="E740" i="7"/>
  <c r="L736" i="7"/>
  <c r="I736" i="7"/>
  <c r="H736" i="7"/>
  <c r="G736" i="7"/>
  <c r="L735" i="7"/>
  <c r="I735" i="7"/>
  <c r="H735" i="7"/>
  <c r="G735" i="7"/>
  <c r="L734" i="7"/>
  <c r="J734" i="7"/>
  <c r="G734" i="7"/>
  <c r="L733" i="7"/>
  <c r="J733" i="7"/>
  <c r="G733" i="7"/>
  <c r="L732" i="7"/>
  <c r="I732" i="7"/>
  <c r="H732" i="7"/>
  <c r="G732" i="7"/>
  <c r="L731" i="7"/>
  <c r="J731" i="7"/>
  <c r="G731" i="7"/>
  <c r="L729" i="7"/>
  <c r="J729" i="7"/>
  <c r="G729" i="7"/>
  <c r="L728" i="7"/>
  <c r="I728" i="7"/>
  <c r="H728" i="7"/>
  <c r="G728" i="7"/>
  <c r="L727" i="7"/>
  <c r="J727" i="7"/>
  <c r="E727" i="7"/>
  <c r="G727" i="7" s="1"/>
  <c r="L726" i="7"/>
  <c r="J726" i="7"/>
  <c r="G726" i="7"/>
  <c r="L725" i="7"/>
  <c r="J725" i="7"/>
  <c r="E725" i="7"/>
  <c r="L724" i="7"/>
  <c r="J724" i="7"/>
  <c r="G724" i="7"/>
  <c r="L721" i="7"/>
  <c r="L720" i="7" s="1"/>
  <c r="J721" i="7"/>
  <c r="G721" i="7"/>
  <c r="E719" i="7"/>
  <c r="G719" i="7"/>
  <c r="D719" i="7"/>
  <c r="C719" i="7"/>
  <c r="AE718" i="7"/>
  <c r="AD718" i="7"/>
  <c r="G717" i="7"/>
  <c r="E717" i="7"/>
  <c r="G716" i="7"/>
  <c r="E716" i="7"/>
  <c r="BA714" i="7"/>
  <c r="AZ714" i="7"/>
  <c r="AE714" i="7"/>
  <c r="AD714" i="7"/>
  <c r="L714" i="7"/>
  <c r="AW714" i="7" s="1"/>
  <c r="J714" i="7"/>
  <c r="E714" i="7"/>
  <c r="G714" i="7"/>
  <c r="D714" i="7"/>
  <c r="C714" i="7"/>
  <c r="B714" i="7"/>
  <c r="G712" i="7"/>
  <c r="E712" i="7"/>
  <c r="D712" i="7"/>
  <c r="C712" i="7"/>
  <c r="B712" i="7"/>
  <c r="L711" i="7"/>
  <c r="AW718" i="7" s="1"/>
  <c r="L708" i="7"/>
  <c r="AT718" i="7" s="1"/>
  <c r="L710" i="7"/>
  <c r="I710" i="7"/>
  <c r="H710" i="7"/>
  <c r="G710" i="7"/>
  <c r="L709" i="7"/>
  <c r="I709" i="7"/>
  <c r="H709" i="7"/>
  <c r="G709" i="7"/>
  <c r="L706" i="7"/>
  <c r="L705" i="7" s="1"/>
  <c r="J706" i="7"/>
  <c r="G706" i="7"/>
  <c r="C704" i="7"/>
  <c r="E703" i="7"/>
  <c r="G703" i="7"/>
  <c r="D703" i="7"/>
  <c r="C703" i="7"/>
  <c r="AE702" i="7"/>
  <c r="AD702" i="7"/>
  <c r="G701" i="7"/>
  <c r="E701" i="7"/>
  <c r="G700" i="7"/>
  <c r="E700" i="7"/>
  <c r="L696" i="7"/>
  <c r="I696" i="7"/>
  <c r="H696" i="7"/>
  <c r="G696" i="7"/>
  <c r="L695" i="7"/>
  <c r="I695" i="7"/>
  <c r="H695" i="7"/>
  <c r="G695" i="7"/>
  <c r="L693" i="7"/>
  <c r="I693" i="7"/>
  <c r="H693" i="7"/>
  <c r="G693" i="7"/>
  <c r="L692" i="7"/>
  <c r="L690" i="7" s="1"/>
  <c r="AT702" i="7" s="1"/>
  <c r="J692" i="7"/>
  <c r="E692" i="7"/>
  <c r="L691" i="7"/>
  <c r="J691" i="7"/>
  <c r="G691" i="7"/>
  <c r="L688" i="7"/>
  <c r="L687" i="7" s="1"/>
  <c r="J688" i="7"/>
  <c r="G688" i="7"/>
  <c r="C686" i="7"/>
  <c r="E685" i="7"/>
  <c r="G685" i="7"/>
  <c r="D685" i="7"/>
  <c r="C685" i="7"/>
  <c r="AW684" i="7"/>
  <c r="AE684" i="7"/>
  <c r="AD684" i="7"/>
  <c r="G683" i="7"/>
  <c r="E683" i="7"/>
  <c r="G682" i="7"/>
  <c r="E682" i="7"/>
  <c r="BA680" i="7"/>
  <c r="AZ680" i="7"/>
  <c r="AE680" i="7"/>
  <c r="AD680" i="7"/>
  <c r="L680" i="7"/>
  <c r="AW680" i="7" s="1"/>
  <c r="I680" i="7"/>
  <c r="H680" i="7"/>
  <c r="E680" i="7"/>
  <c r="G680" i="7"/>
  <c r="D680" i="7"/>
  <c r="C680" i="7"/>
  <c r="B680" i="7"/>
  <c r="G678" i="7"/>
  <c r="E678" i="7"/>
  <c r="D678" i="7"/>
  <c r="C678" i="7"/>
  <c r="B678" i="7"/>
  <c r="L677" i="7"/>
  <c r="L675" i="7" s="1"/>
  <c r="J677" i="7"/>
  <c r="E677" i="7"/>
  <c r="L676" i="7"/>
  <c r="I676" i="7"/>
  <c r="H676" i="7"/>
  <c r="J676" i="7" s="1"/>
  <c r="G676" i="7"/>
  <c r="L673" i="7"/>
  <c r="L672" i="7" s="1"/>
  <c r="J673" i="7"/>
  <c r="G673" i="7"/>
  <c r="C671" i="7"/>
  <c r="E670" i="7"/>
  <c r="G670" i="7"/>
  <c r="D670" i="7"/>
  <c r="C670" i="7"/>
  <c r="AE669" i="7"/>
  <c r="AD669" i="7"/>
  <c r="G668" i="7"/>
  <c r="E668" i="7"/>
  <c r="G667" i="7"/>
  <c r="E667" i="7"/>
  <c r="L662" i="7"/>
  <c r="I662" i="7"/>
  <c r="H662" i="7"/>
  <c r="G662" i="7"/>
  <c r="F662" i="7"/>
  <c r="L661" i="7"/>
  <c r="I661" i="7"/>
  <c r="H661" i="7"/>
  <c r="G661" i="7"/>
  <c r="F661" i="7"/>
  <c r="L660" i="7"/>
  <c r="I660" i="7"/>
  <c r="H660" i="7"/>
  <c r="G660" i="7"/>
  <c r="F660" i="7"/>
  <c r="L658" i="7"/>
  <c r="J658" i="7"/>
  <c r="G658" i="7"/>
  <c r="F658" i="7"/>
  <c r="L657" i="7"/>
  <c r="J657" i="7"/>
  <c r="F657" i="7"/>
  <c r="E657" i="7"/>
  <c r="L656" i="7"/>
  <c r="I656" i="7"/>
  <c r="H656" i="7"/>
  <c r="G656" i="7"/>
  <c r="F656" i="7"/>
  <c r="L655" i="7"/>
  <c r="J655" i="7"/>
  <c r="F655" i="7"/>
  <c r="E655" i="7"/>
  <c r="L654" i="7"/>
  <c r="J654" i="7"/>
  <c r="G654" i="7"/>
  <c r="F654" i="7"/>
  <c r="L653" i="7"/>
  <c r="J653" i="7"/>
  <c r="F653" i="7"/>
  <c r="E653" i="7"/>
  <c r="L652" i="7"/>
  <c r="I652" i="7"/>
  <c r="H652" i="7"/>
  <c r="G652" i="7"/>
  <c r="F652" i="7"/>
  <c r="L651" i="7"/>
  <c r="J651" i="7"/>
  <c r="F651" i="7"/>
  <c r="E651" i="7"/>
  <c r="L650" i="7"/>
  <c r="I650" i="7"/>
  <c r="H650" i="7"/>
  <c r="G650" i="7"/>
  <c r="F650" i="7"/>
  <c r="L649" i="7"/>
  <c r="J649" i="7"/>
  <c r="F649" i="7"/>
  <c r="E649" i="7"/>
  <c r="L648" i="7"/>
  <c r="J648" i="7"/>
  <c r="G648" i="7"/>
  <c r="F648" i="7"/>
  <c r="L647" i="7"/>
  <c r="J647" i="7"/>
  <c r="F647" i="7"/>
  <c r="E647" i="7"/>
  <c r="L646" i="7"/>
  <c r="I646" i="7"/>
  <c r="H646" i="7"/>
  <c r="J646" i="7" s="1"/>
  <c r="G646" i="7"/>
  <c r="F646" i="7"/>
  <c r="L643" i="7"/>
  <c r="L642" i="7" s="1"/>
  <c r="J643" i="7"/>
  <c r="G643" i="7"/>
  <c r="F643" i="7"/>
  <c r="E641" i="7"/>
  <c r="G641" i="7"/>
  <c r="D641" i="7"/>
  <c r="AW640" i="7"/>
  <c r="AR640" i="7"/>
  <c r="AE640" i="7"/>
  <c r="AD640" i="7"/>
  <c r="G639" i="7"/>
  <c r="E639" i="7"/>
  <c r="G638" i="7"/>
  <c r="E638" i="7"/>
  <c r="L635" i="7"/>
  <c r="L633" i="7" s="1"/>
  <c r="AT640" i="7" s="1"/>
  <c r="J635" i="7"/>
  <c r="E635" i="7"/>
  <c r="L634" i="7"/>
  <c r="I634" i="7"/>
  <c r="H634" i="7"/>
  <c r="G634" i="7"/>
  <c r="C631" i="7"/>
  <c r="E630" i="7"/>
  <c r="G630" i="7"/>
  <c r="D630" i="7"/>
  <c r="C630" i="7"/>
  <c r="AW629" i="7"/>
  <c r="AR629" i="7"/>
  <c r="AE629" i="7"/>
  <c r="AD629" i="7"/>
  <c r="G628" i="7"/>
  <c r="E628" i="7"/>
  <c r="G627" i="7"/>
  <c r="E627" i="7"/>
  <c r="L624" i="7"/>
  <c r="L622" i="7" s="1"/>
  <c r="J624" i="7"/>
  <c r="E624" i="7"/>
  <c r="L623" i="7"/>
  <c r="I623" i="7"/>
  <c r="H623" i="7"/>
  <c r="G623" i="7"/>
  <c r="C620" i="7"/>
  <c r="E619" i="7"/>
  <c r="G619" i="7"/>
  <c r="D619" i="7"/>
  <c r="C619" i="7"/>
  <c r="L613" i="7"/>
  <c r="L612" i="7"/>
  <c r="L609" i="7"/>
  <c r="L608" i="7"/>
  <c r="L606" i="7"/>
  <c r="L605" i="7"/>
  <c r="L599" i="7"/>
  <c r="L598" i="7"/>
  <c r="L594" i="7"/>
  <c r="AE584" i="7"/>
  <c r="AD584" i="7"/>
  <c r="G583" i="7"/>
  <c r="E583" i="7"/>
  <c r="G582" i="7"/>
  <c r="E582" i="7"/>
  <c r="BA580" i="7"/>
  <c r="AZ580" i="7"/>
  <c r="AE580" i="7"/>
  <c r="AD580" i="7"/>
  <c r="L580" i="7"/>
  <c r="AW580" i="7" s="1"/>
  <c r="I580" i="7"/>
  <c r="H580" i="7"/>
  <c r="E580" i="7"/>
  <c r="G580" i="7"/>
  <c r="D580" i="7"/>
  <c r="C580" i="7"/>
  <c r="B580" i="7"/>
  <c r="BA579" i="7"/>
  <c r="AZ579" i="7"/>
  <c r="AE579" i="7"/>
  <c r="AD579" i="7"/>
  <c r="L579" i="7"/>
  <c r="AN579" i="7" s="1"/>
  <c r="I579" i="7"/>
  <c r="H579" i="7"/>
  <c r="E579" i="7"/>
  <c r="G579" i="7"/>
  <c r="D579" i="7"/>
  <c r="C579" i="7"/>
  <c r="B579" i="7"/>
  <c r="G577" i="7"/>
  <c r="E577" i="7"/>
  <c r="D577" i="7"/>
  <c r="C577" i="7"/>
  <c r="B577" i="7"/>
  <c r="G576" i="7"/>
  <c r="E576" i="7"/>
  <c r="D576" i="7"/>
  <c r="C576" i="7"/>
  <c r="B576" i="7"/>
  <c r="L575" i="7"/>
  <c r="I575" i="7"/>
  <c r="H575" i="7"/>
  <c r="G575" i="7"/>
  <c r="L574" i="7"/>
  <c r="I574" i="7"/>
  <c r="H574" i="7"/>
  <c r="G574" i="7"/>
  <c r="L573" i="7"/>
  <c r="I573" i="7"/>
  <c r="H573" i="7"/>
  <c r="G573" i="7"/>
  <c r="L572" i="7"/>
  <c r="I572" i="7"/>
  <c r="H572" i="7"/>
  <c r="G572" i="7"/>
  <c r="L571" i="7"/>
  <c r="J571" i="7"/>
  <c r="G571" i="7"/>
  <c r="L570" i="7"/>
  <c r="I570" i="7"/>
  <c r="H570" i="7"/>
  <c r="G570" i="7"/>
  <c r="L568" i="7"/>
  <c r="I568" i="7"/>
  <c r="H568" i="7"/>
  <c r="G568" i="7"/>
  <c r="L567" i="7"/>
  <c r="L564" i="7" s="1"/>
  <c r="J567" i="7"/>
  <c r="E567" i="7"/>
  <c r="L566" i="7"/>
  <c r="J566" i="7"/>
  <c r="G566" i="7"/>
  <c r="L565" i="7"/>
  <c r="I565" i="7"/>
  <c r="H565" i="7"/>
  <c r="G565" i="7"/>
  <c r="L562" i="7"/>
  <c r="L561" i="7" s="1"/>
  <c r="J562" i="7"/>
  <c r="G562" i="7"/>
  <c r="E560" i="7"/>
  <c r="G560" i="7"/>
  <c r="D560" i="7"/>
  <c r="C560" i="7"/>
  <c r="AT559" i="7"/>
  <c r="AR559" i="7"/>
  <c r="AO559" i="7"/>
  <c r="BA559" i="7"/>
  <c r="AZ559" i="7"/>
  <c r="AE559" i="7"/>
  <c r="AD559" i="7"/>
  <c r="L558" i="7"/>
  <c r="I558" i="7"/>
  <c r="H558" i="7"/>
  <c r="E558" i="7"/>
  <c r="G558" i="7"/>
  <c r="D558" i="7"/>
  <c r="C558" i="7"/>
  <c r="B558" i="7"/>
  <c r="AT557" i="7"/>
  <c r="AR557" i="7"/>
  <c r="AO557" i="7"/>
  <c r="BA557" i="7"/>
  <c r="AZ557" i="7"/>
  <c r="AE557" i="7"/>
  <c r="AD557" i="7"/>
  <c r="L556" i="7"/>
  <c r="AW557" i="7" s="1"/>
  <c r="I556" i="7"/>
  <c r="H556" i="7"/>
  <c r="E556" i="7"/>
  <c r="G556" i="7"/>
  <c r="D556" i="7"/>
  <c r="C556" i="7"/>
  <c r="B556" i="7"/>
  <c r="AE555" i="7"/>
  <c r="AD555" i="7"/>
  <c r="G554" i="7"/>
  <c r="E554" i="7"/>
  <c r="G553" i="7"/>
  <c r="E553" i="7"/>
  <c r="L548" i="7"/>
  <c r="I548" i="7"/>
  <c r="H548" i="7"/>
  <c r="G548" i="7"/>
  <c r="L547" i="7"/>
  <c r="I547" i="7"/>
  <c r="H547" i="7"/>
  <c r="G547" i="7"/>
  <c r="L546" i="7"/>
  <c r="I546" i="7"/>
  <c r="H546" i="7"/>
  <c r="G546" i="7"/>
  <c r="L545" i="7"/>
  <c r="I545" i="7"/>
  <c r="H545" i="7"/>
  <c r="G545" i="7"/>
  <c r="L544" i="7"/>
  <c r="I544" i="7"/>
  <c r="H544" i="7"/>
  <c r="G544" i="7"/>
  <c r="L543" i="7"/>
  <c r="I543" i="7"/>
  <c r="H543" i="7"/>
  <c r="G543" i="7"/>
  <c r="L542" i="7"/>
  <c r="I542" i="7"/>
  <c r="H542" i="7"/>
  <c r="J542" i="7" s="1"/>
  <c r="G542" i="7"/>
  <c r="L541" i="7"/>
  <c r="I541" i="7"/>
  <c r="H541" i="7"/>
  <c r="G541" i="7"/>
  <c r="L540" i="7"/>
  <c r="J540" i="7"/>
  <c r="G540" i="7"/>
  <c r="L539" i="7"/>
  <c r="I539" i="7"/>
  <c r="H539" i="7"/>
  <c r="G539" i="7"/>
  <c r="L537" i="7"/>
  <c r="J537" i="7"/>
  <c r="E537" i="7"/>
  <c r="L536" i="7"/>
  <c r="J536" i="7"/>
  <c r="G536" i="7"/>
  <c r="L535" i="7"/>
  <c r="I535" i="7"/>
  <c r="H535" i="7"/>
  <c r="J535" i="7" s="1"/>
  <c r="G535" i="7"/>
  <c r="L534" i="7"/>
  <c r="J534" i="7"/>
  <c r="E534" i="7"/>
  <c r="L533" i="7"/>
  <c r="J533" i="7"/>
  <c r="G533" i="7"/>
  <c r="L532" i="7"/>
  <c r="J532" i="7"/>
  <c r="E532" i="7"/>
  <c r="L531" i="7"/>
  <c r="I531" i="7"/>
  <c r="H531" i="7"/>
  <c r="G531" i="7"/>
  <c r="L530" i="7"/>
  <c r="J530" i="7"/>
  <c r="E530" i="7"/>
  <c r="L529" i="7"/>
  <c r="J529" i="7"/>
  <c r="G529" i="7"/>
  <c r="L526" i="7"/>
  <c r="L525" i="7" s="1"/>
  <c r="J526" i="7"/>
  <c r="G526" i="7"/>
  <c r="C524" i="7"/>
  <c r="E523" i="7"/>
  <c r="G523" i="7"/>
  <c r="D523" i="7"/>
  <c r="C523" i="7"/>
  <c r="AT522" i="7"/>
  <c r="AR522" i="7"/>
  <c r="AO522" i="7"/>
  <c r="BA522" i="7"/>
  <c r="AZ522" i="7"/>
  <c r="AE522" i="7"/>
  <c r="AD522" i="7"/>
  <c r="L521" i="7"/>
  <c r="I521" i="7"/>
  <c r="H521" i="7"/>
  <c r="E521" i="7"/>
  <c r="G521" i="7"/>
  <c r="D521" i="7"/>
  <c r="C521" i="7"/>
  <c r="B521" i="7"/>
  <c r="AT520" i="7"/>
  <c r="AR520" i="7"/>
  <c r="AO520" i="7"/>
  <c r="BA520" i="7"/>
  <c r="AZ520" i="7"/>
  <c r="AE520" i="7"/>
  <c r="AD520" i="7"/>
  <c r="L519" i="7"/>
  <c r="J519" i="7"/>
  <c r="E519" i="7"/>
  <c r="G519" i="7"/>
  <c r="D519" i="7"/>
  <c r="C519" i="7"/>
  <c r="B519" i="7"/>
  <c r="AE518" i="7"/>
  <c r="AD518" i="7"/>
  <c r="G517" i="7"/>
  <c r="E517" i="7"/>
  <c r="G516" i="7"/>
  <c r="E516" i="7"/>
  <c r="G513" i="7"/>
  <c r="E513" i="7"/>
  <c r="D513" i="7"/>
  <c r="C513" i="7"/>
  <c r="B513" i="7"/>
  <c r="L512" i="7"/>
  <c r="J512" i="7"/>
  <c r="G512" i="7"/>
  <c r="L511" i="7"/>
  <c r="L510" i="7" s="1"/>
  <c r="AW518" i="7" s="1"/>
  <c r="J511" i="7"/>
  <c r="G511" i="7"/>
  <c r="L509" i="7"/>
  <c r="J509" i="7"/>
  <c r="G509" i="7"/>
  <c r="L508" i="7"/>
  <c r="L506" i="7" s="1"/>
  <c r="AT518" i="7" s="1"/>
  <c r="J508" i="7"/>
  <c r="E508" i="7"/>
  <c r="L507" i="7"/>
  <c r="J507" i="7"/>
  <c r="G507" i="7"/>
  <c r="L504" i="7"/>
  <c r="L503" i="7" s="1"/>
  <c r="J504" i="7"/>
  <c r="G504" i="7"/>
  <c r="C502" i="7"/>
  <c r="E501" i="7"/>
  <c r="G501" i="7"/>
  <c r="D501" i="7"/>
  <c r="C501" i="7"/>
  <c r="AE500" i="7"/>
  <c r="AD500" i="7"/>
  <c r="G499" i="7"/>
  <c r="E499" i="7"/>
  <c r="G498" i="7"/>
  <c r="E498" i="7"/>
  <c r="BA496" i="7"/>
  <c r="AZ496" i="7"/>
  <c r="AE496" i="7"/>
  <c r="AD496" i="7"/>
  <c r="L496" i="7"/>
  <c r="AW496" i="7" s="1"/>
  <c r="I496" i="7"/>
  <c r="H496" i="7"/>
  <c r="E496" i="7"/>
  <c r="G496" i="7"/>
  <c r="D496" i="7"/>
  <c r="C496" i="7"/>
  <c r="B496" i="7"/>
  <c r="G494" i="7"/>
  <c r="E494" i="7"/>
  <c r="D494" i="7"/>
  <c r="C494" i="7"/>
  <c r="B494" i="7"/>
  <c r="L493" i="7"/>
  <c r="L492" i="7" s="1"/>
  <c r="AW500" i="7" s="1"/>
  <c r="J493" i="7"/>
  <c r="G493" i="7"/>
  <c r="L491" i="7"/>
  <c r="L489" i="7" s="1"/>
  <c r="J491" i="7"/>
  <c r="E491" i="7"/>
  <c r="L490" i="7"/>
  <c r="I490" i="7"/>
  <c r="H490" i="7"/>
  <c r="G490" i="7"/>
  <c r="L487" i="7"/>
  <c r="L486" i="7" s="1"/>
  <c r="J487" i="7"/>
  <c r="G487" i="7"/>
  <c r="E485" i="7"/>
  <c r="G485" i="7"/>
  <c r="D485" i="7"/>
  <c r="C485" i="7"/>
  <c r="AT484" i="7"/>
  <c r="AR484" i="7"/>
  <c r="AO484" i="7"/>
  <c r="BA484" i="7"/>
  <c r="AZ484" i="7"/>
  <c r="AE484" i="7"/>
  <c r="AD484" i="7"/>
  <c r="L483" i="7"/>
  <c r="K484" i="7" s="1"/>
  <c r="I483" i="7"/>
  <c r="H483" i="7"/>
  <c r="E483" i="7"/>
  <c r="G483" i="7"/>
  <c r="D483" i="7"/>
  <c r="C483" i="7"/>
  <c r="B483" i="7"/>
  <c r="AE482" i="7"/>
  <c r="AD482" i="7"/>
  <c r="G481" i="7"/>
  <c r="E481" i="7"/>
  <c r="G480" i="7"/>
  <c r="E480" i="7"/>
  <c r="L476" i="7"/>
  <c r="I476" i="7"/>
  <c r="H476" i="7"/>
  <c r="G476" i="7"/>
  <c r="L475" i="7"/>
  <c r="I475" i="7"/>
  <c r="H475" i="7"/>
  <c r="J475" i="7" s="1"/>
  <c r="G475" i="7"/>
  <c r="L474" i="7"/>
  <c r="I474" i="7"/>
  <c r="H474" i="7"/>
  <c r="G474" i="7"/>
  <c r="L473" i="7"/>
  <c r="I473" i="7"/>
  <c r="H473" i="7"/>
  <c r="G473" i="7"/>
  <c r="L472" i="7"/>
  <c r="I472" i="7"/>
  <c r="H472" i="7"/>
  <c r="G472" i="7"/>
  <c r="L471" i="7"/>
  <c r="I471" i="7"/>
  <c r="H471" i="7"/>
  <c r="G471" i="7"/>
  <c r="L470" i="7"/>
  <c r="J470" i="7"/>
  <c r="G470" i="7"/>
  <c r="L469" i="7"/>
  <c r="J469" i="7"/>
  <c r="G469" i="7"/>
  <c r="L467" i="7"/>
  <c r="I467" i="7"/>
  <c r="H467" i="7"/>
  <c r="G467" i="7"/>
  <c r="L466" i="7"/>
  <c r="J466" i="7"/>
  <c r="E466" i="7"/>
  <c r="L465" i="7"/>
  <c r="J465" i="7"/>
  <c r="G465" i="7"/>
  <c r="L464" i="7"/>
  <c r="J464" i="7"/>
  <c r="G464" i="7"/>
  <c r="L463" i="7"/>
  <c r="J463" i="7"/>
  <c r="E463" i="7"/>
  <c r="L462" i="7"/>
  <c r="I462" i="7"/>
  <c r="H462" i="7"/>
  <c r="G462" i="7"/>
  <c r="L459" i="7"/>
  <c r="L458" i="7" s="1"/>
  <c r="J459" i="7"/>
  <c r="G459" i="7"/>
  <c r="C457" i="7"/>
  <c r="E456" i="7"/>
  <c r="G456" i="7"/>
  <c r="G466" i="7" s="1"/>
  <c r="D456" i="7"/>
  <c r="C456" i="7"/>
  <c r="L450" i="7"/>
  <c r="L449" i="7"/>
  <c r="L446" i="7"/>
  <c r="L445" i="7"/>
  <c r="L443" i="7"/>
  <c r="L442" i="7"/>
  <c r="L436" i="7"/>
  <c r="L435" i="7"/>
  <c r="L431" i="7"/>
  <c r="AW421" i="7"/>
  <c r="AE421" i="7"/>
  <c r="AD421" i="7"/>
  <c r="G420" i="7"/>
  <c r="E420" i="7"/>
  <c r="G419" i="7"/>
  <c r="E419" i="7"/>
  <c r="L416" i="7"/>
  <c r="J416" i="7"/>
  <c r="E416" i="7"/>
  <c r="L415" i="7"/>
  <c r="J415" i="7"/>
  <c r="G415" i="7"/>
  <c r="L414" i="7"/>
  <c r="J414" i="7"/>
  <c r="E414" i="7"/>
  <c r="L413" i="7"/>
  <c r="I413" i="7"/>
  <c r="H413" i="7"/>
  <c r="G413" i="7"/>
  <c r="L410" i="7"/>
  <c r="L409" i="7" s="1"/>
  <c r="J410" i="7"/>
  <c r="G410" i="7"/>
  <c r="E408" i="7"/>
  <c r="G408" i="7"/>
  <c r="D408" i="7"/>
  <c r="C408" i="7"/>
  <c r="AE407" i="7"/>
  <c r="AD407" i="7"/>
  <c r="G406" i="7"/>
  <c r="E406" i="7"/>
  <c r="G405" i="7"/>
  <c r="E405" i="7"/>
  <c r="G402" i="7"/>
  <c r="E402" i="7"/>
  <c r="D402" i="7"/>
  <c r="C402" i="7"/>
  <c r="B402" i="7"/>
  <c r="L401" i="7"/>
  <c r="J401" i="7"/>
  <c r="G401" i="7"/>
  <c r="L400" i="7"/>
  <c r="I400" i="7"/>
  <c r="H400" i="7"/>
  <c r="G400" i="7"/>
  <c r="L398" i="7"/>
  <c r="L396" i="7" s="1"/>
  <c r="J398" i="7"/>
  <c r="E398" i="7"/>
  <c r="L397" i="7"/>
  <c r="I397" i="7"/>
  <c r="H397" i="7"/>
  <c r="G397" i="7"/>
  <c r="L394" i="7"/>
  <c r="J394" i="7"/>
  <c r="G394" i="7"/>
  <c r="L393" i="7"/>
  <c r="J393" i="7"/>
  <c r="G393" i="7"/>
  <c r="E391" i="7"/>
  <c r="G391" i="7"/>
  <c r="D391" i="7"/>
  <c r="C391" i="7"/>
  <c r="AW390" i="7"/>
  <c r="AE390" i="7"/>
  <c r="AD390" i="7"/>
  <c r="G389" i="7"/>
  <c r="E389" i="7"/>
  <c r="G388" i="7"/>
  <c r="E388" i="7"/>
  <c r="L385" i="7"/>
  <c r="J385" i="7"/>
  <c r="E385" i="7"/>
  <c r="L384" i="7"/>
  <c r="J384" i="7"/>
  <c r="G384" i="7"/>
  <c r="L383" i="7"/>
  <c r="J383" i="7"/>
  <c r="E383" i="7"/>
  <c r="L382" i="7"/>
  <c r="I382" i="7"/>
  <c r="H382" i="7"/>
  <c r="G382" i="7"/>
  <c r="L379" i="7"/>
  <c r="L378" i="7" s="1"/>
  <c r="AR390" i="7" s="1"/>
  <c r="J379" i="7"/>
  <c r="G379" i="7"/>
  <c r="C377" i="7"/>
  <c r="E376" i="7"/>
  <c r="G376" i="7"/>
  <c r="D376" i="7"/>
  <c r="C376" i="7"/>
  <c r="AW375" i="7"/>
  <c r="AE375" i="7"/>
  <c r="AD375" i="7"/>
  <c r="G374" i="7"/>
  <c r="E374" i="7"/>
  <c r="G373" i="7"/>
  <c r="E373" i="7"/>
  <c r="L370" i="7"/>
  <c r="L368" i="7" s="1"/>
  <c r="J370" i="7"/>
  <c r="E370" i="7"/>
  <c r="L369" i="7"/>
  <c r="J369" i="7"/>
  <c r="G369" i="7"/>
  <c r="L366" i="7"/>
  <c r="L365" i="7" s="1"/>
  <c r="AR375" i="7" s="1"/>
  <c r="J366" i="7"/>
  <c r="G366" i="7"/>
  <c r="C364" i="7"/>
  <c r="E363" i="7"/>
  <c r="G363" i="7"/>
  <c r="D363" i="7"/>
  <c r="C363" i="7"/>
  <c r="AE362" i="7"/>
  <c r="AD362" i="7"/>
  <c r="G361" i="7"/>
  <c r="E361" i="7"/>
  <c r="G360" i="7"/>
  <c r="E360" i="7"/>
  <c r="BA358" i="7"/>
  <c r="AZ358" i="7"/>
  <c r="AE358" i="7"/>
  <c r="AD358" i="7"/>
  <c r="L358" i="7"/>
  <c r="AW358" i="7" s="1"/>
  <c r="I358" i="7"/>
  <c r="H358" i="7"/>
  <c r="J358" i="7" s="1"/>
  <c r="E358" i="7"/>
  <c r="G358" i="7"/>
  <c r="D358" i="7"/>
  <c r="C358" i="7"/>
  <c r="B358" i="7"/>
  <c r="G356" i="7"/>
  <c r="E356" i="7"/>
  <c r="D356" i="7"/>
  <c r="C356" i="7"/>
  <c r="B356" i="7"/>
  <c r="L355" i="7"/>
  <c r="L354" i="7" s="1"/>
  <c r="AW362" i="7" s="1"/>
  <c r="I355" i="7"/>
  <c r="H355" i="7"/>
  <c r="G355" i="7"/>
  <c r="L353" i="7"/>
  <c r="J353" i="7"/>
  <c r="E353" i="7"/>
  <c r="L352" i="7"/>
  <c r="J352" i="7"/>
  <c r="G352" i="7"/>
  <c r="L351" i="7"/>
  <c r="J351" i="7"/>
  <c r="E351" i="7"/>
  <c r="L350" i="7"/>
  <c r="J350" i="7"/>
  <c r="G350" i="7"/>
  <c r="L347" i="7"/>
  <c r="L346" i="7" s="1"/>
  <c r="AR362" i="7" s="1"/>
  <c r="J347" i="7"/>
  <c r="G347" i="7"/>
  <c r="E345" i="7"/>
  <c r="G345" i="7"/>
  <c r="D345" i="7"/>
  <c r="C345" i="7"/>
  <c r="AE344" i="7"/>
  <c r="AD344" i="7"/>
  <c r="G343" i="7"/>
  <c r="E343" i="7"/>
  <c r="G342" i="7"/>
  <c r="E342" i="7"/>
  <c r="BA340" i="7"/>
  <c r="AZ340" i="7"/>
  <c r="AE340" i="7"/>
  <c r="AD340" i="7"/>
  <c r="L340" i="7"/>
  <c r="AW340" i="7" s="1"/>
  <c r="I340" i="7"/>
  <c r="H340" i="7"/>
  <c r="E340" i="7"/>
  <c r="G340" i="7"/>
  <c r="D340" i="7"/>
  <c r="C340" i="7"/>
  <c r="B340" i="7"/>
  <c r="G338" i="7"/>
  <c r="E338" i="7"/>
  <c r="D338" i="7"/>
  <c r="C338" i="7"/>
  <c r="B338" i="7"/>
  <c r="L337" i="7"/>
  <c r="I337" i="7"/>
  <c r="H337" i="7"/>
  <c r="J337" i="7" s="1"/>
  <c r="G337" i="7"/>
  <c r="L336" i="7"/>
  <c r="I336" i="7"/>
  <c r="H336" i="7"/>
  <c r="G336" i="7"/>
  <c r="L334" i="7"/>
  <c r="J334" i="7"/>
  <c r="E334" i="7"/>
  <c r="L333" i="7"/>
  <c r="J333" i="7"/>
  <c r="G333" i="7"/>
  <c r="L332" i="7"/>
  <c r="I332" i="7"/>
  <c r="H332" i="7"/>
  <c r="G332" i="7"/>
  <c r="L331" i="7"/>
  <c r="J331" i="7"/>
  <c r="E331" i="7"/>
  <c r="L330" i="7"/>
  <c r="I330" i="7"/>
  <c r="H330" i="7"/>
  <c r="G330" i="7"/>
  <c r="L327" i="7"/>
  <c r="L326" i="7" s="1"/>
  <c r="AR344" i="7" s="1"/>
  <c r="J327" i="7"/>
  <c r="G327" i="7"/>
  <c r="C325" i="7"/>
  <c r="E324" i="7"/>
  <c r="G324" i="7"/>
  <c r="D324" i="7"/>
  <c r="C324" i="7"/>
  <c r="AT323" i="7"/>
  <c r="AR323" i="7"/>
  <c r="AO323" i="7"/>
  <c r="BA323" i="7"/>
  <c r="AZ323" i="7"/>
  <c r="AE323" i="7"/>
  <c r="AD323" i="7"/>
  <c r="C322" i="7"/>
  <c r="L321" i="7"/>
  <c r="AW323" i="7" s="1"/>
  <c r="I321" i="7"/>
  <c r="H321" i="7"/>
  <c r="E321" i="7"/>
  <c r="G321" i="7"/>
  <c r="D321" i="7"/>
  <c r="C321" i="7"/>
  <c r="B321" i="7"/>
  <c r="AT320" i="7"/>
  <c r="AR320" i="7"/>
  <c r="AO320" i="7"/>
  <c r="BA320" i="7"/>
  <c r="AZ320" i="7"/>
  <c r="AE320" i="7"/>
  <c r="AD320" i="7"/>
  <c r="L319" i="7"/>
  <c r="AN320" i="7" s="1"/>
  <c r="I319" i="7"/>
  <c r="H319" i="7"/>
  <c r="E319" i="7"/>
  <c r="G319" i="7"/>
  <c r="D319" i="7"/>
  <c r="C319" i="7"/>
  <c r="B319" i="7"/>
  <c r="AW318" i="7"/>
  <c r="AE318" i="7"/>
  <c r="AD318" i="7"/>
  <c r="G317" i="7"/>
  <c r="E317" i="7"/>
  <c r="G316" i="7"/>
  <c r="E316" i="7"/>
  <c r="L312" i="7"/>
  <c r="J312" i="7"/>
  <c r="G312" i="7"/>
  <c r="L311" i="7"/>
  <c r="L309" i="7" s="1"/>
  <c r="AT318" i="7" s="1"/>
  <c r="J311" i="7"/>
  <c r="E311" i="7"/>
  <c r="L310" i="7"/>
  <c r="I310" i="7"/>
  <c r="H310" i="7"/>
  <c r="G310" i="7"/>
  <c r="L307" i="7"/>
  <c r="L306" i="7" s="1"/>
  <c r="J307" i="7"/>
  <c r="G307" i="7"/>
  <c r="C305" i="7"/>
  <c r="E304" i="7"/>
  <c r="G304" i="7"/>
  <c r="D304" i="7"/>
  <c r="C304" i="7"/>
  <c r="AT303" i="7"/>
  <c r="AR303" i="7"/>
  <c r="AO303" i="7"/>
  <c r="BA303" i="7"/>
  <c r="AZ303" i="7"/>
  <c r="AE303" i="7"/>
  <c r="AD303" i="7"/>
  <c r="C302" i="7"/>
  <c r="L301" i="7"/>
  <c r="I301" i="7"/>
  <c r="H301" i="7"/>
  <c r="E301" i="7"/>
  <c r="G301" i="7"/>
  <c r="D301" i="7"/>
  <c r="C301" i="7"/>
  <c r="B301" i="7"/>
  <c r="AW300" i="7"/>
  <c r="AE300" i="7"/>
  <c r="AD300" i="7"/>
  <c r="G299" i="7"/>
  <c r="E299" i="7"/>
  <c r="G298" i="7"/>
  <c r="E298" i="7"/>
  <c r="BA296" i="7"/>
  <c r="AZ296" i="7"/>
  <c r="AE296" i="7"/>
  <c r="AD296" i="7"/>
  <c r="E296" i="7"/>
  <c r="G296" i="7"/>
  <c r="D296" i="7"/>
  <c r="C296" i="7"/>
  <c r="B296" i="7"/>
  <c r="L294" i="7"/>
  <c r="I294" i="7"/>
  <c r="H294" i="7"/>
  <c r="J294" i="7" s="1"/>
  <c r="G294" i="7"/>
  <c r="L293" i="7"/>
  <c r="L291" i="7" s="1"/>
  <c r="AT300" i="7" s="1"/>
  <c r="J293" i="7"/>
  <c r="E293" i="7"/>
  <c r="L292" i="7"/>
  <c r="I292" i="7"/>
  <c r="H292" i="7"/>
  <c r="G292" i="7"/>
  <c r="L289" i="7"/>
  <c r="L288" i="7" s="1"/>
  <c r="J289" i="7"/>
  <c r="G289" i="7"/>
  <c r="E287" i="7"/>
  <c r="G287" i="7"/>
  <c r="D287" i="7"/>
  <c r="C287" i="7"/>
  <c r="AW286" i="7"/>
  <c r="AT286" i="7"/>
  <c r="AR286" i="7"/>
  <c r="AO286" i="7"/>
  <c r="BA286" i="7"/>
  <c r="AZ286" i="7"/>
  <c r="AE286" i="7"/>
  <c r="AD286" i="7"/>
  <c r="C285" i="7"/>
  <c r="L284" i="7"/>
  <c r="AN286" i="7" s="1"/>
  <c r="I284" i="7"/>
  <c r="H284" i="7"/>
  <c r="E284" i="7"/>
  <c r="G284" i="7"/>
  <c r="D284" i="7"/>
  <c r="C284" i="7"/>
  <c r="B284" i="7"/>
  <c r="AW283" i="7"/>
  <c r="AE283" i="7"/>
  <c r="AD283" i="7"/>
  <c r="G282" i="7"/>
  <c r="E282" i="7"/>
  <c r="G281" i="7"/>
  <c r="E281" i="7"/>
  <c r="BA279" i="7"/>
  <c r="AZ279" i="7"/>
  <c r="AE279" i="7"/>
  <c r="AD279" i="7"/>
  <c r="E279" i="7"/>
  <c r="G279" i="7"/>
  <c r="D279" i="7"/>
  <c r="C279" i="7"/>
  <c r="B279" i="7"/>
  <c r="L277" i="7"/>
  <c r="I277" i="7"/>
  <c r="H277" i="7"/>
  <c r="J277" i="7" s="1"/>
  <c r="G277" i="7"/>
  <c r="L276" i="7"/>
  <c r="L274" i="7" s="1"/>
  <c r="AT283" i="7" s="1"/>
  <c r="J276" i="7"/>
  <c r="E276" i="7"/>
  <c r="L275" i="7"/>
  <c r="I275" i="7"/>
  <c r="H275" i="7"/>
  <c r="G275" i="7"/>
  <c r="L272" i="7"/>
  <c r="L271" i="7" s="1"/>
  <c r="AR283" i="7" s="1"/>
  <c r="J272" i="7"/>
  <c r="G272" i="7"/>
  <c r="E270" i="7"/>
  <c r="G270" i="7"/>
  <c r="D270" i="7"/>
  <c r="C270" i="7"/>
  <c r="AT269" i="7"/>
  <c r="AR269" i="7"/>
  <c r="AO269" i="7"/>
  <c r="BA269" i="7"/>
  <c r="AZ269" i="7"/>
  <c r="AE269" i="7"/>
  <c r="AD269" i="7"/>
  <c r="L268" i="7"/>
  <c r="AN269" i="7" s="1"/>
  <c r="I268" i="7"/>
  <c r="H268" i="7"/>
  <c r="E268" i="7"/>
  <c r="G268" i="7"/>
  <c r="D268" i="7"/>
  <c r="C268" i="7"/>
  <c r="B268" i="7"/>
  <c r="AT267" i="7"/>
  <c r="AR267" i="7"/>
  <c r="AO267" i="7"/>
  <c r="BA267" i="7"/>
  <c r="AZ267" i="7"/>
  <c r="AE267" i="7"/>
  <c r="AD267" i="7"/>
  <c r="L266" i="7"/>
  <c r="K267" i="7" s="1"/>
  <c r="I266" i="7"/>
  <c r="H266" i="7"/>
  <c r="J266" i="7" s="1"/>
  <c r="E266" i="7"/>
  <c r="G266" i="7"/>
  <c r="D266" i="7"/>
  <c r="C266" i="7"/>
  <c r="B266" i="7"/>
  <c r="AE265" i="7"/>
  <c r="AD265" i="7"/>
  <c r="G264" i="7"/>
  <c r="E264" i="7"/>
  <c r="G263" i="7"/>
  <c r="E263" i="7"/>
  <c r="L258" i="7"/>
  <c r="I258" i="7"/>
  <c r="H258" i="7"/>
  <c r="G258" i="7"/>
  <c r="L257" i="7"/>
  <c r="I257" i="7"/>
  <c r="H257" i="7"/>
  <c r="G257" i="7"/>
  <c r="L253" i="7"/>
  <c r="AT265" i="7" s="1"/>
  <c r="L255" i="7"/>
  <c r="I255" i="7"/>
  <c r="H255" i="7"/>
  <c r="G255" i="7"/>
  <c r="L254" i="7"/>
  <c r="I254" i="7"/>
  <c r="H254" i="7"/>
  <c r="J254" i="7" s="1"/>
  <c r="G254" i="7"/>
  <c r="L251" i="7"/>
  <c r="L250" i="7" s="1"/>
  <c r="AR265" i="7" s="1"/>
  <c r="J251" i="7"/>
  <c r="G251" i="7"/>
  <c r="E249" i="7"/>
  <c r="G249" i="7"/>
  <c r="D249" i="7"/>
  <c r="C249" i="7"/>
  <c r="AE248" i="7"/>
  <c r="AD248" i="7"/>
  <c r="G247" i="7"/>
  <c r="E247" i="7"/>
  <c r="G246" i="7"/>
  <c r="E246" i="7"/>
  <c r="BA244" i="7"/>
  <c r="AZ244" i="7"/>
  <c r="AE244" i="7"/>
  <c r="AD244" i="7"/>
  <c r="L244" i="7"/>
  <c r="AN244" i="7" s="1"/>
  <c r="I244" i="7"/>
  <c r="H244" i="7"/>
  <c r="E244" i="7"/>
  <c r="G244" i="7"/>
  <c r="D244" i="7"/>
  <c r="C244" i="7"/>
  <c r="B244" i="7"/>
  <c r="G242" i="7"/>
  <c r="E242" i="7"/>
  <c r="D242" i="7"/>
  <c r="C242" i="7"/>
  <c r="B242" i="7"/>
  <c r="L241" i="7"/>
  <c r="I241" i="7"/>
  <c r="H241" i="7"/>
  <c r="J241" i="7" s="1"/>
  <c r="G241" i="7"/>
  <c r="L240" i="7"/>
  <c r="I240" i="7"/>
  <c r="H240" i="7"/>
  <c r="G240" i="7"/>
  <c r="L236" i="7"/>
  <c r="AT248" i="7" s="1"/>
  <c r="L238" i="7"/>
  <c r="I238" i="7"/>
  <c r="H238" i="7"/>
  <c r="G238" i="7"/>
  <c r="L237" i="7"/>
  <c r="I237" i="7"/>
  <c r="H237" i="7"/>
  <c r="G237" i="7"/>
  <c r="L234" i="7"/>
  <c r="L233" i="7" s="1"/>
  <c r="J234" i="7"/>
  <c r="G234" i="7"/>
  <c r="E232" i="7"/>
  <c r="G232" i="7"/>
  <c r="D232" i="7"/>
  <c r="C232" i="7"/>
  <c r="AT231" i="7"/>
  <c r="AR231" i="7"/>
  <c r="AO231" i="7"/>
  <c r="BA231" i="7"/>
  <c r="AZ231" i="7"/>
  <c r="AE231" i="7"/>
  <c r="AD231" i="7"/>
  <c r="L230" i="7"/>
  <c r="AW231" i="7" s="1"/>
  <c r="I230" i="7"/>
  <c r="H230" i="7"/>
  <c r="E230" i="7"/>
  <c r="G230" i="7"/>
  <c r="D230" i="7"/>
  <c r="C230" i="7"/>
  <c r="B230" i="7"/>
  <c r="AE229" i="7"/>
  <c r="AD229" i="7"/>
  <c r="G228" i="7"/>
  <c r="E228" i="7"/>
  <c r="G227" i="7"/>
  <c r="E227" i="7"/>
  <c r="L223" i="7"/>
  <c r="I223" i="7"/>
  <c r="H223" i="7"/>
  <c r="G223" i="7"/>
  <c r="L222" i="7"/>
  <c r="I222" i="7"/>
  <c r="H222" i="7"/>
  <c r="G222" i="7"/>
  <c r="L221" i="7"/>
  <c r="J221" i="7"/>
  <c r="G221" i="7"/>
  <c r="L219" i="7"/>
  <c r="J219" i="7"/>
  <c r="G219" i="7"/>
  <c r="L218" i="7"/>
  <c r="I218" i="7"/>
  <c r="H218" i="7"/>
  <c r="G218" i="7"/>
  <c r="L217" i="7"/>
  <c r="I217" i="7"/>
  <c r="H217" i="7"/>
  <c r="G217" i="7"/>
  <c r="L216" i="7"/>
  <c r="L214" i="7" s="1"/>
  <c r="J216" i="7"/>
  <c r="E216" i="7"/>
  <c r="L215" i="7"/>
  <c r="J215" i="7"/>
  <c r="G215" i="7"/>
  <c r="L212" i="7"/>
  <c r="J212" i="7"/>
  <c r="G212" i="7"/>
  <c r="L211" i="7"/>
  <c r="J211" i="7"/>
  <c r="G211" i="7"/>
  <c r="C209" i="7"/>
  <c r="E208" i="7"/>
  <c r="G208" i="7"/>
  <c r="D208" i="7"/>
  <c r="C208" i="7"/>
  <c r="AT207" i="7"/>
  <c r="AR207" i="7"/>
  <c r="AO207" i="7"/>
  <c r="BA207" i="7"/>
  <c r="AZ207" i="7"/>
  <c r="AE207" i="7"/>
  <c r="AD207" i="7"/>
  <c r="L206" i="7"/>
  <c r="I206" i="7"/>
  <c r="H206" i="7"/>
  <c r="E206" i="7"/>
  <c r="G206" i="7"/>
  <c r="D206" i="7"/>
  <c r="C206" i="7"/>
  <c r="B206" i="7"/>
  <c r="AT205" i="7"/>
  <c r="AR205" i="7"/>
  <c r="AO205" i="7"/>
  <c r="BA205" i="7"/>
  <c r="AZ205" i="7"/>
  <c r="AE205" i="7"/>
  <c r="AD205" i="7"/>
  <c r="L204" i="7"/>
  <c r="AW205" i="7" s="1"/>
  <c r="I204" i="7"/>
  <c r="H204" i="7"/>
  <c r="E204" i="7"/>
  <c r="G204" i="7"/>
  <c r="D204" i="7"/>
  <c r="C204" i="7"/>
  <c r="B204" i="7"/>
  <c r="AE203" i="7"/>
  <c r="AD203" i="7"/>
  <c r="G202" i="7"/>
  <c r="E202" i="7"/>
  <c r="G201" i="7"/>
  <c r="E201" i="7"/>
  <c r="G198" i="7"/>
  <c r="E198" i="7"/>
  <c r="D198" i="7"/>
  <c r="C198" i="7"/>
  <c r="B198" i="7"/>
  <c r="L197" i="7"/>
  <c r="AW203" i="7" s="1"/>
  <c r="L194" i="7"/>
  <c r="AT203" i="7" s="1"/>
  <c r="L196" i="7"/>
  <c r="I196" i="7"/>
  <c r="H196" i="7"/>
  <c r="G196" i="7"/>
  <c r="L195" i="7"/>
  <c r="I195" i="7"/>
  <c r="H195" i="7"/>
  <c r="J195" i="7" s="1"/>
  <c r="G195" i="7"/>
  <c r="L192" i="7"/>
  <c r="L191" i="7" s="1"/>
  <c r="AR203" i="7" s="1"/>
  <c r="J192" i="7"/>
  <c r="G192" i="7"/>
  <c r="C190" i="7"/>
  <c r="E189" i="7"/>
  <c r="G189" i="7"/>
  <c r="D189" i="7"/>
  <c r="C189" i="7"/>
  <c r="AT188" i="7"/>
  <c r="AR188" i="7"/>
  <c r="AO188" i="7"/>
  <c r="BA188" i="7"/>
  <c r="AZ188" i="7"/>
  <c r="AE188" i="7"/>
  <c r="AD188" i="7"/>
  <c r="L187" i="7"/>
  <c r="K188" i="7" s="1"/>
  <c r="I187" i="7"/>
  <c r="H187" i="7"/>
  <c r="E187" i="7"/>
  <c r="G187" i="7"/>
  <c r="D187" i="7"/>
  <c r="C187" i="7"/>
  <c r="B187" i="7"/>
  <c r="AE186" i="7"/>
  <c r="AD186" i="7"/>
  <c r="G185" i="7"/>
  <c r="E185" i="7"/>
  <c r="G184" i="7"/>
  <c r="E184" i="7"/>
  <c r="L180" i="7"/>
  <c r="I180" i="7"/>
  <c r="H180" i="7"/>
  <c r="J180" i="7" s="1"/>
  <c r="G180" i="7"/>
  <c r="L179" i="7"/>
  <c r="J179" i="7"/>
  <c r="G179" i="7"/>
  <c r="L178" i="7"/>
  <c r="I178" i="7"/>
  <c r="H178" i="7"/>
  <c r="G178" i="7"/>
  <c r="L177" i="7"/>
  <c r="I177" i="7"/>
  <c r="H177" i="7"/>
  <c r="G177" i="7"/>
  <c r="L176" i="7"/>
  <c r="I176" i="7"/>
  <c r="H176" i="7"/>
  <c r="G176" i="7"/>
  <c r="L175" i="7"/>
  <c r="I175" i="7"/>
  <c r="H175" i="7"/>
  <c r="G175" i="7"/>
  <c r="L174" i="7"/>
  <c r="J174" i="7"/>
  <c r="G174" i="7"/>
  <c r="L173" i="7"/>
  <c r="J173" i="7"/>
  <c r="G173" i="7"/>
  <c r="L172" i="7"/>
  <c r="I172" i="7"/>
  <c r="H172" i="7"/>
  <c r="G172" i="7"/>
  <c r="L171" i="7"/>
  <c r="J171" i="7"/>
  <c r="G171" i="7"/>
  <c r="L169" i="7"/>
  <c r="J169" i="7"/>
  <c r="G169" i="7"/>
  <c r="L168" i="7"/>
  <c r="I168" i="7"/>
  <c r="H168" i="7"/>
  <c r="J168" i="7" s="1"/>
  <c r="G168" i="7"/>
  <c r="L167" i="7"/>
  <c r="L165" i="7" s="1"/>
  <c r="AT186" i="7" s="1"/>
  <c r="J167" i="7"/>
  <c r="E167" i="7"/>
  <c r="L166" i="7"/>
  <c r="J166" i="7"/>
  <c r="G166" i="7"/>
  <c r="L163" i="7"/>
  <c r="L162" i="7" s="1"/>
  <c r="AR186" i="7" s="1"/>
  <c r="J163" i="7"/>
  <c r="G163" i="7"/>
  <c r="E161" i="7"/>
  <c r="G161" i="7"/>
  <c r="D161" i="7"/>
  <c r="C161" i="7"/>
  <c r="AE160" i="7"/>
  <c r="AD160" i="7"/>
  <c r="G159" i="7"/>
  <c r="E159" i="7"/>
  <c r="G158" i="7"/>
  <c r="E158" i="7"/>
  <c r="BA156" i="7"/>
  <c r="AZ156" i="7"/>
  <c r="AE156" i="7"/>
  <c r="AD156" i="7"/>
  <c r="L156" i="7"/>
  <c r="AW156" i="7" s="1"/>
  <c r="J156" i="7"/>
  <c r="E156" i="7"/>
  <c r="G156" i="7"/>
  <c r="D156" i="7"/>
  <c r="C156" i="7"/>
  <c r="B156" i="7"/>
  <c r="L153" i="7"/>
  <c r="I153" i="7"/>
  <c r="H153" i="7"/>
  <c r="G153" i="7"/>
  <c r="L152" i="7"/>
  <c r="I152" i="7"/>
  <c r="H152" i="7"/>
  <c r="G152" i="7"/>
  <c r="L151" i="7"/>
  <c r="I151" i="7"/>
  <c r="H151" i="7"/>
  <c r="G151" i="7"/>
  <c r="L150" i="7"/>
  <c r="I150" i="7"/>
  <c r="H150" i="7"/>
  <c r="G150" i="7"/>
  <c r="L149" i="7"/>
  <c r="I149" i="7"/>
  <c r="H149" i="7"/>
  <c r="G149" i="7"/>
  <c r="L148" i="7"/>
  <c r="I148" i="7"/>
  <c r="H148" i="7"/>
  <c r="G148" i="7"/>
  <c r="L147" i="7"/>
  <c r="J147" i="7"/>
  <c r="G147" i="7"/>
  <c r="L146" i="7"/>
  <c r="J146" i="7"/>
  <c r="G146" i="7"/>
  <c r="L144" i="7"/>
  <c r="I144" i="7"/>
  <c r="H144" i="7"/>
  <c r="G144" i="7"/>
  <c r="L143" i="7"/>
  <c r="J143" i="7"/>
  <c r="E143" i="7"/>
  <c r="L142" i="7"/>
  <c r="J142" i="7"/>
  <c r="G142" i="7"/>
  <c r="L141" i="7"/>
  <c r="J141" i="7"/>
  <c r="G141" i="7"/>
  <c r="L140" i="7"/>
  <c r="J140" i="7"/>
  <c r="E140" i="7"/>
  <c r="L139" i="7"/>
  <c r="I139" i="7"/>
  <c r="H139" i="7"/>
  <c r="J139" i="7" s="1"/>
  <c r="G139" i="7"/>
  <c r="L136" i="7"/>
  <c r="L135" i="7" s="1"/>
  <c r="J136" i="7"/>
  <c r="G136" i="7"/>
  <c r="C134" i="7"/>
  <c r="E133" i="7"/>
  <c r="G133" i="7"/>
  <c r="D133" i="7"/>
  <c r="C133" i="7"/>
  <c r="L127" i="7"/>
  <c r="L126" i="7"/>
  <c r="L123" i="7"/>
  <c r="L122" i="7"/>
  <c r="L120" i="7"/>
  <c r="L119" i="7"/>
  <c r="L113" i="7"/>
  <c r="L112" i="7"/>
  <c r="L108" i="7"/>
  <c r="AW98" i="7"/>
  <c r="AT98" i="7"/>
  <c r="AO98" i="7"/>
  <c r="AE98" i="7"/>
  <c r="AD98" i="7"/>
  <c r="G97" i="7"/>
  <c r="E97" i="7"/>
  <c r="G96" i="7"/>
  <c r="E96" i="7"/>
  <c r="L93" i="7"/>
  <c r="L92" i="7" s="1"/>
  <c r="J93" i="7"/>
  <c r="G93" i="7"/>
  <c r="C91" i="7"/>
  <c r="E90" i="7"/>
  <c r="G90" i="7"/>
  <c r="D90" i="7"/>
  <c r="C90" i="7"/>
  <c r="AW89" i="7"/>
  <c r="AR89" i="7"/>
  <c r="AE89" i="7"/>
  <c r="AD89" i="7"/>
  <c r="G88" i="7"/>
  <c r="E88" i="7"/>
  <c r="G87" i="7"/>
  <c r="E87" i="7"/>
  <c r="L84" i="7"/>
  <c r="L82" i="7" s="1"/>
  <c r="AT89" i="7" s="1"/>
  <c r="J84" i="7"/>
  <c r="E84" i="7"/>
  <c r="L83" i="7"/>
  <c r="I83" i="7"/>
  <c r="H83" i="7"/>
  <c r="G83" i="7"/>
  <c r="C80" i="7"/>
  <c r="E79" i="7"/>
  <c r="G79" i="7"/>
  <c r="D79" i="7"/>
  <c r="C79" i="7"/>
  <c r="AT78" i="7"/>
  <c r="AR78" i="7"/>
  <c r="AO78" i="7"/>
  <c r="BA78" i="7"/>
  <c r="AZ78" i="7"/>
  <c r="AE78" i="7"/>
  <c r="AD78" i="7"/>
  <c r="L77" i="7"/>
  <c r="I77" i="7"/>
  <c r="H77" i="7"/>
  <c r="E77" i="7"/>
  <c r="G77" i="7"/>
  <c r="D77" i="7"/>
  <c r="C77" i="7"/>
  <c r="B77" i="7"/>
  <c r="AW76" i="7"/>
  <c r="AE76" i="7"/>
  <c r="AD76" i="7"/>
  <c r="G75" i="7"/>
  <c r="E75" i="7"/>
  <c r="G74" i="7"/>
  <c r="E74" i="7"/>
  <c r="L70" i="7"/>
  <c r="L68" i="7" s="1"/>
  <c r="AT76" i="7" s="1"/>
  <c r="J70" i="7"/>
  <c r="E70" i="7"/>
  <c r="L69" i="7"/>
  <c r="J69" i="7"/>
  <c r="G69" i="7"/>
  <c r="L66" i="7"/>
  <c r="L65" i="7" s="1"/>
  <c r="J66" i="7"/>
  <c r="G66" i="7"/>
  <c r="C64" i="7"/>
  <c r="E63" i="7"/>
  <c r="G63" i="7"/>
  <c r="D63" i="7"/>
  <c r="C63" i="7"/>
  <c r="AW62" i="7"/>
  <c r="AT62" i="7"/>
  <c r="AO62" i="7"/>
  <c r="AE62" i="7"/>
  <c r="AD62" i="7"/>
  <c r="G61" i="7"/>
  <c r="E61" i="7"/>
  <c r="G60" i="7"/>
  <c r="E60" i="7"/>
  <c r="L57" i="7"/>
  <c r="L56" i="7" s="1"/>
  <c r="J57" i="7"/>
  <c r="G57" i="7"/>
  <c r="C55" i="7"/>
  <c r="E54" i="7"/>
  <c r="G54" i="7"/>
  <c r="D54" i="7"/>
  <c r="C54" i="7"/>
  <c r="AW53" i="7"/>
  <c r="AR53" i="7"/>
  <c r="AE53" i="7"/>
  <c r="AD53" i="7"/>
  <c r="G52" i="7"/>
  <c r="E52" i="7"/>
  <c r="G51" i="7"/>
  <c r="E51" i="7"/>
  <c r="L48" i="7"/>
  <c r="L46" i="7" s="1"/>
  <c r="J48" i="7"/>
  <c r="E48" i="7"/>
  <c r="L47" i="7"/>
  <c r="I47" i="7"/>
  <c r="H47" i="7"/>
  <c r="G47" i="7"/>
  <c r="C44" i="7"/>
  <c r="E43" i="7"/>
  <c r="G43" i="7"/>
  <c r="D43" i="7"/>
  <c r="C43" i="7"/>
  <c r="A21" i="7"/>
  <c r="CN17" i="7"/>
  <c r="A17" i="7"/>
  <c r="CO3" i="7"/>
  <c r="F3" i="7"/>
  <c r="CO1" i="7"/>
  <c r="F1" i="7"/>
  <c r="J149" i="7" l="1"/>
  <c r="J187" i="7"/>
  <c r="L239" i="7"/>
  <c r="AW248" i="7" s="1"/>
  <c r="J579" i="7"/>
  <c r="J634" i="7"/>
  <c r="J696" i="7"/>
  <c r="J783" i="7"/>
  <c r="J799" i="7"/>
  <c r="J795" i="7"/>
  <c r="J652" i="7"/>
  <c r="J816" i="7"/>
  <c r="I188" i="7"/>
  <c r="J580" i="7"/>
  <c r="J238" i="7"/>
  <c r="J831" i="7"/>
  <c r="J548" i="7"/>
  <c r="G657" i="7"/>
  <c r="L412" i="7"/>
  <c r="L440" i="7"/>
  <c r="J662" i="7"/>
  <c r="J709" i="7"/>
  <c r="J355" i="7"/>
  <c r="J175" i="7"/>
  <c r="J237" i="7"/>
  <c r="J284" i="7"/>
  <c r="J336" i="7"/>
  <c r="J573" i="7"/>
  <c r="L832" i="7"/>
  <c r="AW841" i="7" s="1"/>
  <c r="J150" i="7"/>
  <c r="J332" i="7"/>
  <c r="G353" i="7"/>
  <c r="J474" i="7"/>
  <c r="J521" i="7"/>
  <c r="J340" i="7"/>
  <c r="J471" i="7"/>
  <c r="J476" i="7"/>
  <c r="J490" i="7"/>
  <c r="J650" i="7"/>
  <c r="J680" i="7"/>
  <c r="J772" i="7"/>
  <c r="L932" i="7"/>
  <c r="J83" i="7"/>
  <c r="J178" i="7"/>
  <c r="L694" i="7"/>
  <c r="AW702" i="7" s="1"/>
  <c r="J217" i="7"/>
  <c r="J572" i="7"/>
  <c r="L603" i="7"/>
  <c r="J728" i="7"/>
  <c r="J752" i="7"/>
  <c r="G293" i="7"/>
  <c r="J148" i="7"/>
  <c r="J153" i="7"/>
  <c r="J230" i="7"/>
  <c r="J292" i="7"/>
  <c r="J780" i="7"/>
  <c r="J545" i="7"/>
  <c r="L220" i="7"/>
  <c r="AW229" i="7" s="1"/>
  <c r="L528" i="7"/>
  <c r="AT555" i="7" s="1"/>
  <c r="L749" i="7"/>
  <c r="AO760" i="7" s="1"/>
  <c r="L762" i="7"/>
  <c r="AR787" i="7" s="1"/>
  <c r="J830" i="7"/>
  <c r="G167" i="7"/>
  <c r="J321" i="7"/>
  <c r="L399" i="7"/>
  <c r="AW407" i="7" s="1"/>
  <c r="J472" i="7"/>
  <c r="L210" i="7"/>
  <c r="AR229" i="7" s="1"/>
  <c r="J258" i="7"/>
  <c r="G508" i="7"/>
  <c r="J144" i="7"/>
  <c r="J176" i="7"/>
  <c r="J206" i="7"/>
  <c r="G331" i="7"/>
  <c r="J656" i="7"/>
  <c r="AN156" i="7"/>
  <c r="J77" i="7"/>
  <c r="G692" i="7"/>
  <c r="L200" i="7"/>
  <c r="J319" i="7"/>
  <c r="G385" i="7"/>
  <c r="L392" i="7"/>
  <c r="AR407" i="7" s="1"/>
  <c r="J541" i="7"/>
  <c r="J574" i="7"/>
  <c r="J852" i="7"/>
  <c r="AN852" i="7"/>
  <c r="AW267" i="7"/>
  <c r="G398" i="7"/>
  <c r="J575" i="7"/>
  <c r="J397" i="7"/>
  <c r="G334" i="7"/>
  <c r="J547" i="7"/>
  <c r="J623" i="7"/>
  <c r="J736" i="7"/>
  <c r="J660" i="7"/>
  <c r="G48" i="7"/>
  <c r="G491" i="7"/>
  <c r="G530" i="7"/>
  <c r="J151" i="7"/>
  <c r="AN188" i="7"/>
  <c r="L262" i="7"/>
  <c r="J382" i="7"/>
  <c r="AN267" i="7"/>
  <c r="J244" i="7"/>
  <c r="G649" i="7"/>
  <c r="J710" i="7"/>
  <c r="J807" i="7"/>
  <c r="AW269" i="7"/>
  <c r="L280" i="7"/>
  <c r="L948" i="7"/>
  <c r="G534" i="7"/>
  <c r="J751" i="7"/>
  <c r="J462" i="7"/>
  <c r="J152" i="7"/>
  <c r="J330" i="7"/>
  <c r="J483" i="7"/>
  <c r="J496" i="7"/>
  <c r="J565" i="7"/>
  <c r="L689" i="7"/>
  <c r="AO702" i="7" s="1"/>
  <c r="L707" i="7"/>
  <c r="AO718" i="7" s="1"/>
  <c r="AN714" i="7"/>
  <c r="G815" i="7"/>
  <c r="J837" i="7"/>
  <c r="J223" i="7"/>
  <c r="J218" i="7"/>
  <c r="L273" i="7"/>
  <c r="L278" i="7" s="1"/>
  <c r="L349" i="7"/>
  <c r="L348" i="7" s="1"/>
  <c r="AO362" i="7" s="1"/>
  <c r="J413" i="7"/>
  <c r="L659" i="7"/>
  <c r="AW669" i="7" s="1"/>
  <c r="J735" i="7"/>
  <c r="AW188" i="7"/>
  <c r="J204" i="7"/>
  <c r="G216" i="7"/>
  <c r="J222" i="7"/>
  <c r="J240" i="7"/>
  <c r="J268" i="7"/>
  <c r="J275" i="7"/>
  <c r="L335" i="7"/>
  <c r="AW344" i="7" s="1"/>
  <c r="L381" i="7"/>
  <c r="AT390" i="7" s="1"/>
  <c r="L387" i="7" s="1"/>
  <c r="G532" i="7"/>
  <c r="J544" i="7"/>
  <c r="L791" i="7"/>
  <c r="AO806" i="7" s="1"/>
  <c r="AT684" i="7"/>
  <c r="L674" i="7"/>
  <c r="AO684" i="7" s="1"/>
  <c r="AT584" i="7"/>
  <c r="L563" i="7"/>
  <c r="AO584" i="7" s="1"/>
  <c r="L183" i="7"/>
  <c r="J400" i="7"/>
  <c r="K320" i="7"/>
  <c r="I320" i="7" s="1"/>
  <c r="AN808" i="7"/>
  <c r="AW783" i="7"/>
  <c r="AW808" i="7"/>
  <c r="AW824" i="7"/>
  <c r="J196" i="7"/>
  <c r="J558" i="7"/>
  <c r="L164" i="7"/>
  <c r="AW244" i="7"/>
  <c r="K231" i="7"/>
  <c r="I231" i="7" s="1"/>
  <c r="AN680" i="7"/>
  <c r="G70" i="7"/>
  <c r="G370" i="7"/>
  <c r="J531" i="7"/>
  <c r="G537" i="7"/>
  <c r="G567" i="7"/>
  <c r="L632" i="7"/>
  <c r="L636" i="7" s="1"/>
  <c r="J794" i="7"/>
  <c r="AW579" i="7"/>
  <c r="G653" i="7"/>
  <c r="G624" i="7"/>
  <c r="AN323" i="7"/>
  <c r="G351" i="7"/>
  <c r="AN231" i="7"/>
  <c r="J301" i="7"/>
  <c r="G655" i="7"/>
  <c r="L723" i="7"/>
  <c r="L722" i="7" s="1"/>
  <c r="L769" i="7"/>
  <c r="AT787" i="7" s="1"/>
  <c r="J172" i="7"/>
  <c r="L505" i="7"/>
  <c r="AO518" i="7" s="1"/>
  <c r="K323" i="7"/>
  <c r="I323" i="7" s="1"/>
  <c r="L730" i="7"/>
  <c r="AW742" i="7" s="1"/>
  <c r="AN824" i="7"/>
  <c r="J732" i="7"/>
  <c r="K205" i="7"/>
  <c r="I205" i="7" s="1"/>
  <c r="L235" i="7"/>
  <c r="J257" i="7"/>
  <c r="G276" i="7"/>
  <c r="J310" i="7"/>
  <c r="AW320" i="7"/>
  <c r="J467" i="7"/>
  <c r="J473" i="7"/>
  <c r="J543" i="7"/>
  <c r="J779" i="7"/>
  <c r="AW756" i="7"/>
  <c r="G140" i="7"/>
  <c r="J255" i="7"/>
  <c r="AX824" i="7"/>
  <c r="G635" i="7"/>
  <c r="J661" i="7"/>
  <c r="J556" i="7"/>
  <c r="L138" i="7"/>
  <c r="AT160" i="7" s="1"/>
  <c r="K269" i="7"/>
  <c r="I269" i="7" s="1"/>
  <c r="L256" i="7"/>
  <c r="AW265" i="7" s="1"/>
  <c r="AN496" i="7"/>
  <c r="G725" i="7"/>
  <c r="G416" i="7"/>
  <c r="I267" i="7"/>
  <c r="J546" i="7"/>
  <c r="L252" i="7"/>
  <c r="AO265" i="7" s="1"/>
  <c r="I484" i="7"/>
  <c r="L170" i="7"/>
  <c r="AW186" i="7" s="1"/>
  <c r="G84" i="7"/>
  <c r="G414" i="7"/>
  <c r="J539" i="7"/>
  <c r="J570" i="7"/>
  <c r="J693" i="7"/>
  <c r="J756" i="7"/>
  <c r="L776" i="7"/>
  <c r="AW787" i="7" s="1"/>
  <c r="I808" i="7"/>
  <c r="AR702" i="7"/>
  <c r="L699" i="7" s="1"/>
  <c r="L812" i="7"/>
  <c r="AO822" i="7" s="1"/>
  <c r="AT822" i="7"/>
  <c r="L921" i="7" s="1"/>
  <c r="AN303" i="7"/>
  <c r="K303" i="7"/>
  <c r="I303" i="7" s="1"/>
  <c r="AW303" i="7"/>
  <c r="L213" i="7"/>
  <c r="AO229" i="7" s="1"/>
  <c r="G647" i="7"/>
  <c r="AR318" i="7"/>
  <c r="L315" i="7" s="1"/>
  <c r="AR62" i="7"/>
  <c r="L58" i="7"/>
  <c r="AR482" i="7"/>
  <c r="AR518" i="7"/>
  <c r="L515" i="7" s="1"/>
  <c r="AW207" i="7"/>
  <c r="AN207" i="7"/>
  <c r="K207" i="7"/>
  <c r="I207" i="7" s="1"/>
  <c r="AT375" i="7"/>
  <c r="L372" i="7" s="1"/>
  <c r="L367" i="7"/>
  <c r="AR160" i="7"/>
  <c r="L290" i="7"/>
  <c r="AR500" i="7"/>
  <c r="AW78" i="7"/>
  <c r="L111" i="7" s="1"/>
  <c r="L109" i="7" s="1"/>
  <c r="AN78" i="7"/>
  <c r="AR555" i="7"/>
  <c r="G773" i="7"/>
  <c r="G775" i="7"/>
  <c r="L637" i="7"/>
  <c r="K78" i="7"/>
  <c r="I78" i="7" s="1"/>
  <c r="AW522" i="7"/>
  <c r="K522" i="7"/>
  <c r="I522" i="7" s="1"/>
  <c r="AN522" i="7"/>
  <c r="AT229" i="7"/>
  <c r="L81" i="7"/>
  <c r="G383" i="7"/>
  <c r="L395" i="7"/>
  <c r="AT407" i="7"/>
  <c r="AW520" i="7"/>
  <c r="K520" i="7"/>
  <c r="I520" i="7" s="1"/>
  <c r="AN520" i="7"/>
  <c r="G771" i="7"/>
  <c r="AR76" i="7"/>
  <c r="L73" i="7" s="1"/>
  <c r="G143" i="7"/>
  <c r="L411" i="7"/>
  <c r="L417" i="7" s="1"/>
  <c r="AT421" i="7"/>
  <c r="J177" i="7"/>
  <c r="G311" i="7"/>
  <c r="L621" i="7"/>
  <c r="AT629" i="7"/>
  <c r="AR684" i="7"/>
  <c r="AR584" i="7"/>
  <c r="L581" i="7" s="1"/>
  <c r="L329" i="7"/>
  <c r="L569" i="7"/>
  <c r="AR718" i="7"/>
  <c r="L715" i="7" s="1"/>
  <c r="AT841" i="7"/>
  <c r="L838" i="7" s="1"/>
  <c r="L828" i="7"/>
  <c r="L94" i="7"/>
  <c r="AR98" i="7"/>
  <c r="L95" i="7" s="1"/>
  <c r="AR248" i="7"/>
  <c r="L245" i="7" s="1"/>
  <c r="AN557" i="7"/>
  <c r="K557" i="7"/>
  <c r="I557" i="7" s="1"/>
  <c r="AN205" i="7"/>
  <c r="L308" i="7"/>
  <c r="AO318" i="7" s="1"/>
  <c r="L645" i="7"/>
  <c r="G677" i="7"/>
  <c r="AR856" i="7"/>
  <c r="L853" i="7" s="1"/>
  <c r="AN358" i="7"/>
  <c r="J47" i="7"/>
  <c r="L67" i="7"/>
  <c r="L72" i="7" s="1"/>
  <c r="L117" i="7"/>
  <c r="AT500" i="7"/>
  <c r="L488" i="7"/>
  <c r="AO500" i="7" s="1"/>
  <c r="J847" i="7"/>
  <c r="AW484" i="7"/>
  <c r="AN484" i="7"/>
  <c r="AR669" i="7"/>
  <c r="J695" i="7"/>
  <c r="J797" i="7"/>
  <c r="L954" i="7"/>
  <c r="L193" i="7"/>
  <c r="L199" i="7" s="1"/>
  <c r="G463" i="7"/>
  <c r="L468" i="7"/>
  <c r="AW482" i="7" s="1"/>
  <c r="I824" i="7"/>
  <c r="AN559" i="7"/>
  <c r="K559" i="7"/>
  <c r="I559" i="7" s="1"/>
  <c r="AR300" i="7"/>
  <c r="L297" i="7" s="1"/>
  <c r="L145" i="7"/>
  <c r="AW160" i="7" s="1"/>
  <c r="L538" i="7"/>
  <c r="AW555" i="7" s="1"/>
  <c r="AW559" i="7"/>
  <c r="G651" i="7"/>
  <c r="L45" i="7"/>
  <c r="AT53" i="7"/>
  <c r="L86" i="7"/>
  <c r="L461" i="7"/>
  <c r="J568" i="7"/>
  <c r="AR742" i="7"/>
  <c r="AR760" i="7"/>
  <c r="L757" i="7" s="1"/>
  <c r="AR806" i="7"/>
  <c r="L803" i="7" s="1"/>
  <c r="K744" i="7"/>
  <c r="I744" i="7" s="1"/>
  <c r="AR421" i="7"/>
  <c r="L845" i="7"/>
  <c r="K286" i="7"/>
  <c r="I286" i="7" s="1"/>
  <c r="AW744" i="7"/>
  <c r="AN340" i="7"/>
  <c r="AN580" i="7"/>
  <c r="AN837" i="7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1" i="3"/>
  <c r="Y1" i="3"/>
  <c r="CX1" i="3"/>
  <c r="CY1" i="3"/>
  <c r="CZ1" i="3"/>
  <c r="DB1" i="3" s="1"/>
  <c r="DA1" i="3"/>
  <c r="DC1" i="3"/>
  <c r="A2" i="3"/>
  <c r="Y2" i="3"/>
  <c r="CY2" i="3"/>
  <c r="CZ2" i="3"/>
  <c r="DB2" i="3" s="1"/>
  <c r="DA2" i="3"/>
  <c r="DC2" i="3"/>
  <c r="A3" i="3"/>
  <c r="Y3" i="3"/>
  <c r="CY3" i="3"/>
  <c r="CZ3" i="3"/>
  <c r="DB3" i="3" s="1"/>
  <c r="DA3" i="3"/>
  <c r="DC3" i="3"/>
  <c r="A4" i="3"/>
  <c r="Y4" i="3"/>
  <c r="CY4" i="3"/>
  <c r="CZ4" i="3"/>
  <c r="DB4" i="3" s="1"/>
  <c r="DA4" i="3"/>
  <c r="DC4" i="3"/>
  <c r="A5" i="3"/>
  <c r="Y5" i="3"/>
  <c r="CY5" i="3"/>
  <c r="CZ5" i="3"/>
  <c r="DA5" i="3"/>
  <c r="DB5" i="3"/>
  <c r="DC5" i="3"/>
  <c r="A6" i="3"/>
  <c r="Y6" i="3"/>
  <c r="CY6" i="3"/>
  <c r="CZ6" i="3"/>
  <c r="DA6" i="3"/>
  <c r="DB6" i="3"/>
  <c r="DC6" i="3"/>
  <c r="A7" i="3"/>
  <c r="Y7" i="3"/>
  <c r="CY7" i="3"/>
  <c r="CZ7" i="3"/>
  <c r="DA7" i="3"/>
  <c r="DB7" i="3"/>
  <c r="DC7" i="3"/>
  <c r="A8" i="3"/>
  <c r="Y8" i="3"/>
  <c r="CY8" i="3"/>
  <c r="CZ8" i="3"/>
  <c r="DA8" i="3"/>
  <c r="DB8" i="3"/>
  <c r="DC8" i="3"/>
  <c r="A9" i="3"/>
  <c r="Y9" i="3"/>
  <c r="CY9" i="3"/>
  <c r="CZ9" i="3"/>
  <c r="DA9" i="3"/>
  <c r="DB9" i="3"/>
  <c r="DC9" i="3"/>
  <c r="A10" i="3"/>
  <c r="Y10" i="3"/>
  <c r="CY10" i="3"/>
  <c r="CZ10" i="3"/>
  <c r="DA10" i="3"/>
  <c r="DB10" i="3"/>
  <c r="DC10" i="3"/>
  <c r="A11" i="3"/>
  <c r="Y11" i="3"/>
  <c r="CY11" i="3"/>
  <c r="CZ11" i="3"/>
  <c r="DB11" i="3" s="1"/>
  <c r="DA11" i="3"/>
  <c r="DC11" i="3"/>
  <c r="A12" i="3"/>
  <c r="Y12" i="3"/>
  <c r="CY12" i="3"/>
  <c r="CZ12" i="3"/>
  <c r="DA12" i="3"/>
  <c r="DB12" i="3"/>
  <c r="DC12" i="3"/>
  <c r="A13" i="3"/>
  <c r="Y13" i="3"/>
  <c r="CY13" i="3"/>
  <c r="CZ13" i="3"/>
  <c r="DB13" i="3" s="1"/>
  <c r="DA13" i="3"/>
  <c r="DC13" i="3"/>
  <c r="A14" i="3"/>
  <c r="Y14" i="3"/>
  <c r="CY14" i="3"/>
  <c r="CZ14" i="3"/>
  <c r="DB14" i="3" s="1"/>
  <c r="DA14" i="3"/>
  <c r="DC14" i="3"/>
  <c r="A15" i="3"/>
  <c r="Y15" i="3"/>
  <c r="CY15" i="3"/>
  <c r="CZ15" i="3"/>
  <c r="DB15" i="3" s="1"/>
  <c r="DA15" i="3"/>
  <c r="DC15" i="3"/>
  <c r="A16" i="3"/>
  <c r="Y16" i="3"/>
  <c r="CX16" i="3"/>
  <c r="CY16" i="3"/>
  <c r="CZ16" i="3"/>
  <c r="DA16" i="3"/>
  <c r="DB16" i="3"/>
  <c r="DC16" i="3"/>
  <c r="A17" i="3"/>
  <c r="Y17" i="3"/>
  <c r="CY17" i="3"/>
  <c r="CZ17" i="3"/>
  <c r="DA17" i="3"/>
  <c r="DB17" i="3"/>
  <c r="DC17" i="3"/>
  <c r="A18" i="3"/>
  <c r="Y18" i="3"/>
  <c r="CY18" i="3"/>
  <c r="CZ18" i="3"/>
  <c r="DA18" i="3"/>
  <c r="DB18" i="3"/>
  <c r="DC18" i="3"/>
  <c r="A19" i="3"/>
  <c r="Y19" i="3"/>
  <c r="CY19" i="3"/>
  <c r="CZ19" i="3"/>
  <c r="DB19" i="3" s="1"/>
  <c r="DA19" i="3"/>
  <c r="DC19" i="3"/>
  <c r="A20" i="3"/>
  <c r="Y20" i="3"/>
  <c r="CY20" i="3"/>
  <c r="CZ20" i="3"/>
  <c r="DB20" i="3" s="1"/>
  <c r="DA20" i="3"/>
  <c r="DC20" i="3"/>
  <c r="A21" i="3"/>
  <c r="Y21" i="3"/>
  <c r="CY21" i="3"/>
  <c r="CZ21" i="3"/>
  <c r="DB21" i="3" s="1"/>
  <c r="DA21" i="3"/>
  <c r="DC21" i="3"/>
  <c r="A22" i="3"/>
  <c r="Y22" i="3"/>
  <c r="CY22" i="3"/>
  <c r="CZ22" i="3"/>
  <c r="DA22" i="3"/>
  <c r="DB22" i="3"/>
  <c r="DC22" i="3"/>
  <c r="A23" i="3"/>
  <c r="Y23" i="3"/>
  <c r="CY23" i="3"/>
  <c r="CZ23" i="3"/>
  <c r="DA23" i="3"/>
  <c r="DB23" i="3"/>
  <c r="DC23" i="3"/>
  <c r="A24" i="3"/>
  <c r="Y24" i="3"/>
  <c r="CX24" i="3"/>
  <c r="CY24" i="3"/>
  <c r="CZ24" i="3"/>
  <c r="DB24" i="3" s="1"/>
  <c r="DA24" i="3"/>
  <c r="DC24" i="3"/>
  <c r="A25" i="3"/>
  <c r="Y25" i="3"/>
  <c r="CX25" i="3" s="1"/>
  <c r="DI25" i="3" s="1"/>
  <c r="CU25" i="3"/>
  <c r="CV25" i="3"/>
  <c r="CY25" i="3"/>
  <c r="CZ25" i="3"/>
  <c r="DB25" i="3" s="1"/>
  <c r="DA25" i="3"/>
  <c r="DC25" i="3"/>
  <c r="DF25" i="3"/>
  <c r="DG25" i="3"/>
  <c r="DH25" i="3"/>
  <c r="DJ25" i="3"/>
  <c r="A26" i="3"/>
  <c r="Y26" i="3"/>
  <c r="CX26" i="3"/>
  <c r="CY26" i="3"/>
  <c r="CZ26" i="3"/>
  <c r="DA26" i="3"/>
  <c r="DB26" i="3"/>
  <c r="DC26" i="3"/>
  <c r="DH26" i="3"/>
  <c r="DI26" i="3"/>
  <c r="DJ26" i="3"/>
  <c r="A27" i="3"/>
  <c r="Y27" i="3"/>
  <c r="CW27" i="3" s="1"/>
  <c r="CY27" i="3"/>
  <c r="CZ27" i="3"/>
  <c r="DA27" i="3"/>
  <c r="DB27" i="3"/>
  <c r="DC27" i="3"/>
  <c r="A28" i="3"/>
  <c r="Y28" i="3"/>
  <c r="CY28" i="3"/>
  <c r="CZ28" i="3"/>
  <c r="DA28" i="3"/>
  <c r="DB28" i="3"/>
  <c r="DC28" i="3"/>
  <c r="A29" i="3"/>
  <c r="Y29" i="3"/>
  <c r="CY29" i="3"/>
  <c r="CZ29" i="3"/>
  <c r="DB29" i="3" s="1"/>
  <c r="DA29" i="3"/>
  <c r="DC29" i="3"/>
  <c r="A30" i="3"/>
  <c r="Y30" i="3"/>
  <c r="CX30" i="3"/>
  <c r="CY30" i="3"/>
  <c r="CZ30" i="3"/>
  <c r="DB30" i="3" s="1"/>
  <c r="DA30" i="3"/>
  <c r="DC30" i="3"/>
  <c r="A31" i="3"/>
  <c r="Y31" i="3"/>
  <c r="CX31" i="3"/>
  <c r="CY31" i="3"/>
  <c r="CZ31" i="3"/>
  <c r="DA31" i="3"/>
  <c r="DB31" i="3"/>
  <c r="DC31" i="3"/>
  <c r="DG31" i="3"/>
  <c r="A32" i="3"/>
  <c r="Y32" i="3"/>
  <c r="CX32" i="3" s="1"/>
  <c r="CY32" i="3"/>
  <c r="CZ32" i="3"/>
  <c r="DA32" i="3"/>
  <c r="DB32" i="3"/>
  <c r="DC32" i="3"/>
  <c r="A33" i="3"/>
  <c r="Y33" i="3"/>
  <c r="CX33" i="3"/>
  <c r="CY33" i="3"/>
  <c r="CZ33" i="3"/>
  <c r="DA33" i="3"/>
  <c r="DB33" i="3"/>
  <c r="DC33" i="3"/>
  <c r="DG33" i="3"/>
  <c r="DH33" i="3"/>
  <c r="A34" i="3"/>
  <c r="Y34" i="3"/>
  <c r="CX34" i="3" s="1"/>
  <c r="DI34" i="3" s="1"/>
  <c r="CY34" i="3"/>
  <c r="CZ34" i="3"/>
  <c r="DB34" i="3" s="1"/>
  <c r="DA34" i="3"/>
  <c r="DC34" i="3"/>
  <c r="DF34" i="3"/>
  <c r="DJ34" i="3" s="1"/>
  <c r="DG34" i="3"/>
  <c r="DH34" i="3"/>
  <c r="A35" i="3"/>
  <c r="Y35" i="3"/>
  <c r="CX35" i="3"/>
  <c r="DG35" i="3" s="1"/>
  <c r="CY35" i="3"/>
  <c r="CZ35" i="3"/>
  <c r="DA35" i="3"/>
  <c r="DB35" i="3"/>
  <c r="DC35" i="3"/>
  <c r="DH35" i="3"/>
  <c r="DI35" i="3"/>
  <c r="A36" i="3"/>
  <c r="Y36" i="3"/>
  <c r="CX36" i="3"/>
  <c r="CY36" i="3"/>
  <c r="CZ36" i="3"/>
  <c r="DB36" i="3" s="1"/>
  <c r="DA36" i="3"/>
  <c r="DC36" i="3"/>
  <c r="DH36" i="3"/>
  <c r="A37" i="3"/>
  <c r="Y37" i="3"/>
  <c r="CX37" i="3"/>
  <c r="DF37" i="3" s="1"/>
  <c r="DJ37" i="3" s="1"/>
  <c r="CY37" i="3"/>
  <c r="CZ37" i="3"/>
  <c r="DB37" i="3" s="1"/>
  <c r="DA37" i="3"/>
  <c r="DC37" i="3"/>
  <c r="DG37" i="3"/>
  <c r="DH37" i="3"/>
  <c r="DI37" i="3"/>
  <c r="A38" i="3"/>
  <c r="Y38" i="3"/>
  <c r="CX38" i="3"/>
  <c r="CY38" i="3"/>
  <c r="CZ38" i="3"/>
  <c r="DB38" i="3" s="1"/>
  <c r="DA38" i="3"/>
  <c r="DC38" i="3"/>
  <c r="A39" i="3"/>
  <c r="Y39" i="3"/>
  <c r="CX39" i="3"/>
  <c r="CY39" i="3"/>
  <c r="CZ39" i="3"/>
  <c r="DB39" i="3" s="1"/>
  <c r="DA39" i="3"/>
  <c r="DC39" i="3"/>
  <c r="DF39" i="3"/>
  <c r="DJ39" i="3" s="1"/>
  <c r="DG39" i="3"/>
  <c r="DH39" i="3"/>
  <c r="DI39" i="3"/>
  <c r="A40" i="3"/>
  <c r="Y40" i="3"/>
  <c r="CX40" i="3"/>
  <c r="CY40" i="3"/>
  <c r="CZ40" i="3"/>
  <c r="DA40" i="3"/>
  <c r="DB40" i="3"/>
  <c r="DC40" i="3"/>
  <c r="A41" i="3"/>
  <c r="Y41" i="3"/>
  <c r="CY41" i="3"/>
  <c r="CZ41" i="3"/>
  <c r="DA41" i="3"/>
  <c r="DB41" i="3"/>
  <c r="DC41" i="3"/>
  <c r="A42" i="3"/>
  <c r="Y42" i="3"/>
  <c r="CY42" i="3"/>
  <c r="CZ42" i="3"/>
  <c r="DA42" i="3"/>
  <c r="DB42" i="3"/>
  <c r="DC42" i="3"/>
  <c r="A43" i="3"/>
  <c r="Y43" i="3"/>
  <c r="CY43" i="3"/>
  <c r="CZ43" i="3"/>
  <c r="DA43" i="3"/>
  <c r="DB43" i="3"/>
  <c r="DC43" i="3"/>
  <c r="A44" i="3"/>
  <c r="Y44" i="3"/>
  <c r="CY44" i="3"/>
  <c r="CZ44" i="3"/>
  <c r="DA44" i="3"/>
  <c r="DB44" i="3"/>
  <c r="DC44" i="3"/>
  <c r="A45" i="3"/>
  <c r="Y45" i="3"/>
  <c r="CY45" i="3"/>
  <c r="CZ45" i="3"/>
  <c r="DA45" i="3"/>
  <c r="DB45" i="3"/>
  <c r="DC45" i="3"/>
  <c r="A46" i="3"/>
  <c r="Y46" i="3"/>
  <c r="CY46" i="3"/>
  <c r="CZ46" i="3"/>
  <c r="DA46" i="3"/>
  <c r="DB46" i="3"/>
  <c r="DC46" i="3"/>
  <c r="A47" i="3"/>
  <c r="Y47" i="3"/>
  <c r="CY47" i="3"/>
  <c r="CZ47" i="3"/>
  <c r="DB47" i="3" s="1"/>
  <c r="DA47" i="3"/>
  <c r="DC47" i="3"/>
  <c r="A48" i="3"/>
  <c r="Y48" i="3"/>
  <c r="CY48" i="3"/>
  <c r="CZ48" i="3"/>
  <c r="DB48" i="3" s="1"/>
  <c r="DA48" i="3"/>
  <c r="DC48" i="3"/>
  <c r="A49" i="3"/>
  <c r="Y49" i="3"/>
  <c r="CY49" i="3"/>
  <c r="CZ49" i="3"/>
  <c r="DB49" i="3" s="1"/>
  <c r="DA49" i="3"/>
  <c r="DC49" i="3"/>
  <c r="A50" i="3"/>
  <c r="Y50" i="3"/>
  <c r="CY50" i="3"/>
  <c r="CZ50" i="3"/>
  <c r="DA50" i="3"/>
  <c r="DB50" i="3"/>
  <c r="DC50" i="3"/>
  <c r="A51" i="3"/>
  <c r="Y51" i="3"/>
  <c r="CY51" i="3"/>
  <c r="CZ51" i="3"/>
  <c r="DA51" i="3"/>
  <c r="DB51" i="3"/>
  <c r="DC51" i="3"/>
  <c r="A52" i="3"/>
  <c r="Y52" i="3"/>
  <c r="CY52" i="3"/>
  <c r="CZ52" i="3"/>
  <c r="DB52" i="3" s="1"/>
  <c r="DA52" i="3"/>
  <c r="DC52" i="3"/>
  <c r="A53" i="3"/>
  <c r="Y53" i="3"/>
  <c r="CY53" i="3"/>
  <c r="CZ53" i="3"/>
  <c r="DA53" i="3"/>
  <c r="DB53" i="3"/>
  <c r="DC53" i="3"/>
  <c r="A54" i="3"/>
  <c r="Y54" i="3"/>
  <c r="CY54" i="3"/>
  <c r="CZ54" i="3"/>
  <c r="DB54" i="3" s="1"/>
  <c r="DA54" i="3"/>
  <c r="DC54" i="3"/>
  <c r="A55" i="3"/>
  <c r="Y55" i="3"/>
  <c r="CY55" i="3"/>
  <c r="CZ55" i="3"/>
  <c r="DB55" i="3" s="1"/>
  <c r="DA55" i="3"/>
  <c r="DC55" i="3"/>
  <c r="A56" i="3"/>
  <c r="Y56" i="3"/>
  <c r="CU56" i="3"/>
  <c r="CY56" i="3"/>
  <c r="CZ56" i="3"/>
  <c r="DB56" i="3" s="1"/>
  <c r="DA56" i="3"/>
  <c r="DC56" i="3"/>
  <c r="A57" i="3"/>
  <c r="Y57" i="3"/>
  <c r="CW57" i="3"/>
  <c r="CX57" i="3"/>
  <c r="DF57" i="3" s="1"/>
  <c r="CY57" i="3"/>
  <c r="CZ57" i="3"/>
  <c r="DB57" i="3" s="1"/>
  <c r="DA57" i="3"/>
  <c r="DC57" i="3"/>
  <c r="DG57" i="3"/>
  <c r="DH57" i="3"/>
  <c r="A58" i="3"/>
  <c r="Y58" i="3"/>
  <c r="CW58" i="3" s="1"/>
  <c r="CX58" i="3"/>
  <c r="DF58" i="3" s="1"/>
  <c r="CY58" i="3"/>
  <c r="CZ58" i="3"/>
  <c r="DB58" i="3" s="1"/>
  <c r="DA58" i="3"/>
  <c r="DC58" i="3"/>
  <c r="DH58" i="3"/>
  <c r="DI58" i="3"/>
  <c r="A59" i="3"/>
  <c r="Y59" i="3"/>
  <c r="CX59" i="3"/>
  <c r="CY59" i="3"/>
  <c r="CZ59" i="3"/>
  <c r="DA59" i="3"/>
  <c r="DB59" i="3"/>
  <c r="DC59" i="3"/>
  <c r="DG59" i="3"/>
  <c r="DI59" i="3"/>
  <c r="A60" i="3"/>
  <c r="Y60" i="3"/>
  <c r="CX60" i="3" s="1"/>
  <c r="DI60" i="3" s="1"/>
  <c r="CY60" i="3"/>
  <c r="CZ60" i="3"/>
  <c r="DA60" i="3"/>
  <c r="DB60" i="3"/>
  <c r="DC60" i="3"/>
  <c r="DG60" i="3"/>
  <c r="A61" i="3"/>
  <c r="Y61" i="3"/>
  <c r="CX61" i="3"/>
  <c r="DF61" i="3" s="1"/>
  <c r="DJ61" i="3" s="1"/>
  <c r="CY61" i="3"/>
  <c r="CZ61" i="3"/>
  <c r="DA61" i="3"/>
  <c r="DB61" i="3"/>
  <c r="DC61" i="3"/>
  <c r="DG61" i="3"/>
  <c r="DH61" i="3"/>
  <c r="DI61" i="3"/>
  <c r="A62" i="3"/>
  <c r="Y62" i="3"/>
  <c r="CX62" i="3" s="1"/>
  <c r="CU62" i="3"/>
  <c r="CV62" i="3"/>
  <c r="CY62" i="3"/>
  <c r="CZ62" i="3"/>
  <c r="DA62" i="3"/>
  <c r="DB62" i="3"/>
  <c r="DC62" i="3"/>
  <c r="A63" i="3"/>
  <c r="Y63" i="3"/>
  <c r="CX63" i="3" s="1"/>
  <c r="CW63" i="3"/>
  <c r="V81" i="1" s="1"/>
  <c r="G253" i="7" s="1"/>
  <c r="CY63" i="3"/>
  <c r="CZ63" i="3"/>
  <c r="DB63" i="3" s="1"/>
  <c r="DA63" i="3"/>
  <c r="DC63" i="3"/>
  <c r="A64" i="3"/>
  <c r="Y64" i="3"/>
  <c r="CW64" i="3" s="1"/>
  <c r="CX64" i="3"/>
  <c r="DF64" i="3" s="1"/>
  <c r="CY64" i="3"/>
  <c r="CZ64" i="3"/>
  <c r="DB64" i="3" s="1"/>
  <c r="DA64" i="3"/>
  <c r="DC64" i="3"/>
  <c r="DG64" i="3"/>
  <c r="A65" i="3"/>
  <c r="Y65" i="3"/>
  <c r="CX65" i="3"/>
  <c r="CY65" i="3"/>
  <c r="CZ65" i="3"/>
  <c r="DA65" i="3"/>
  <c r="DB65" i="3"/>
  <c r="DC65" i="3"/>
  <c r="DI65" i="3"/>
  <c r="A66" i="3"/>
  <c r="Y66" i="3"/>
  <c r="CX66" i="3" s="1"/>
  <c r="CY66" i="3"/>
  <c r="CZ66" i="3"/>
  <c r="DB66" i="3" s="1"/>
  <c r="DA66" i="3"/>
  <c r="DC66" i="3"/>
  <c r="DF66" i="3"/>
  <c r="DJ66" i="3" s="1"/>
  <c r="DG66" i="3"/>
  <c r="A67" i="3"/>
  <c r="Y67" i="3"/>
  <c r="CX67" i="3" s="1"/>
  <c r="CU67" i="3"/>
  <c r="CV67" i="3"/>
  <c r="U84" i="1" s="1"/>
  <c r="G271" i="7" s="1"/>
  <c r="CY67" i="3"/>
  <c r="CZ67" i="3"/>
  <c r="DB67" i="3" s="1"/>
  <c r="DA67" i="3"/>
  <c r="DC67" i="3"/>
  <c r="DF67" i="3"/>
  <c r="DH67" i="3"/>
  <c r="A68" i="3"/>
  <c r="Y68" i="3"/>
  <c r="CX68" i="3" s="1"/>
  <c r="DI68" i="3" s="1"/>
  <c r="CY68" i="3"/>
  <c r="CZ68" i="3"/>
  <c r="DA68" i="3"/>
  <c r="DB68" i="3"/>
  <c r="DC68" i="3"/>
  <c r="DF68" i="3"/>
  <c r="DG68" i="3"/>
  <c r="DH68" i="3"/>
  <c r="DJ68" i="3"/>
  <c r="A69" i="3"/>
  <c r="Y69" i="3"/>
  <c r="CY69" i="3"/>
  <c r="CZ69" i="3"/>
  <c r="DA69" i="3"/>
  <c r="DB69" i="3"/>
  <c r="DC69" i="3"/>
  <c r="A70" i="3"/>
  <c r="Y70" i="3"/>
  <c r="CW70" i="3"/>
  <c r="CX70" i="3"/>
  <c r="DF70" i="3" s="1"/>
  <c r="CY70" i="3"/>
  <c r="CZ70" i="3"/>
  <c r="DA70" i="3"/>
  <c r="DB70" i="3"/>
  <c r="DC70" i="3"/>
  <c r="A71" i="3"/>
  <c r="Y71" i="3"/>
  <c r="CX71" i="3"/>
  <c r="CY71" i="3"/>
  <c r="CZ71" i="3"/>
  <c r="DB71" i="3" s="1"/>
  <c r="DA71" i="3"/>
  <c r="DC71" i="3"/>
  <c r="A72" i="3"/>
  <c r="Y72" i="3"/>
  <c r="CX72" i="3" s="1"/>
  <c r="DI72" i="3" s="1"/>
  <c r="CU72" i="3"/>
  <c r="CV72" i="3"/>
  <c r="CY72" i="3"/>
  <c r="CZ72" i="3"/>
  <c r="DB72" i="3" s="1"/>
  <c r="DA72" i="3"/>
  <c r="DC72" i="3"/>
  <c r="DF72" i="3"/>
  <c r="DG72" i="3"/>
  <c r="DH72" i="3"/>
  <c r="DJ72" i="3"/>
  <c r="A73" i="3"/>
  <c r="Y73" i="3"/>
  <c r="CX73" i="3" s="1"/>
  <c r="CY73" i="3"/>
  <c r="CZ73" i="3"/>
  <c r="DA73" i="3"/>
  <c r="DB73" i="3"/>
  <c r="DC73" i="3"/>
  <c r="DH73" i="3"/>
  <c r="DI73" i="3"/>
  <c r="DJ73" i="3" s="1"/>
  <c r="A74" i="3"/>
  <c r="Y74" i="3"/>
  <c r="CX74" i="3" s="1"/>
  <c r="DG74" i="3" s="1"/>
  <c r="CY74" i="3"/>
  <c r="CZ74" i="3"/>
  <c r="DA74" i="3"/>
  <c r="DB74" i="3"/>
  <c r="DC74" i="3"/>
  <c r="DH74" i="3"/>
  <c r="DJ74" i="3" s="1"/>
  <c r="DI74" i="3"/>
  <c r="A75" i="3"/>
  <c r="Y75" i="3"/>
  <c r="CY75" i="3"/>
  <c r="CZ75" i="3"/>
  <c r="DB75" i="3" s="1"/>
  <c r="DA75" i="3"/>
  <c r="DC75" i="3"/>
  <c r="A76" i="3"/>
  <c r="Y76" i="3"/>
  <c r="CX76" i="3" s="1"/>
  <c r="CY76" i="3"/>
  <c r="CZ76" i="3"/>
  <c r="DA76" i="3"/>
  <c r="DB76" i="3"/>
  <c r="DC76" i="3"/>
  <c r="A77" i="3"/>
  <c r="Y77" i="3"/>
  <c r="CY77" i="3"/>
  <c r="CZ77" i="3"/>
  <c r="DB77" i="3" s="1"/>
  <c r="DA77" i="3"/>
  <c r="DC77" i="3"/>
  <c r="A78" i="3"/>
  <c r="Y78" i="3"/>
  <c r="CY78" i="3"/>
  <c r="CZ78" i="3"/>
  <c r="DA78" i="3"/>
  <c r="DB78" i="3"/>
  <c r="DC78" i="3"/>
  <c r="A79" i="3"/>
  <c r="Y79" i="3"/>
  <c r="CY79" i="3"/>
  <c r="CZ79" i="3"/>
  <c r="DB79" i="3" s="1"/>
  <c r="DA79" i="3"/>
  <c r="DC79" i="3"/>
  <c r="A80" i="3"/>
  <c r="Y80" i="3"/>
  <c r="CY80" i="3"/>
  <c r="CZ80" i="3"/>
  <c r="DA80" i="3"/>
  <c r="DB80" i="3"/>
  <c r="DC80" i="3"/>
  <c r="A81" i="3"/>
  <c r="Y81" i="3"/>
  <c r="CY81" i="3"/>
  <c r="CZ81" i="3"/>
  <c r="DB81" i="3" s="1"/>
  <c r="DA81" i="3"/>
  <c r="DC81" i="3"/>
  <c r="A82" i="3"/>
  <c r="Y82" i="3"/>
  <c r="CY82" i="3"/>
  <c r="CZ82" i="3"/>
  <c r="DA82" i="3"/>
  <c r="DB82" i="3"/>
  <c r="DC82" i="3"/>
  <c r="A83" i="3"/>
  <c r="Y83" i="3"/>
  <c r="CW83" i="3" s="1"/>
  <c r="CY83" i="3"/>
  <c r="CZ83" i="3"/>
  <c r="DA83" i="3"/>
  <c r="DB83" i="3"/>
  <c r="DC83" i="3"/>
  <c r="A84" i="3"/>
  <c r="Y84" i="3"/>
  <c r="CW84" i="3"/>
  <c r="V93" i="1" s="1"/>
  <c r="G329" i="7" s="1"/>
  <c r="CX84" i="3"/>
  <c r="CY84" i="3"/>
  <c r="CZ84" i="3"/>
  <c r="DA84" i="3"/>
  <c r="DB84" i="3"/>
  <c r="DC84" i="3"/>
  <c r="A85" i="3"/>
  <c r="Y85" i="3"/>
  <c r="CW85" i="3"/>
  <c r="CY85" i="3"/>
  <c r="CZ85" i="3"/>
  <c r="DB85" i="3" s="1"/>
  <c r="DA85" i="3"/>
  <c r="DC85" i="3"/>
  <c r="A86" i="3"/>
  <c r="Y86" i="3"/>
  <c r="CY86" i="3"/>
  <c r="CZ86" i="3"/>
  <c r="DB86" i="3" s="1"/>
  <c r="DA86" i="3"/>
  <c r="DC86" i="3"/>
  <c r="A87" i="3"/>
  <c r="Y87" i="3"/>
  <c r="CX87" i="3"/>
  <c r="CY87" i="3"/>
  <c r="CZ87" i="3"/>
  <c r="DA87" i="3"/>
  <c r="DB87" i="3"/>
  <c r="DC87" i="3"/>
  <c r="DG87" i="3"/>
  <c r="DH87" i="3"/>
  <c r="A88" i="3"/>
  <c r="Y88" i="3"/>
  <c r="CY88" i="3"/>
  <c r="CZ88" i="3"/>
  <c r="DA88" i="3"/>
  <c r="DB88" i="3"/>
  <c r="DC88" i="3"/>
  <c r="A89" i="3"/>
  <c r="Y89" i="3"/>
  <c r="CV89" i="3" s="1"/>
  <c r="CU89" i="3"/>
  <c r="CX89" i="3"/>
  <c r="CY89" i="3"/>
  <c r="CZ89" i="3"/>
  <c r="DB89" i="3" s="1"/>
  <c r="DA89" i="3"/>
  <c r="DC89" i="3"/>
  <c r="DG89" i="3"/>
  <c r="DH89" i="3"/>
  <c r="A90" i="3"/>
  <c r="Y90" i="3"/>
  <c r="CX90" i="3"/>
  <c r="CY90" i="3"/>
  <c r="CZ90" i="3"/>
  <c r="DA90" i="3"/>
  <c r="DB90" i="3"/>
  <c r="DC90" i="3"/>
  <c r="A91" i="3"/>
  <c r="Y91" i="3"/>
  <c r="CY91" i="3"/>
  <c r="CZ91" i="3"/>
  <c r="DA91" i="3"/>
  <c r="DB91" i="3"/>
  <c r="DC91" i="3"/>
  <c r="A92" i="3"/>
  <c r="Y92" i="3"/>
  <c r="CW92" i="3"/>
  <c r="CX92" i="3"/>
  <c r="CY92" i="3"/>
  <c r="CZ92" i="3"/>
  <c r="DA92" i="3"/>
  <c r="DB92" i="3"/>
  <c r="DC92" i="3"/>
  <c r="DG92" i="3"/>
  <c r="A93" i="3"/>
  <c r="Y93" i="3"/>
  <c r="CX93" i="3" s="1"/>
  <c r="CY93" i="3"/>
  <c r="CZ93" i="3"/>
  <c r="DB93" i="3" s="1"/>
  <c r="DA93" i="3"/>
  <c r="DC93" i="3"/>
  <c r="DF93" i="3"/>
  <c r="DJ93" i="3" s="1"/>
  <c r="DI93" i="3"/>
  <c r="A94" i="3"/>
  <c r="Y94" i="3"/>
  <c r="CX94" i="3"/>
  <c r="DH94" i="3" s="1"/>
  <c r="CY94" i="3"/>
  <c r="CZ94" i="3"/>
  <c r="DA94" i="3"/>
  <c r="DB94" i="3"/>
  <c r="DC94" i="3"/>
  <c r="DG94" i="3"/>
  <c r="DI94" i="3"/>
  <c r="A95" i="3"/>
  <c r="Y95" i="3"/>
  <c r="CY95" i="3"/>
  <c r="CZ95" i="3"/>
  <c r="DB95" i="3" s="1"/>
  <c r="DA95" i="3"/>
  <c r="DC95" i="3"/>
  <c r="A96" i="3"/>
  <c r="Y96" i="3"/>
  <c r="CY96" i="3"/>
  <c r="CZ96" i="3"/>
  <c r="DA96" i="3"/>
  <c r="DB96" i="3"/>
  <c r="DC96" i="3"/>
  <c r="A97" i="3"/>
  <c r="Y97" i="3"/>
  <c r="CX97" i="3"/>
  <c r="CY97" i="3"/>
  <c r="CZ97" i="3"/>
  <c r="DB97" i="3" s="1"/>
  <c r="DA97" i="3"/>
  <c r="DC97" i="3"/>
  <c r="A98" i="3"/>
  <c r="Y98" i="3"/>
  <c r="CY98" i="3"/>
  <c r="CZ98" i="3"/>
  <c r="DA98" i="3"/>
  <c r="DB98" i="3"/>
  <c r="DC98" i="3"/>
  <c r="A99" i="3"/>
  <c r="Y99" i="3"/>
  <c r="CY99" i="3"/>
  <c r="CZ99" i="3"/>
  <c r="DA99" i="3"/>
  <c r="DB99" i="3"/>
  <c r="DC99" i="3"/>
  <c r="A100" i="3"/>
  <c r="Y100" i="3"/>
  <c r="CY100" i="3"/>
  <c r="CZ100" i="3"/>
  <c r="DB100" i="3" s="1"/>
  <c r="DA100" i="3"/>
  <c r="DC100" i="3"/>
  <c r="A101" i="3"/>
  <c r="Y101" i="3"/>
  <c r="CY101" i="3"/>
  <c r="CZ101" i="3"/>
  <c r="DA101" i="3"/>
  <c r="DB101" i="3"/>
  <c r="DC101" i="3"/>
  <c r="A102" i="3"/>
  <c r="Y102" i="3"/>
  <c r="CX102" i="3" s="1"/>
  <c r="CU102" i="3"/>
  <c r="CV102" i="3"/>
  <c r="U99" i="1" s="1"/>
  <c r="G392" i="7" s="1"/>
  <c r="CY102" i="3"/>
  <c r="CZ102" i="3"/>
  <c r="DA102" i="3"/>
  <c r="DB102" i="3"/>
  <c r="DC102" i="3"/>
  <c r="DG102" i="3"/>
  <c r="DI102" i="3"/>
  <c r="DJ102" i="3" s="1"/>
  <c r="A103" i="3"/>
  <c r="Y103" i="3"/>
  <c r="CX103" i="3" s="1"/>
  <c r="DH103" i="3" s="1"/>
  <c r="CU103" i="3"/>
  <c r="CV103" i="3"/>
  <c r="CY103" i="3"/>
  <c r="CZ103" i="3"/>
  <c r="DB103" i="3" s="1"/>
  <c r="DA103" i="3"/>
  <c r="DC103" i="3"/>
  <c r="DF103" i="3"/>
  <c r="DG103" i="3"/>
  <c r="DI103" i="3"/>
  <c r="DJ103" i="3" s="1"/>
  <c r="A104" i="3"/>
  <c r="Y104" i="3"/>
  <c r="CX104" i="3"/>
  <c r="DG104" i="3" s="1"/>
  <c r="CY104" i="3"/>
  <c r="CZ104" i="3"/>
  <c r="DA104" i="3"/>
  <c r="DB104" i="3"/>
  <c r="DC104" i="3"/>
  <c r="DH104" i="3"/>
  <c r="DI104" i="3"/>
  <c r="DJ104" i="3" s="1"/>
  <c r="A105" i="3"/>
  <c r="Y105" i="3"/>
  <c r="CY105" i="3"/>
  <c r="CZ105" i="3"/>
  <c r="DB105" i="3" s="1"/>
  <c r="DA105" i="3"/>
  <c r="DC105" i="3"/>
  <c r="A106" i="3"/>
  <c r="Y106" i="3"/>
  <c r="CX106" i="3" s="1"/>
  <c r="DI106" i="3" s="1"/>
  <c r="CY106" i="3"/>
  <c r="CZ106" i="3"/>
  <c r="DA106" i="3"/>
  <c r="DB106" i="3"/>
  <c r="DC106" i="3"/>
  <c r="DF106" i="3"/>
  <c r="DJ106" i="3" s="1"/>
  <c r="DH106" i="3"/>
  <c r="A107" i="3"/>
  <c r="Y107" i="3"/>
  <c r="CX107" i="3"/>
  <c r="CY107" i="3"/>
  <c r="CZ107" i="3"/>
  <c r="DA107" i="3"/>
  <c r="DB107" i="3"/>
  <c r="DC107" i="3"/>
  <c r="A108" i="3"/>
  <c r="Y108" i="3"/>
  <c r="CU108" i="3"/>
  <c r="CV108" i="3"/>
  <c r="U100" i="1" s="1"/>
  <c r="G409" i="7" s="1"/>
  <c r="CX108" i="3"/>
  <c r="CY108" i="3"/>
  <c r="CZ108" i="3"/>
  <c r="DB108" i="3" s="1"/>
  <c r="DA108" i="3"/>
  <c r="DC108" i="3"/>
  <c r="A109" i="3"/>
  <c r="Y109" i="3"/>
  <c r="CX109" i="3"/>
  <c r="CY109" i="3"/>
  <c r="CZ109" i="3"/>
  <c r="DA109" i="3"/>
  <c r="DB109" i="3"/>
  <c r="DC109" i="3"/>
  <c r="DF109" i="3"/>
  <c r="DG109" i="3"/>
  <c r="DH109" i="3"/>
  <c r="DI109" i="3"/>
  <c r="DJ109" i="3" s="1"/>
  <c r="A110" i="3"/>
  <c r="Y110" i="3"/>
  <c r="CX110" i="3" s="1"/>
  <c r="DH110" i="3" s="1"/>
  <c r="CW110" i="3"/>
  <c r="CY110" i="3"/>
  <c r="CZ110" i="3"/>
  <c r="DB110" i="3" s="1"/>
  <c r="DA110" i="3"/>
  <c r="DC110" i="3"/>
  <c r="DG110" i="3"/>
  <c r="DJ110" i="3" s="1"/>
  <c r="DI110" i="3"/>
  <c r="A111" i="3"/>
  <c r="Y111" i="3"/>
  <c r="CX111" i="3" s="1"/>
  <c r="DI111" i="3" s="1"/>
  <c r="CY111" i="3"/>
  <c r="CZ111" i="3"/>
  <c r="DA111" i="3"/>
  <c r="DB111" i="3"/>
  <c r="DC111" i="3"/>
  <c r="A112" i="3"/>
  <c r="Y112" i="3"/>
  <c r="CV112" i="3"/>
  <c r="U136" i="1" s="1"/>
  <c r="G458" i="7" s="1"/>
  <c r="CY112" i="3"/>
  <c r="CZ112" i="3"/>
  <c r="DA112" i="3"/>
  <c r="DB112" i="3"/>
  <c r="DC112" i="3"/>
  <c r="A113" i="3"/>
  <c r="Y113" i="3"/>
  <c r="CY113" i="3"/>
  <c r="CZ113" i="3"/>
  <c r="DA113" i="3"/>
  <c r="DB113" i="3"/>
  <c r="DC113" i="3"/>
  <c r="A114" i="3"/>
  <c r="Y114" i="3"/>
  <c r="CY114" i="3"/>
  <c r="CZ114" i="3"/>
  <c r="DB114" i="3" s="1"/>
  <c r="DA114" i="3"/>
  <c r="DC114" i="3"/>
  <c r="A115" i="3"/>
  <c r="Y115" i="3"/>
  <c r="CY115" i="3"/>
  <c r="CZ115" i="3"/>
  <c r="DA115" i="3"/>
  <c r="DB115" i="3"/>
  <c r="DC115" i="3"/>
  <c r="A116" i="3"/>
  <c r="Y116" i="3"/>
  <c r="CY116" i="3"/>
  <c r="CZ116" i="3"/>
  <c r="DB116" i="3" s="1"/>
  <c r="DA116" i="3"/>
  <c r="DC116" i="3"/>
  <c r="A117" i="3"/>
  <c r="Y117" i="3"/>
  <c r="CW117" i="3"/>
  <c r="CY117" i="3"/>
  <c r="CZ117" i="3"/>
  <c r="DA117" i="3"/>
  <c r="DB117" i="3"/>
  <c r="DC117" i="3"/>
  <c r="A118" i="3"/>
  <c r="Y118" i="3"/>
  <c r="CY118" i="3"/>
  <c r="CZ118" i="3"/>
  <c r="DA118" i="3"/>
  <c r="DB118" i="3"/>
  <c r="DC118" i="3"/>
  <c r="A119" i="3"/>
  <c r="Y119" i="3"/>
  <c r="CX119" i="3"/>
  <c r="CY119" i="3"/>
  <c r="CZ119" i="3"/>
  <c r="DB119" i="3" s="1"/>
  <c r="DA119" i="3"/>
  <c r="DC119" i="3"/>
  <c r="A120" i="3"/>
  <c r="Y120" i="3"/>
  <c r="CY120" i="3"/>
  <c r="CZ120" i="3"/>
  <c r="DB120" i="3" s="1"/>
  <c r="DA120" i="3"/>
  <c r="DC120" i="3"/>
  <c r="A121" i="3"/>
  <c r="Y121" i="3"/>
  <c r="CY121" i="3"/>
  <c r="CZ121" i="3"/>
  <c r="DA121" i="3"/>
  <c r="DB121" i="3"/>
  <c r="DC121" i="3"/>
  <c r="A122" i="3"/>
  <c r="Y122" i="3"/>
  <c r="CY122" i="3"/>
  <c r="CZ122" i="3"/>
  <c r="DA122" i="3"/>
  <c r="DB122" i="3"/>
  <c r="DC122" i="3"/>
  <c r="A123" i="3"/>
  <c r="Y123" i="3"/>
  <c r="CY123" i="3"/>
  <c r="CZ123" i="3"/>
  <c r="DB123" i="3" s="1"/>
  <c r="DA123" i="3"/>
  <c r="DC123" i="3"/>
  <c r="A124" i="3"/>
  <c r="Y124" i="3"/>
  <c r="CY124" i="3"/>
  <c r="CZ124" i="3"/>
  <c r="DA124" i="3"/>
  <c r="DB124" i="3"/>
  <c r="DC124" i="3"/>
  <c r="A125" i="3"/>
  <c r="Y125" i="3"/>
  <c r="CY125" i="3"/>
  <c r="CZ125" i="3"/>
  <c r="DA125" i="3"/>
  <c r="DB125" i="3"/>
  <c r="DC125" i="3"/>
  <c r="A126" i="3"/>
  <c r="Y126" i="3"/>
  <c r="CV126" i="3" s="1"/>
  <c r="CU126" i="3"/>
  <c r="CX126" i="3"/>
  <c r="DF126" i="3" s="1"/>
  <c r="CY126" i="3"/>
  <c r="CZ126" i="3"/>
  <c r="DA126" i="3"/>
  <c r="DB126" i="3"/>
  <c r="DC126" i="3"/>
  <c r="DG126" i="3"/>
  <c r="A127" i="3"/>
  <c r="Y127" i="3"/>
  <c r="CX127" i="3" s="1"/>
  <c r="CY127" i="3"/>
  <c r="CZ127" i="3"/>
  <c r="DB127" i="3" s="1"/>
  <c r="DA127" i="3"/>
  <c r="DC127" i="3"/>
  <c r="A128" i="3"/>
  <c r="Y128" i="3"/>
  <c r="CW128" i="3" s="1"/>
  <c r="V138" i="1" s="1"/>
  <c r="G489" i="7" s="1"/>
  <c r="CY128" i="3"/>
  <c r="CZ128" i="3"/>
  <c r="DB128" i="3" s="1"/>
  <c r="DA128" i="3"/>
  <c r="DC128" i="3"/>
  <c r="A129" i="3"/>
  <c r="Y129" i="3"/>
  <c r="CX129" i="3"/>
  <c r="DF129" i="3" s="1"/>
  <c r="DJ129" i="3" s="1"/>
  <c r="CY129" i="3"/>
  <c r="CZ129" i="3"/>
  <c r="DB129" i="3" s="1"/>
  <c r="DA129" i="3"/>
  <c r="DC129" i="3"/>
  <c r="A130" i="3"/>
  <c r="Y130" i="3"/>
  <c r="CX130" i="3"/>
  <c r="DF130" i="3" s="1"/>
  <c r="DJ130" i="3" s="1"/>
  <c r="CY130" i="3"/>
  <c r="CZ130" i="3"/>
  <c r="DB130" i="3" s="1"/>
  <c r="DA130" i="3"/>
  <c r="DC130" i="3"/>
  <c r="DG130" i="3"/>
  <c r="DH130" i="3"/>
  <c r="DI130" i="3"/>
  <c r="A131" i="3"/>
  <c r="Y131" i="3"/>
  <c r="CY131" i="3"/>
  <c r="CZ131" i="3"/>
  <c r="DA131" i="3"/>
  <c r="DB131" i="3"/>
  <c r="DC131" i="3"/>
  <c r="A132" i="3"/>
  <c r="Y132" i="3"/>
  <c r="CY132" i="3"/>
  <c r="CZ132" i="3"/>
  <c r="DA132" i="3"/>
  <c r="DB132" i="3"/>
  <c r="DC132" i="3"/>
  <c r="A133" i="3"/>
  <c r="Y133" i="3"/>
  <c r="CY133" i="3"/>
  <c r="CZ133" i="3"/>
  <c r="DB133" i="3" s="1"/>
  <c r="DA133" i="3"/>
  <c r="DC133" i="3"/>
  <c r="A134" i="3"/>
  <c r="Y134" i="3"/>
  <c r="CY134" i="3"/>
  <c r="CZ134" i="3"/>
  <c r="DA134" i="3"/>
  <c r="DB134" i="3"/>
  <c r="DC134" i="3"/>
  <c r="A135" i="3"/>
  <c r="Y135" i="3"/>
  <c r="CY135" i="3"/>
  <c r="CZ135" i="3"/>
  <c r="DA135" i="3"/>
  <c r="DB135" i="3"/>
  <c r="DC135" i="3"/>
  <c r="A136" i="3"/>
  <c r="Y136" i="3"/>
  <c r="CY136" i="3"/>
  <c r="CZ136" i="3"/>
  <c r="DB136" i="3" s="1"/>
  <c r="DA136" i="3"/>
  <c r="DC136" i="3"/>
  <c r="A137" i="3"/>
  <c r="Y137" i="3"/>
  <c r="CY137" i="3"/>
  <c r="CZ137" i="3"/>
  <c r="DB137" i="3" s="1"/>
  <c r="DA137" i="3"/>
  <c r="DC137" i="3"/>
  <c r="A138" i="3"/>
  <c r="Y138" i="3"/>
  <c r="CY138" i="3"/>
  <c r="CZ138" i="3"/>
  <c r="DB138" i="3" s="1"/>
  <c r="DA138" i="3"/>
  <c r="DC138" i="3"/>
  <c r="A139" i="3"/>
  <c r="Y139" i="3"/>
  <c r="CY139" i="3"/>
  <c r="CZ139" i="3"/>
  <c r="DA139" i="3"/>
  <c r="DB139" i="3"/>
  <c r="DC139" i="3"/>
  <c r="A140" i="3"/>
  <c r="Y140" i="3"/>
  <c r="CY140" i="3"/>
  <c r="CZ140" i="3"/>
  <c r="DB140" i="3" s="1"/>
  <c r="DA140" i="3"/>
  <c r="DC140" i="3"/>
  <c r="A141" i="3"/>
  <c r="Y141" i="3"/>
  <c r="CY141" i="3"/>
  <c r="CZ141" i="3"/>
  <c r="DA141" i="3"/>
  <c r="DB141" i="3"/>
  <c r="DC141" i="3"/>
  <c r="A142" i="3"/>
  <c r="Y142" i="3"/>
  <c r="CY142" i="3"/>
  <c r="CZ142" i="3"/>
  <c r="DA142" i="3"/>
  <c r="DB142" i="3"/>
  <c r="DC142" i="3"/>
  <c r="A143" i="3"/>
  <c r="Y143" i="3"/>
  <c r="CY143" i="3"/>
  <c r="CZ143" i="3"/>
  <c r="DB143" i="3" s="1"/>
  <c r="DA143" i="3"/>
  <c r="DC143" i="3"/>
  <c r="A144" i="3"/>
  <c r="Y144" i="3"/>
  <c r="CY144" i="3"/>
  <c r="CZ144" i="3"/>
  <c r="DA144" i="3"/>
  <c r="DB144" i="3"/>
  <c r="DC144" i="3"/>
  <c r="A145" i="3"/>
  <c r="Y145" i="3"/>
  <c r="CY145" i="3"/>
  <c r="CZ145" i="3"/>
  <c r="DB145" i="3" s="1"/>
  <c r="DA145" i="3"/>
  <c r="DC145" i="3"/>
  <c r="A146" i="3"/>
  <c r="Y146" i="3"/>
  <c r="CY146" i="3"/>
  <c r="CZ146" i="3"/>
  <c r="DA146" i="3"/>
  <c r="DB146" i="3"/>
  <c r="DC146" i="3"/>
  <c r="A147" i="3"/>
  <c r="Y147" i="3"/>
  <c r="CY147" i="3"/>
  <c r="CZ147" i="3"/>
  <c r="DB147" i="3" s="1"/>
  <c r="DA147" i="3"/>
  <c r="DC147" i="3"/>
  <c r="A148" i="3"/>
  <c r="Y148" i="3"/>
  <c r="CY148" i="3"/>
  <c r="CZ148" i="3"/>
  <c r="DB148" i="3" s="1"/>
  <c r="DA148" i="3"/>
  <c r="DC148" i="3"/>
  <c r="A149" i="3"/>
  <c r="Y149" i="3"/>
  <c r="CY149" i="3"/>
  <c r="CZ149" i="3"/>
  <c r="DA149" i="3"/>
  <c r="DB149" i="3"/>
  <c r="DC149" i="3"/>
  <c r="A150" i="3"/>
  <c r="Y150" i="3"/>
  <c r="CY150" i="3"/>
  <c r="CZ150" i="3"/>
  <c r="DB150" i="3" s="1"/>
  <c r="DA150" i="3"/>
  <c r="DC150" i="3"/>
  <c r="A151" i="3"/>
  <c r="Y151" i="3"/>
  <c r="CY151" i="3"/>
  <c r="CZ151" i="3"/>
  <c r="DA151" i="3"/>
  <c r="DB151" i="3"/>
  <c r="DC151" i="3"/>
  <c r="A152" i="3"/>
  <c r="Y152" i="3"/>
  <c r="CY152" i="3"/>
  <c r="CZ152" i="3"/>
  <c r="DB152" i="3" s="1"/>
  <c r="DA152" i="3"/>
  <c r="DC152" i="3"/>
  <c r="A153" i="3"/>
  <c r="Y153" i="3"/>
  <c r="CY153" i="3"/>
  <c r="CZ153" i="3"/>
  <c r="DA153" i="3"/>
  <c r="DB153" i="3"/>
  <c r="DC153" i="3"/>
  <c r="A154" i="3"/>
  <c r="Y154" i="3"/>
  <c r="CU154" i="3"/>
  <c r="CY154" i="3"/>
  <c r="CZ154" i="3"/>
  <c r="DA154" i="3"/>
  <c r="DB154" i="3"/>
  <c r="DC154" i="3"/>
  <c r="A155" i="3"/>
  <c r="Y155" i="3"/>
  <c r="CX155" i="3" s="1"/>
  <c r="DF155" i="3" s="1"/>
  <c r="CY155" i="3"/>
  <c r="CZ155" i="3"/>
  <c r="DA155" i="3"/>
  <c r="DB155" i="3"/>
  <c r="DC155" i="3"/>
  <c r="DI155" i="3"/>
  <c r="DJ155" i="3" s="1"/>
  <c r="A156" i="3"/>
  <c r="Y156" i="3"/>
  <c r="CY156" i="3"/>
  <c r="CZ156" i="3"/>
  <c r="DB156" i="3" s="1"/>
  <c r="DA156" i="3"/>
  <c r="DC156" i="3"/>
  <c r="A157" i="3"/>
  <c r="Y157" i="3"/>
  <c r="CX157" i="3" s="1"/>
  <c r="DI157" i="3" s="1"/>
  <c r="CW157" i="3"/>
  <c r="CY157" i="3"/>
  <c r="CZ157" i="3"/>
  <c r="DA157" i="3"/>
  <c r="DB157" i="3"/>
  <c r="DC157" i="3"/>
  <c r="DF157" i="3"/>
  <c r="DG157" i="3"/>
  <c r="DH157" i="3"/>
  <c r="A158" i="3"/>
  <c r="Y158" i="3"/>
  <c r="CY158" i="3"/>
  <c r="CZ158" i="3"/>
  <c r="DA158" i="3"/>
  <c r="DB158" i="3"/>
  <c r="DC158" i="3"/>
  <c r="A159" i="3"/>
  <c r="Y159" i="3"/>
  <c r="CX159" i="3"/>
  <c r="DF159" i="3" s="1"/>
  <c r="CY159" i="3"/>
  <c r="CZ159" i="3"/>
  <c r="DA159" i="3"/>
  <c r="DB159" i="3"/>
  <c r="DC159" i="3"/>
  <c r="DG159" i="3"/>
  <c r="DJ159" i="3"/>
  <c r="A160" i="3"/>
  <c r="Y160" i="3"/>
  <c r="CX160" i="3" s="1"/>
  <c r="DI160" i="3" s="1"/>
  <c r="CY160" i="3"/>
  <c r="CZ160" i="3"/>
  <c r="DB160" i="3" s="1"/>
  <c r="DA160" i="3"/>
  <c r="DC160" i="3"/>
  <c r="DF160" i="3"/>
  <c r="DG160" i="3"/>
  <c r="DH160" i="3"/>
  <c r="DJ160" i="3"/>
  <c r="A161" i="3"/>
  <c r="Y161" i="3"/>
  <c r="CX161" i="3"/>
  <c r="CY161" i="3"/>
  <c r="CZ161" i="3"/>
  <c r="DA161" i="3"/>
  <c r="DB161" i="3"/>
  <c r="DC161" i="3"/>
  <c r="DH161" i="3"/>
  <c r="DI161" i="3"/>
  <c r="A162" i="3"/>
  <c r="Y162" i="3"/>
  <c r="CX162" i="3" s="1"/>
  <c r="DH162" i="3" s="1"/>
  <c r="CY162" i="3"/>
  <c r="CZ162" i="3"/>
  <c r="DA162" i="3"/>
  <c r="DB162" i="3"/>
  <c r="DC162" i="3"/>
  <c r="DG162" i="3"/>
  <c r="DI162" i="3"/>
  <c r="A163" i="3"/>
  <c r="Y163" i="3"/>
  <c r="CX163" i="3" s="1"/>
  <c r="DF163" i="3" s="1"/>
  <c r="DJ163" i="3" s="1"/>
  <c r="CY163" i="3"/>
  <c r="CZ163" i="3"/>
  <c r="DA163" i="3"/>
  <c r="DB163" i="3"/>
  <c r="DC163" i="3"/>
  <c r="DH163" i="3"/>
  <c r="A164" i="3"/>
  <c r="Y164" i="3"/>
  <c r="CX164" i="3"/>
  <c r="DF164" i="3" s="1"/>
  <c r="CY164" i="3"/>
  <c r="CZ164" i="3"/>
  <c r="DB164" i="3" s="1"/>
  <c r="DA164" i="3"/>
  <c r="DC164" i="3"/>
  <c r="DG164" i="3"/>
  <c r="DJ164" i="3"/>
  <c r="A165" i="3"/>
  <c r="Y165" i="3"/>
  <c r="CX165" i="3"/>
  <c r="CY165" i="3"/>
  <c r="CZ165" i="3"/>
  <c r="DB165" i="3" s="1"/>
  <c r="DA165" i="3"/>
  <c r="DC165" i="3"/>
  <c r="DF165" i="3"/>
  <c r="DJ165" i="3" s="1"/>
  <c r="A166" i="3"/>
  <c r="Y166" i="3"/>
  <c r="CX166" i="3" s="1"/>
  <c r="CY166" i="3"/>
  <c r="CZ166" i="3"/>
  <c r="DA166" i="3"/>
  <c r="DB166" i="3"/>
  <c r="DC166" i="3"/>
  <c r="A167" i="3"/>
  <c r="Y167" i="3"/>
  <c r="CX167" i="3"/>
  <c r="CY167" i="3"/>
  <c r="CZ167" i="3"/>
  <c r="DB167" i="3" s="1"/>
  <c r="DA167" i="3"/>
  <c r="DC167" i="3"/>
  <c r="A168" i="3"/>
  <c r="Y168" i="3"/>
  <c r="CW168" i="3"/>
  <c r="CY168" i="3"/>
  <c r="CZ168" i="3"/>
  <c r="DB168" i="3" s="1"/>
  <c r="DA168" i="3"/>
  <c r="DC168" i="3"/>
  <c r="A169" i="3"/>
  <c r="Y169" i="3"/>
  <c r="CY169" i="3"/>
  <c r="CZ169" i="3"/>
  <c r="DA169" i="3"/>
  <c r="DB169" i="3"/>
  <c r="DC169" i="3"/>
  <c r="DG169" i="3"/>
  <c r="A170" i="3"/>
  <c r="Y170" i="3"/>
  <c r="CY170" i="3"/>
  <c r="CZ170" i="3"/>
  <c r="DA170" i="3"/>
  <c r="DB170" i="3"/>
  <c r="DC170" i="3"/>
  <c r="A171" i="3"/>
  <c r="Y171" i="3"/>
  <c r="CV171" i="3" s="1"/>
  <c r="CU171" i="3"/>
  <c r="CX171" i="3"/>
  <c r="CY171" i="3"/>
  <c r="CZ171" i="3"/>
  <c r="DA171" i="3"/>
  <c r="DB171" i="3"/>
  <c r="DC171" i="3"/>
  <c r="A172" i="3"/>
  <c r="Y172" i="3"/>
  <c r="CX172" i="3" s="1"/>
  <c r="CY172" i="3"/>
  <c r="CZ172" i="3"/>
  <c r="DA172" i="3"/>
  <c r="DB172" i="3"/>
  <c r="DC172" i="3"/>
  <c r="A173" i="3"/>
  <c r="Y173" i="3"/>
  <c r="CY173" i="3"/>
  <c r="CZ173" i="3"/>
  <c r="DB173" i="3" s="1"/>
  <c r="DA173" i="3"/>
  <c r="DC173" i="3"/>
  <c r="A174" i="3"/>
  <c r="Y174" i="3"/>
  <c r="CX174" i="3" s="1"/>
  <c r="CY174" i="3"/>
  <c r="CZ174" i="3"/>
  <c r="DB174" i="3" s="1"/>
  <c r="DA174" i="3"/>
  <c r="DC174" i="3"/>
  <c r="DI174" i="3"/>
  <c r="A175" i="3"/>
  <c r="Y175" i="3"/>
  <c r="CW175" i="3"/>
  <c r="CX175" i="3"/>
  <c r="CY175" i="3"/>
  <c r="CZ175" i="3"/>
  <c r="DA175" i="3"/>
  <c r="DB175" i="3"/>
  <c r="DC175" i="3"/>
  <c r="A176" i="3"/>
  <c r="Y176" i="3"/>
  <c r="CY176" i="3"/>
  <c r="CZ176" i="3"/>
  <c r="DB176" i="3" s="1"/>
  <c r="DA176" i="3"/>
  <c r="DC176" i="3"/>
  <c r="A177" i="3"/>
  <c r="Y177" i="3"/>
  <c r="CW177" i="3" s="1"/>
  <c r="CX177" i="3"/>
  <c r="CY177" i="3"/>
  <c r="CZ177" i="3"/>
  <c r="DA177" i="3"/>
  <c r="DB177" i="3"/>
  <c r="DC177" i="3"/>
  <c r="A178" i="3"/>
  <c r="Y178" i="3"/>
  <c r="CX178" i="3" s="1"/>
  <c r="DG178" i="3" s="1"/>
  <c r="CW178" i="3"/>
  <c r="CY178" i="3"/>
  <c r="CZ178" i="3"/>
  <c r="DA178" i="3"/>
  <c r="DB178" i="3"/>
  <c r="DC178" i="3"/>
  <c r="DF178" i="3"/>
  <c r="DH178" i="3"/>
  <c r="A179" i="3"/>
  <c r="Y179" i="3"/>
  <c r="CX179" i="3" s="1"/>
  <c r="CW179" i="3"/>
  <c r="CY179" i="3"/>
  <c r="CZ179" i="3"/>
  <c r="DA179" i="3"/>
  <c r="DB179" i="3"/>
  <c r="DC179" i="3"/>
  <c r="A180" i="3"/>
  <c r="Y180" i="3"/>
  <c r="CX180" i="3"/>
  <c r="CY180" i="3"/>
  <c r="CZ180" i="3"/>
  <c r="DA180" i="3"/>
  <c r="DB180" i="3"/>
  <c r="DC180" i="3"/>
  <c r="DF180" i="3"/>
  <c r="DJ180" i="3" s="1"/>
  <c r="DG180" i="3"/>
  <c r="A181" i="3"/>
  <c r="Y181" i="3"/>
  <c r="CX181" i="3" s="1"/>
  <c r="CY181" i="3"/>
  <c r="CZ181" i="3"/>
  <c r="DB181" i="3" s="1"/>
  <c r="DA181" i="3"/>
  <c r="DC181" i="3"/>
  <c r="A182" i="3"/>
  <c r="Y182" i="3"/>
  <c r="CX182" i="3"/>
  <c r="DH182" i="3" s="1"/>
  <c r="CY182" i="3"/>
  <c r="CZ182" i="3"/>
  <c r="DB182" i="3" s="1"/>
  <c r="DA182" i="3"/>
  <c r="DC182" i="3"/>
  <c r="DF182" i="3"/>
  <c r="DJ182" i="3" s="1"/>
  <c r="DG182" i="3"/>
  <c r="DI182" i="3"/>
  <c r="A183" i="3"/>
  <c r="Y183" i="3"/>
  <c r="CY183" i="3"/>
  <c r="CZ183" i="3"/>
  <c r="DB183" i="3" s="1"/>
  <c r="DA183" i="3"/>
  <c r="DC183" i="3"/>
  <c r="A184" i="3"/>
  <c r="Y184" i="3"/>
  <c r="CY184" i="3"/>
  <c r="CZ184" i="3"/>
  <c r="DB184" i="3" s="1"/>
  <c r="DA184" i="3"/>
  <c r="DC184" i="3"/>
  <c r="A185" i="3"/>
  <c r="Y185" i="3"/>
  <c r="CY185" i="3"/>
  <c r="CZ185" i="3"/>
  <c r="DA185" i="3"/>
  <c r="DB185" i="3"/>
  <c r="DC185" i="3"/>
  <c r="A186" i="3"/>
  <c r="Y186" i="3"/>
  <c r="CY186" i="3"/>
  <c r="CZ186" i="3"/>
  <c r="DB186" i="3" s="1"/>
  <c r="DA186" i="3"/>
  <c r="DC186" i="3"/>
  <c r="A187" i="3"/>
  <c r="Y187" i="3"/>
  <c r="CV187" i="3"/>
  <c r="U189" i="1" s="1"/>
  <c r="G687" i="7" s="1"/>
  <c r="CY187" i="3"/>
  <c r="CZ187" i="3"/>
  <c r="DA187" i="3"/>
  <c r="DB187" i="3"/>
  <c r="DC187" i="3"/>
  <c r="A188" i="3"/>
  <c r="Y188" i="3"/>
  <c r="CY188" i="3"/>
  <c r="CZ188" i="3"/>
  <c r="DA188" i="3"/>
  <c r="DB188" i="3"/>
  <c r="DC188" i="3"/>
  <c r="A189" i="3"/>
  <c r="Y189" i="3"/>
  <c r="CY189" i="3"/>
  <c r="CZ189" i="3"/>
  <c r="DA189" i="3"/>
  <c r="DB189" i="3"/>
  <c r="DC189" i="3"/>
  <c r="A190" i="3"/>
  <c r="Y190" i="3"/>
  <c r="CY190" i="3"/>
  <c r="CZ190" i="3"/>
  <c r="DB190" i="3" s="1"/>
  <c r="DA190" i="3"/>
  <c r="DC190" i="3"/>
  <c r="A191" i="3"/>
  <c r="Y191" i="3"/>
  <c r="CY191" i="3"/>
  <c r="CZ191" i="3"/>
  <c r="DB191" i="3" s="1"/>
  <c r="DA191" i="3"/>
  <c r="DC191" i="3"/>
  <c r="A192" i="3"/>
  <c r="Y192" i="3"/>
  <c r="CY192" i="3"/>
  <c r="CZ192" i="3"/>
  <c r="DA192" i="3"/>
  <c r="DB192" i="3"/>
  <c r="DC192" i="3"/>
  <c r="A193" i="3"/>
  <c r="Y193" i="3"/>
  <c r="CY193" i="3"/>
  <c r="CZ193" i="3"/>
  <c r="DB193" i="3" s="1"/>
  <c r="DA193" i="3"/>
  <c r="DC193" i="3"/>
  <c r="A194" i="3"/>
  <c r="Y194" i="3"/>
  <c r="CW194" i="3"/>
  <c r="CX194" i="3"/>
  <c r="CY194" i="3"/>
  <c r="CZ194" i="3"/>
  <c r="DA194" i="3"/>
  <c r="DB194" i="3"/>
  <c r="DC194" i="3"/>
  <c r="A195" i="3"/>
  <c r="Y195" i="3"/>
  <c r="CY195" i="3"/>
  <c r="CZ195" i="3"/>
  <c r="DB195" i="3" s="1"/>
  <c r="DA195" i="3"/>
  <c r="DC195" i="3"/>
  <c r="A196" i="3"/>
  <c r="Y196" i="3"/>
  <c r="CY196" i="3"/>
  <c r="CZ196" i="3"/>
  <c r="DB196" i="3" s="1"/>
  <c r="DA196" i="3"/>
  <c r="DC196" i="3"/>
  <c r="A197" i="3"/>
  <c r="Y197" i="3"/>
  <c r="CY197" i="3"/>
  <c r="CZ197" i="3"/>
  <c r="DB197" i="3" s="1"/>
  <c r="DA197" i="3"/>
  <c r="DC197" i="3"/>
  <c r="A198" i="3"/>
  <c r="Y198" i="3"/>
  <c r="CU198" i="3"/>
  <c r="CV198" i="3"/>
  <c r="U192" i="1" s="1"/>
  <c r="G720" i="7" s="1"/>
  <c r="CX198" i="3"/>
  <c r="CY198" i="3"/>
  <c r="CZ198" i="3"/>
  <c r="DA198" i="3"/>
  <c r="DB198" i="3"/>
  <c r="DC198" i="3"/>
  <c r="A199" i="3"/>
  <c r="Y199" i="3"/>
  <c r="CX199" i="3" s="1"/>
  <c r="CY199" i="3"/>
  <c r="CZ199" i="3"/>
  <c r="DB199" i="3" s="1"/>
  <c r="DA199" i="3"/>
  <c r="DC199" i="3"/>
  <c r="DH199" i="3"/>
  <c r="A200" i="3"/>
  <c r="Y200" i="3"/>
  <c r="CW200" i="3"/>
  <c r="CX200" i="3"/>
  <c r="DG200" i="3" s="1"/>
  <c r="CY200" i="3"/>
  <c r="CZ200" i="3"/>
  <c r="DB200" i="3" s="1"/>
  <c r="DA200" i="3"/>
  <c r="DC200" i="3"/>
  <c r="DF200" i="3"/>
  <c r="DI200" i="3"/>
  <c r="A201" i="3"/>
  <c r="Y201" i="3"/>
  <c r="CY201" i="3"/>
  <c r="CZ201" i="3"/>
  <c r="DA201" i="3"/>
  <c r="DB201" i="3"/>
  <c r="DC201" i="3"/>
  <c r="A202" i="3"/>
  <c r="Y202" i="3"/>
  <c r="CW202" i="3" s="1"/>
  <c r="CY202" i="3"/>
  <c r="CZ202" i="3"/>
  <c r="DA202" i="3"/>
  <c r="DB202" i="3"/>
  <c r="DC202" i="3"/>
  <c r="A203" i="3"/>
  <c r="Y203" i="3"/>
  <c r="CX203" i="3" s="1"/>
  <c r="CW203" i="3"/>
  <c r="CY203" i="3"/>
  <c r="CZ203" i="3"/>
  <c r="DA203" i="3"/>
  <c r="DB203" i="3"/>
  <c r="DC203" i="3"/>
  <c r="DG203" i="3"/>
  <c r="DJ203" i="3" s="1"/>
  <c r="DH203" i="3"/>
  <c r="A204" i="3"/>
  <c r="Y204" i="3"/>
  <c r="CX204" i="3" s="1"/>
  <c r="CY204" i="3"/>
  <c r="CZ204" i="3"/>
  <c r="DA204" i="3"/>
  <c r="DB204" i="3"/>
  <c r="DC204" i="3"/>
  <c r="A205" i="3"/>
  <c r="Y205" i="3"/>
  <c r="CX205" i="3" s="1"/>
  <c r="DF205" i="3" s="1"/>
  <c r="DJ205" i="3" s="1"/>
  <c r="CY205" i="3"/>
  <c r="CZ205" i="3"/>
  <c r="DB205" i="3" s="1"/>
  <c r="DA205" i="3"/>
  <c r="DC205" i="3"/>
  <c r="DG205" i="3"/>
  <c r="A206" i="3"/>
  <c r="Y206" i="3"/>
  <c r="CX206" i="3"/>
  <c r="DI206" i="3" s="1"/>
  <c r="CY206" i="3"/>
  <c r="CZ206" i="3"/>
  <c r="DA206" i="3"/>
  <c r="DB206" i="3"/>
  <c r="DC206" i="3"/>
  <c r="DF206" i="3"/>
  <c r="DJ206" i="3" s="1"/>
  <c r="DG206" i="3"/>
  <c r="DH206" i="3"/>
  <c r="A207" i="3"/>
  <c r="Y207" i="3"/>
  <c r="CX207" i="3"/>
  <c r="CY207" i="3"/>
  <c r="CZ207" i="3"/>
  <c r="DB207" i="3" s="1"/>
  <c r="DA207" i="3"/>
  <c r="DC207" i="3"/>
  <c r="A208" i="3"/>
  <c r="Y208" i="3"/>
  <c r="CX208" i="3" s="1"/>
  <c r="DF208" i="3" s="1"/>
  <c r="CY208" i="3"/>
  <c r="CZ208" i="3"/>
  <c r="DA208" i="3"/>
  <c r="DB208" i="3"/>
  <c r="DC208" i="3"/>
  <c r="DH208" i="3"/>
  <c r="DI208" i="3"/>
  <c r="DJ208" i="3"/>
  <c r="A209" i="3"/>
  <c r="Y209" i="3"/>
  <c r="CX209" i="3" s="1"/>
  <c r="CY209" i="3"/>
  <c r="CZ209" i="3"/>
  <c r="DA209" i="3"/>
  <c r="DB209" i="3"/>
  <c r="DC209" i="3"/>
  <c r="DI209" i="3"/>
  <c r="A210" i="3"/>
  <c r="Y210" i="3"/>
  <c r="CX210" i="3" s="1"/>
  <c r="CV210" i="3"/>
  <c r="CY210" i="3"/>
  <c r="CZ210" i="3"/>
  <c r="DA210" i="3"/>
  <c r="DB210" i="3"/>
  <c r="DC210" i="3"/>
  <c r="DG210" i="3"/>
  <c r="DI210" i="3"/>
  <c r="A211" i="3"/>
  <c r="Y211" i="3"/>
  <c r="CX211" i="3"/>
  <c r="CY211" i="3"/>
  <c r="CZ211" i="3"/>
  <c r="DB211" i="3" s="1"/>
  <c r="DA211" i="3"/>
  <c r="DC211" i="3"/>
  <c r="A212" i="3"/>
  <c r="Y212" i="3"/>
  <c r="CW212" i="3"/>
  <c r="CY212" i="3"/>
  <c r="CZ212" i="3"/>
  <c r="DB212" i="3" s="1"/>
  <c r="DA212" i="3"/>
  <c r="DC212" i="3"/>
  <c r="A213" i="3"/>
  <c r="Y213" i="3"/>
  <c r="CY213" i="3"/>
  <c r="CZ213" i="3"/>
  <c r="DA213" i="3"/>
  <c r="DB213" i="3"/>
  <c r="DC213" i="3"/>
  <c r="A214" i="3"/>
  <c r="Y214" i="3"/>
  <c r="CX214" i="3"/>
  <c r="DH214" i="3" s="1"/>
  <c r="CY214" i="3"/>
  <c r="CZ214" i="3"/>
  <c r="DB214" i="3" s="1"/>
  <c r="DA214" i="3"/>
  <c r="DC214" i="3"/>
  <c r="DF214" i="3"/>
  <c r="DJ214" i="3" s="1"/>
  <c r="A215" i="3"/>
  <c r="Y215" i="3"/>
  <c r="CU215" i="3"/>
  <c r="CY215" i="3"/>
  <c r="CZ215" i="3"/>
  <c r="DA215" i="3"/>
  <c r="DB215" i="3"/>
  <c r="DC215" i="3"/>
  <c r="A216" i="3"/>
  <c r="Y216" i="3"/>
  <c r="CU216" i="3"/>
  <c r="CV216" i="3"/>
  <c r="CX216" i="3"/>
  <c r="CY216" i="3"/>
  <c r="CZ216" i="3"/>
  <c r="DB216" i="3" s="1"/>
  <c r="DA216" i="3"/>
  <c r="DC216" i="3"/>
  <c r="DG216" i="3"/>
  <c r="A217" i="3"/>
  <c r="Y217" i="3"/>
  <c r="CU217" i="3"/>
  <c r="CY217" i="3"/>
  <c r="CZ217" i="3"/>
  <c r="DB217" i="3" s="1"/>
  <c r="DA217" i="3"/>
  <c r="DC217" i="3"/>
  <c r="A218" i="3"/>
  <c r="Y218" i="3"/>
  <c r="CU218" i="3"/>
  <c r="CV218" i="3"/>
  <c r="CX218" i="3"/>
  <c r="DI218" i="3" s="1"/>
  <c r="DJ218" i="3" s="1"/>
  <c r="CY218" i="3"/>
  <c r="CZ218" i="3"/>
  <c r="DB218" i="3" s="1"/>
  <c r="DA218" i="3"/>
  <c r="DC218" i="3"/>
  <c r="DF218" i="3"/>
  <c r="A219" i="3"/>
  <c r="Y219" i="3"/>
  <c r="CV219" i="3" s="1"/>
  <c r="CU219" i="3"/>
  <c r="CX219" i="3"/>
  <c r="DI219" i="3" s="1"/>
  <c r="DJ219" i="3" s="1"/>
  <c r="CY219" i="3"/>
  <c r="CZ219" i="3"/>
  <c r="DB219" i="3" s="1"/>
  <c r="DA219" i="3"/>
  <c r="DC219" i="3"/>
  <c r="DF219" i="3"/>
  <c r="DG219" i="3"/>
  <c r="DH219" i="3"/>
  <c r="A220" i="3"/>
  <c r="Y220" i="3"/>
  <c r="CX220" i="3" s="1"/>
  <c r="CY220" i="3"/>
  <c r="CZ220" i="3"/>
  <c r="DB220" i="3" s="1"/>
  <c r="DA220" i="3"/>
  <c r="DC220" i="3"/>
  <c r="A221" i="3"/>
  <c r="Y221" i="3"/>
  <c r="CY221" i="3"/>
  <c r="CZ221" i="3"/>
  <c r="DB221" i="3" s="1"/>
  <c r="DA221" i="3"/>
  <c r="DC221" i="3"/>
  <c r="A222" i="3"/>
  <c r="Y222" i="3"/>
  <c r="CW222" i="3"/>
  <c r="CX222" i="3"/>
  <c r="CY222" i="3"/>
  <c r="CZ222" i="3"/>
  <c r="DA222" i="3"/>
  <c r="DB222" i="3"/>
  <c r="DC222" i="3"/>
  <c r="DF222" i="3"/>
  <c r="DG222" i="3"/>
  <c r="DH222" i="3"/>
  <c r="DI222" i="3"/>
  <c r="A223" i="3"/>
  <c r="Y223" i="3"/>
  <c r="CX223" i="3" s="1"/>
  <c r="CY223" i="3"/>
  <c r="CZ223" i="3"/>
  <c r="DB223" i="3" s="1"/>
  <c r="DA223" i="3"/>
  <c r="DC223" i="3"/>
  <c r="DI223" i="3"/>
  <c r="A224" i="3"/>
  <c r="Y224" i="3"/>
  <c r="CX224" i="3"/>
  <c r="DH224" i="3" s="1"/>
  <c r="CY224" i="3"/>
  <c r="CZ224" i="3"/>
  <c r="DB224" i="3" s="1"/>
  <c r="DA224" i="3"/>
  <c r="DC224" i="3"/>
  <c r="DF224" i="3"/>
  <c r="DJ224" i="3" s="1"/>
  <c r="A225" i="3"/>
  <c r="Y225" i="3"/>
  <c r="CX225" i="3"/>
  <c r="CY225" i="3"/>
  <c r="CZ225" i="3"/>
  <c r="DB225" i="3" s="1"/>
  <c r="DA225" i="3"/>
  <c r="DC225" i="3"/>
  <c r="DI225" i="3"/>
  <c r="A226" i="3"/>
  <c r="Y226" i="3"/>
  <c r="CX226" i="3" s="1"/>
  <c r="CY226" i="3"/>
  <c r="CZ226" i="3"/>
  <c r="DB226" i="3" s="1"/>
  <c r="DA226" i="3"/>
  <c r="DC226" i="3"/>
  <c r="A227" i="3"/>
  <c r="Y227" i="3"/>
  <c r="CX227" i="3" s="1"/>
  <c r="CY227" i="3"/>
  <c r="CZ227" i="3"/>
  <c r="DB227" i="3" s="1"/>
  <c r="DA227" i="3"/>
  <c r="DC227" i="3"/>
  <c r="A228" i="3"/>
  <c r="Y228" i="3"/>
  <c r="CX228" i="3"/>
  <c r="DH228" i="3" s="1"/>
  <c r="CY228" i="3"/>
  <c r="CZ228" i="3"/>
  <c r="DB228" i="3" s="1"/>
  <c r="DA228" i="3"/>
  <c r="DC228" i="3"/>
  <c r="DF228" i="3"/>
  <c r="DJ228" i="3" s="1"/>
  <c r="DG228" i="3"/>
  <c r="A229" i="3"/>
  <c r="Y229" i="3"/>
  <c r="CU229" i="3"/>
  <c r="CV229" i="3"/>
  <c r="CX229" i="3"/>
  <c r="DG229" i="3" s="1"/>
  <c r="CY229" i="3"/>
  <c r="CZ229" i="3"/>
  <c r="DB229" i="3" s="1"/>
  <c r="DA229" i="3"/>
  <c r="DC229" i="3"/>
  <c r="DF229" i="3"/>
  <c r="DH229" i="3"/>
  <c r="DI229" i="3"/>
  <c r="DJ229" i="3" s="1"/>
  <c r="A230" i="3"/>
  <c r="Y230" i="3"/>
  <c r="CY230" i="3"/>
  <c r="CZ230" i="3"/>
  <c r="DB230" i="3" s="1"/>
  <c r="DA230" i="3"/>
  <c r="DC230" i="3"/>
  <c r="A231" i="3"/>
  <c r="Y231" i="3"/>
  <c r="CW231" i="3"/>
  <c r="CX231" i="3"/>
  <c r="DI231" i="3" s="1"/>
  <c r="CY231" i="3"/>
  <c r="CZ231" i="3"/>
  <c r="DB231" i="3" s="1"/>
  <c r="DA231" i="3"/>
  <c r="DC231" i="3"/>
  <c r="DF231" i="3"/>
  <c r="DG231" i="3"/>
  <c r="DJ231" i="3" s="1"/>
  <c r="DH231" i="3"/>
  <c r="A232" i="3"/>
  <c r="Y232" i="3"/>
  <c r="CW232" i="3"/>
  <c r="CX232" i="3"/>
  <c r="CY232" i="3"/>
  <c r="CZ232" i="3"/>
  <c r="DA232" i="3"/>
  <c r="DB232" i="3"/>
  <c r="DC232" i="3"/>
  <c r="A233" i="3"/>
  <c r="Y233" i="3"/>
  <c r="CX233" i="3" s="1"/>
  <c r="CY233" i="3"/>
  <c r="CZ233" i="3"/>
  <c r="DB233" i="3" s="1"/>
  <c r="DA233" i="3"/>
  <c r="DC233" i="3"/>
  <c r="DG233" i="3"/>
  <c r="A234" i="3"/>
  <c r="Y234" i="3"/>
  <c r="CX234" i="3"/>
  <c r="CY234" i="3"/>
  <c r="CZ234" i="3"/>
  <c r="DB234" i="3" s="1"/>
  <c r="DA234" i="3"/>
  <c r="DC234" i="3"/>
  <c r="A235" i="3"/>
  <c r="Y235" i="3"/>
  <c r="CX235" i="3"/>
  <c r="DF235" i="3" s="1"/>
  <c r="CY235" i="3"/>
  <c r="CZ235" i="3"/>
  <c r="DA235" i="3"/>
  <c r="DB235" i="3"/>
  <c r="DC235" i="3"/>
  <c r="DG235" i="3"/>
  <c r="DJ235" i="3"/>
  <c r="A236" i="3"/>
  <c r="Y236" i="3"/>
  <c r="CU236" i="3"/>
  <c r="CV236" i="3"/>
  <c r="U200" i="1" s="1"/>
  <c r="G810" i="7" s="1"/>
  <c r="CX236" i="3"/>
  <c r="CY236" i="3"/>
  <c r="CZ236" i="3"/>
  <c r="DB236" i="3" s="1"/>
  <c r="DA236" i="3"/>
  <c r="DC236" i="3"/>
  <c r="DF236" i="3"/>
  <c r="DI236" i="3"/>
  <c r="DJ236" i="3" s="1"/>
  <c r="A237" i="3"/>
  <c r="Y237" i="3"/>
  <c r="CX237" i="3" s="1"/>
  <c r="DF237" i="3" s="1"/>
  <c r="CY237" i="3"/>
  <c r="CZ237" i="3"/>
  <c r="DB237" i="3" s="1"/>
  <c r="DA237" i="3"/>
  <c r="DC237" i="3"/>
  <c r="DG237" i="3"/>
  <c r="DI237" i="3"/>
  <c r="DJ237" i="3" s="1"/>
  <c r="A238" i="3"/>
  <c r="Y238" i="3"/>
  <c r="CW238" i="3"/>
  <c r="CX238" i="3"/>
  <c r="CY238" i="3"/>
  <c r="CZ238" i="3"/>
  <c r="DB238" i="3" s="1"/>
  <c r="DA238" i="3"/>
  <c r="DC238" i="3"/>
  <c r="DF238" i="3"/>
  <c r="DH238" i="3"/>
  <c r="A239" i="3"/>
  <c r="Y239" i="3"/>
  <c r="CW239" i="3" s="1"/>
  <c r="CX239" i="3"/>
  <c r="DH239" i="3" s="1"/>
  <c r="CY239" i="3"/>
  <c r="CZ239" i="3"/>
  <c r="DB239" i="3" s="1"/>
  <c r="DA239" i="3"/>
  <c r="DC239" i="3"/>
  <c r="A240" i="3"/>
  <c r="Y240" i="3"/>
  <c r="CX240" i="3"/>
  <c r="CY240" i="3"/>
  <c r="CZ240" i="3"/>
  <c r="DB240" i="3" s="1"/>
  <c r="DA240" i="3"/>
  <c r="DC240" i="3"/>
  <c r="A241" i="3"/>
  <c r="Y241" i="3"/>
  <c r="CU241" i="3"/>
  <c r="CV241" i="3"/>
  <c r="U203" i="1" s="1"/>
  <c r="G826" i="7" s="1"/>
  <c r="CX241" i="3"/>
  <c r="CY241" i="3"/>
  <c r="CZ241" i="3"/>
  <c r="DA241" i="3"/>
  <c r="DB241" i="3"/>
  <c r="DC241" i="3"/>
  <c r="DF241" i="3"/>
  <c r="DG241" i="3"/>
  <c r="A242" i="3"/>
  <c r="Y242" i="3"/>
  <c r="CY242" i="3"/>
  <c r="CZ242" i="3"/>
  <c r="DA242" i="3"/>
  <c r="DB242" i="3"/>
  <c r="DC242" i="3"/>
  <c r="A243" i="3"/>
  <c r="Y243" i="3"/>
  <c r="CW243" i="3" s="1"/>
  <c r="CX243" i="3"/>
  <c r="CY243" i="3"/>
  <c r="CZ243" i="3"/>
  <c r="DA243" i="3"/>
  <c r="DB243" i="3"/>
  <c r="DC243" i="3"/>
  <c r="DF243" i="3"/>
  <c r="DG243" i="3"/>
  <c r="A244" i="3"/>
  <c r="Y244" i="3"/>
  <c r="CX244" i="3"/>
  <c r="CY244" i="3"/>
  <c r="CZ244" i="3"/>
  <c r="DB244" i="3" s="1"/>
  <c r="DA244" i="3"/>
  <c r="DC244" i="3"/>
  <c r="DG244" i="3"/>
  <c r="A245" i="3"/>
  <c r="Y245" i="3"/>
  <c r="CX245" i="3" s="1"/>
  <c r="DF245" i="3" s="1"/>
  <c r="DJ245" i="3" s="1"/>
  <c r="CY245" i="3"/>
  <c r="CZ245" i="3"/>
  <c r="DA245" i="3"/>
  <c r="DB245" i="3"/>
  <c r="DC245" i="3"/>
  <c r="A246" i="3"/>
  <c r="Y246" i="3"/>
  <c r="CX246" i="3"/>
  <c r="CY246" i="3"/>
  <c r="CZ246" i="3"/>
  <c r="DA246" i="3"/>
  <c r="DB246" i="3"/>
  <c r="DC246" i="3"/>
  <c r="DG246" i="3"/>
  <c r="DH246" i="3"/>
  <c r="A247" i="3"/>
  <c r="Y247" i="3"/>
  <c r="CX247" i="3" s="1"/>
  <c r="CU247" i="3"/>
  <c r="CV247" i="3"/>
  <c r="CY247" i="3"/>
  <c r="CZ247" i="3"/>
  <c r="DB247" i="3" s="1"/>
  <c r="DA247" i="3"/>
  <c r="DC247" i="3"/>
  <c r="A248" i="3"/>
  <c r="Y248" i="3"/>
  <c r="CY248" i="3"/>
  <c r="CZ248" i="3"/>
  <c r="DA248" i="3"/>
  <c r="DB248" i="3"/>
  <c r="DC248" i="3"/>
  <c r="A249" i="3"/>
  <c r="Y249" i="3"/>
  <c r="CX249" i="3" s="1"/>
  <c r="DG249" i="3" s="1"/>
  <c r="CY249" i="3"/>
  <c r="CZ249" i="3"/>
  <c r="DB249" i="3" s="1"/>
  <c r="DA249" i="3"/>
  <c r="DC249" i="3"/>
  <c r="A250" i="3"/>
  <c r="Y250" i="3"/>
  <c r="CX250" i="3" s="1"/>
  <c r="CY250" i="3"/>
  <c r="CZ250" i="3"/>
  <c r="DA250" i="3"/>
  <c r="DB250" i="3"/>
  <c r="DC250" i="3"/>
  <c r="DH250" i="3"/>
  <c r="DI250" i="3"/>
  <c r="D12" i="1"/>
  <c r="E18" i="1"/>
  <c r="G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C22" i="1"/>
  <c r="E22" i="1"/>
  <c r="F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B26" i="1"/>
  <c r="C26" i="1"/>
  <c r="E26" i="1"/>
  <c r="Z26" i="1"/>
  <c r="AA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CL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C28" i="1"/>
  <c r="D28" i="1"/>
  <c r="I28" i="1"/>
  <c r="K28" i="1"/>
  <c r="U28" i="1"/>
  <c r="AC28" i="1"/>
  <c r="AE28" i="1"/>
  <c r="AD28" i="1" s="1"/>
  <c r="AB28" i="1" s="1"/>
  <c r="AF28" i="1"/>
  <c r="AG28" i="1"/>
  <c r="AH28" i="1"/>
  <c r="AI28" i="1"/>
  <c r="AJ28" i="1"/>
  <c r="CX28" i="1" s="1"/>
  <c r="W28" i="1" s="1"/>
  <c r="AJ35" i="1" s="1"/>
  <c r="CQ28" i="1"/>
  <c r="CR28" i="1"/>
  <c r="CS28" i="1"/>
  <c r="CT28" i="1"/>
  <c r="CU28" i="1"/>
  <c r="CV28" i="1"/>
  <c r="CW28" i="1"/>
  <c r="GL28" i="1"/>
  <c r="GO28" i="1"/>
  <c r="GP28" i="1"/>
  <c r="GV28" i="1"/>
  <c r="HC28" i="1" s="1"/>
  <c r="C29" i="1"/>
  <c r="D29" i="1"/>
  <c r="I29" i="1"/>
  <c r="CU3" i="3" s="1"/>
  <c r="K29" i="1"/>
  <c r="V29" i="1"/>
  <c r="AC29" i="1"/>
  <c r="AE29" i="1"/>
  <c r="AD29" i="1" s="1"/>
  <c r="AF29" i="1"/>
  <c r="AB29" i="1" s="1"/>
  <c r="AG29" i="1"/>
  <c r="CU29" i="1" s="1"/>
  <c r="T29" i="1" s="1"/>
  <c r="AH29" i="1"/>
  <c r="AI29" i="1"/>
  <c r="AJ29" i="1"/>
  <c r="CX29" i="1" s="1"/>
  <c r="W29" i="1" s="1"/>
  <c r="CQ29" i="1"/>
  <c r="CR29" i="1"/>
  <c r="CS29" i="1"/>
  <c r="CT29" i="1"/>
  <c r="CV29" i="1"/>
  <c r="CW29" i="1"/>
  <c r="GL29" i="1"/>
  <c r="GO29" i="1"/>
  <c r="GP29" i="1"/>
  <c r="GV29" i="1"/>
  <c r="HC29" i="1" s="1"/>
  <c r="GX29" i="1" s="1"/>
  <c r="C30" i="1"/>
  <c r="D30" i="1"/>
  <c r="I30" i="1"/>
  <c r="K30" i="1"/>
  <c r="W30" i="1"/>
  <c r="AC30" i="1"/>
  <c r="AE30" i="1"/>
  <c r="AD30" i="1" s="1"/>
  <c r="AF30" i="1"/>
  <c r="AG30" i="1"/>
  <c r="AH30" i="1"/>
  <c r="AI30" i="1"/>
  <c r="AJ30" i="1"/>
  <c r="CX30" i="1" s="1"/>
  <c r="CQ30" i="1"/>
  <c r="CR30" i="1"/>
  <c r="CS30" i="1"/>
  <c r="CT30" i="1"/>
  <c r="CU30" i="1"/>
  <c r="T30" i="1" s="1"/>
  <c r="CV30" i="1"/>
  <c r="CW30" i="1"/>
  <c r="GL30" i="1"/>
  <c r="GO30" i="1"/>
  <c r="GP30" i="1"/>
  <c r="GV30" i="1"/>
  <c r="HC30" i="1" s="1"/>
  <c r="GX30" i="1" s="1"/>
  <c r="S31" i="1"/>
  <c r="U31" i="1"/>
  <c r="V31" i="1"/>
  <c r="AC31" i="1"/>
  <c r="AD31" i="1"/>
  <c r="AE31" i="1"/>
  <c r="AF31" i="1"/>
  <c r="AG31" i="1"/>
  <c r="CU31" i="1" s="1"/>
  <c r="T31" i="1" s="1"/>
  <c r="AH31" i="1"/>
  <c r="AI31" i="1"/>
  <c r="AJ31" i="1"/>
  <c r="CQ31" i="1"/>
  <c r="P31" i="1" s="1"/>
  <c r="CP31" i="1" s="1"/>
  <c r="O31" i="1" s="1"/>
  <c r="GM31" i="1" s="1"/>
  <c r="GN31" i="1" s="1"/>
  <c r="CR31" i="1"/>
  <c r="Q31" i="1" s="1"/>
  <c r="CS31" i="1"/>
  <c r="R31" i="1" s="1"/>
  <c r="CT31" i="1"/>
  <c r="CV31" i="1"/>
  <c r="CW31" i="1"/>
  <c r="CX31" i="1"/>
  <c r="W31" i="1" s="1"/>
  <c r="CY31" i="1"/>
  <c r="X31" i="1" s="1"/>
  <c r="CZ31" i="1"/>
  <c r="Y31" i="1" s="1"/>
  <c r="GL31" i="1"/>
  <c r="GO31" i="1"/>
  <c r="GP31" i="1"/>
  <c r="GV31" i="1"/>
  <c r="HC31" i="1" s="1"/>
  <c r="GX31" i="1" s="1"/>
  <c r="C32" i="1"/>
  <c r="D32" i="1"/>
  <c r="I32" i="1"/>
  <c r="K32" i="1"/>
  <c r="U32" i="1"/>
  <c r="AC32" i="1"/>
  <c r="AE32" i="1"/>
  <c r="AD32" i="1" s="1"/>
  <c r="AF32" i="1"/>
  <c r="AG32" i="1"/>
  <c r="CU32" i="1" s="1"/>
  <c r="T32" i="1" s="1"/>
  <c r="AH32" i="1"/>
  <c r="AI32" i="1"/>
  <c r="AJ32" i="1"/>
  <c r="CX32" i="1" s="1"/>
  <c r="W32" i="1" s="1"/>
  <c r="CQ32" i="1"/>
  <c r="CR32" i="1"/>
  <c r="CS32" i="1"/>
  <c r="CT32" i="1"/>
  <c r="CV32" i="1"/>
  <c r="CW32" i="1"/>
  <c r="GL32" i="1"/>
  <c r="GO32" i="1"/>
  <c r="GP32" i="1"/>
  <c r="GV32" i="1"/>
  <c r="HC32" i="1"/>
  <c r="GX32" i="1" s="1"/>
  <c r="C33" i="1"/>
  <c r="D33" i="1"/>
  <c r="I33" i="1"/>
  <c r="K33" i="1"/>
  <c r="V33" i="1"/>
  <c r="W33" i="1"/>
  <c r="AC33" i="1"/>
  <c r="AD33" i="1"/>
  <c r="AE33" i="1"/>
  <c r="AF33" i="1"/>
  <c r="AG33" i="1"/>
  <c r="CU33" i="1" s="1"/>
  <c r="T33" i="1" s="1"/>
  <c r="AH33" i="1"/>
  <c r="AI33" i="1"/>
  <c r="AJ33" i="1"/>
  <c r="CQ33" i="1"/>
  <c r="CR33" i="1"/>
  <c r="CS33" i="1"/>
  <c r="CT33" i="1"/>
  <c r="CV33" i="1"/>
  <c r="CW33" i="1"/>
  <c r="CX33" i="1"/>
  <c r="GL33" i="1"/>
  <c r="GO33" i="1"/>
  <c r="GP33" i="1"/>
  <c r="GV33" i="1"/>
  <c r="HC33" i="1" s="1"/>
  <c r="GX33" i="1" s="1"/>
  <c r="B35" i="1"/>
  <c r="C35" i="1"/>
  <c r="D35" i="1"/>
  <c r="D26" i="1" s="1"/>
  <c r="F35" i="1"/>
  <c r="F26" i="1" s="1"/>
  <c r="G35" i="1"/>
  <c r="G26" i="1" s="1"/>
  <c r="BC35" i="1"/>
  <c r="BX35" i="1"/>
  <c r="BY35" i="1"/>
  <c r="CK35" i="1"/>
  <c r="CL35" i="1"/>
  <c r="CM35" i="1"/>
  <c r="D65" i="1"/>
  <c r="B67" i="1"/>
  <c r="E67" i="1"/>
  <c r="F67" i="1"/>
  <c r="G67" i="1"/>
  <c r="Z67" i="1"/>
  <c r="AA67" i="1"/>
  <c r="AM67" i="1"/>
  <c r="AN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CK67" i="1"/>
  <c r="CN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DI67" i="1"/>
  <c r="DJ67" i="1"/>
  <c r="DK67" i="1"/>
  <c r="DL67" i="1"/>
  <c r="DM67" i="1"/>
  <c r="DN67" i="1"/>
  <c r="DO67" i="1"/>
  <c r="DP67" i="1"/>
  <c r="DQ67" i="1"/>
  <c r="DR67" i="1"/>
  <c r="DS67" i="1"/>
  <c r="DT67" i="1"/>
  <c r="DU67" i="1"/>
  <c r="DV67" i="1"/>
  <c r="DW67" i="1"/>
  <c r="DX67" i="1"/>
  <c r="DY67" i="1"/>
  <c r="DZ67" i="1"/>
  <c r="EA67" i="1"/>
  <c r="EB67" i="1"/>
  <c r="EC67" i="1"/>
  <c r="ED67" i="1"/>
  <c r="EE67" i="1"/>
  <c r="EF67" i="1"/>
  <c r="EG67" i="1"/>
  <c r="EH67" i="1"/>
  <c r="EI67" i="1"/>
  <c r="EJ67" i="1"/>
  <c r="EK67" i="1"/>
  <c r="EL67" i="1"/>
  <c r="EM67" i="1"/>
  <c r="EN67" i="1"/>
  <c r="EO67" i="1"/>
  <c r="EP67" i="1"/>
  <c r="EQ67" i="1"/>
  <c r="ER67" i="1"/>
  <c r="ES67" i="1"/>
  <c r="ET67" i="1"/>
  <c r="EU67" i="1"/>
  <c r="EV67" i="1"/>
  <c r="EW67" i="1"/>
  <c r="EX67" i="1"/>
  <c r="EY67" i="1"/>
  <c r="EZ67" i="1"/>
  <c r="FA67" i="1"/>
  <c r="FB67" i="1"/>
  <c r="FC67" i="1"/>
  <c r="FD67" i="1"/>
  <c r="FE67" i="1"/>
  <c r="FF67" i="1"/>
  <c r="FG67" i="1"/>
  <c r="FH67" i="1"/>
  <c r="FI67" i="1"/>
  <c r="FJ67" i="1"/>
  <c r="FK67" i="1"/>
  <c r="FL67" i="1"/>
  <c r="FM67" i="1"/>
  <c r="FN67" i="1"/>
  <c r="FO67" i="1"/>
  <c r="FP67" i="1"/>
  <c r="FQ67" i="1"/>
  <c r="FR67" i="1"/>
  <c r="FS67" i="1"/>
  <c r="FT67" i="1"/>
  <c r="FU67" i="1"/>
  <c r="FV67" i="1"/>
  <c r="FW67" i="1"/>
  <c r="FX67" i="1"/>
  <c r="FY67" i="1"/>
  <c r="FZ67" i="1"/>
  <c r="GA67" i="1"/>
  <c r="GB67" i="1"/>
  <c r="GC67" i="1"/>
  <c r="GD67" i="1"/>
  <c r="GE67" i="1"/>
  <c r="GF67" i="1"/>
  <c r="GG67" i="1"/>
  <c r="GH67" i="1"/>
  <c r="GI67" i="1"/>
  <c r="GJ67" i="1"/>
  <c r="GK67" i="1"/>
  <c r="GL67" i="1"/>
  <c r="GM67" i="1"/>
  <c r="GN67" i="1"/>
  <c r="GO67" i="1"/>
  <c r="GP67" i="1"/>
  <c r="GQ67" i="1"/>
  <c r="GR67" i="1"/>
  <c r="GS67" i="1"/>
  <c r="GT67" i="1"/>
  <c r="GU67" i="1"/>
  <c r="GV67" i="1"/>
  <c r="GW67" i="1"/>
  <c r="GX67" i="1"/>
  <c r="C69" i="1"/>
  <c r="D69" i="1"/>
  <c r="I69" i="1"/>
  <c r="T69" i="1" s="1"/>
  <c r="K69" i="1"/>
  <c r="AC69" i="1"/>
  <c r="AE69" i="1"/>
  <c r="AD69" i="1" s="1"/>
  <c r="AF69" i="1"/>
  <c r="AG69" i="1"/>
  <c r="AH69" i="1"/>
  <c r="AI69" i="1"/>
  <c r="AJ69" i="1"/>
  <c r="CQ69" i="1"/>
  <c r="CR69" i="1"/>
  <c r="CS69" i="1"/>
  <c r="CT69" i="1"/>
  <c r="CU69" i="1"/>
  <c r="CV69" i="1"/>
  <c r="CW69" i="1"/>
  <c r="CX69" i="1"/>
  <c r="GL69" i="1"/>
  <c r="GO69" i="1"/>
  <c r="GP69" i="1"/>
  <c r="GV69" i="1"/>
  <c r="HC69" i="1"/>
  <c r="AC70" i="1"/>
  <c r="AD70" i="1"/>
  <c r="AE70" i="1"/>
  <c r="AF70" i="1"/>
  <c r="AG70" i="1"/>
  <c r="CU70" i="1" s="1"/>
  <c r="AH70" i="1"/>
  <c r="AI70" i="1"/>
  <c r="CW70" i="1" s="1"/>
  <c r="AJ70" i="1"/>
  <c r="CQ70" i="1"/>
  <c r="CR70" i="1"/>
  <c r="CS70" i="1"/>
  <c r="CT70" i="1"/>
  <c r="CV70" i="1"/>
  <c r="CX70" i="1"/>
  <c r="GL70" i="1"/>
  <c r="GO70" i="1"/>
  <c r="GP70" i="1"/>
  <c r="GV70" i="1"/>
  <c r="HC70" i="1" s="1"/>
  <c r="C71" i="1"/>
  <c r="D71" i="1"/>
  <c r="U71" i="1"/>
  <c r="G162" i="7" s="1"/>
  <c r="AC71" i="1"/>
  <c r="AE71" i="1"/>
  <c r="AD71" i="1" s="1"/>
  <c r="AF71" i="1"/>
  <c r="AG71" i="1"/>
  <c r="AH71" i="1"/>
  <c r="AI71" i="1"/>
  <c r="AJ71" i="1"/>
  <c r="CQ71" i="1"/>
  <c r="CR71" i="1"/>
  <c r="CS71" i="1"/>
  <c r="CT71" i="1"/>
  <c r="CU71" i="1"/>
  <c r="T71" i="1" s="1"/>
  <c r="CV71" i="1"/>
  <c r="CW71" i="1"/>
  <c r="CX71" i="1"/>
  <c r="W71" i="1" s="1"/>
  <c r="GL71" i="1"/>
  <c r="GO71" i="1"/>
  <c r="GP71" i="1"/>
  <c r="GV71" i="1"/>
  <c r="GX71" i="1"/>
  <c r="HC71" i="1"/>
  <c r="P72" i="1"/>
  <c r="Q72" i="1"/>
  <c r="X72" i="1"/>
  <c r="Y72" i="1"/>
  <c r="AC72" i="1"/>
  <c r="AD72" i="1"/>
  <c r="AE72" i="1"/>
  <c r="AF72" i="1"/>
  <c r="AG72" i="1"/>
  <c r="CU72" i="1" s="1"/>
  <c r="T72" i="1" s="1"/>
  <c r="AH72" i="1"/>
  <c r="AI72" i="1"/>
  <c r="CW72" i="1" s="1"/>
  <c r="V72" i="1" s="1"/>
  <c r="AJ72" i="1"/>
  <c r="CX72" i="1" s="1"/>
  <c r="W72" i="1" s="1"/>
  <c r="CQ72" i="1"/>
  <c r="CR72" i="1"/>
  <c r="CS72" i="1"/>
  <c r="R72" i="1" s="1"/>
  <c r="CT72" i="1"/>
  <c r="S72" i="1" s="1"/>
  <c r="CV72" i="1"/>
  <c r="U72" i="1" s="1"/>
  <c r="CY72" i="1"/>
  <c r="CZ72" i="1"/>
  <c r="GL72" i="1"/>
  <c r="GO72" i="1"/>
  <c r="GP72" i="1"/>
  <c r="GV72" i="1"/>
  <c r="HC72" i="1" s="1"/>
  <c r="GX72" i="1" s="1"/>
  <c r="C73" i="1"/>
  <c r="D73" i="1"/>
  <c r="I73" i="1"/>
  <c r="K73" i="1"/>
  <c r="T73" i="1"/>
  <c r="AC73" i="1"/>
  <c r="AD73" i="1"/>
  <c r="AE73" i="1"/>
  <c r="AF73" i="1"/>
  <c r="AG73" i="1"/>
  <c r="AH73" i="1"/>
  <c r="AI73" i="1"/>
  <c r="AJ73" i="1"/>
  <c r="CX73" i="1" s="1"/>
  <c r="CQ73" i="1"/>
  <c r="CR73" i="1"/>
  <c r="CS73" i="1"/>
  <c r="CT73" i="1"/>
  <c r="CU73" i="1"/>
  <c r="CV73" i="1"/>
  <c r="CW73" i="1"/>
  <c r="GL73" i="1"/>
  <c r="GO73" i="1"/>
  <c r="GP73" i="1"/>
  <c r="GV73" i="1"/>
  <c r="HC73" i="1"/>
  <c r="AC74" i="1"/>
  <c r="AD74" i="1"/>
  <c r="AE74" i="1"/>
  <c r="AF74" i="1"/>
  <c r="AB74" i="1" s="1"/>
  <c r="AG74" i="1"/>
  <c r="CU74" i="1" s="1"/>
  <c r="AH74" i="1"/>
  <c r="CV74" i="1" s="1"/>
  <c r="AI74" i="1"/>
  <c r="CW74" i="1" s="1"/>
  <c r="AJ74" i="1"/>
  <c r="CX74" i="1" s="1"/>
  <c r="CQ74" i="1"/>
  <c r="CR74" i="1"/>
  <c r="CS74" i="1"/>
  <c r="CT74" i="1"/>
  <c r="GL74" i="1"/>
  <c r="GO74" i="1"/>
  <c r="GP74" i="1"/>
  <c r="GV74" i="1"/>
  <c r="HC74" i="1"/>
  <c r="T75" i="1"/>
  <c r="V75" i="1"/>
  <c r="Y75" i="1"/>
  <c r="AC75" i="1"/>
  <c r="AD75" i="1"/>
  <c r="AB75" i="1" s="1"/>
  <c r="AE75" i="1"/>
  <c r="AF75" i="1"/>
  <c r="AG75" i="1"/>
  <c r="CU75" i="1" s="1"/>
  <c r="AH75" i="1"/>
  <c r="CV75" i="1" s="1"/>
  <c r="U75" i="1" s="1"/>
  <c r="AI75" i="1"/>
  <c r="AJ75" i="1"/>
  <c r="CQ75" i="1"/>
  <c r="P75" i="1" s="1"/>
  <c r="CP75" i="1" s="1"/>
  <c r="O75" i="1" s="1"/>
  <c r="GM75" i="1" s="1"/>
  <c r="GN75" i="1" s="1"/>
  <c r="CR75" i="1"/>
  <c r="Q75" i="1" s="1"/>
  <c r="CS75" i="1"/>
  <c r="R75" i="1" s="1"/>
  <c r="CT75" i="1"/>
  <c r="S75" i="1" s="1"/>
  <c r="CW75" i="1"/>
  <c r="CX75" i="1"/>
  <c r="W75" i="1" s="1"/>
  <c r="CY75" i="1"/>
  <c r="X75" i="1" s="1"/>
  <c r="CZ75" i="1"/>
  <c r="GL75" i="1"/>
  <c r="GO75" i="1"/>
  <c r="GP75" i="1"/>
  <c r="GV75" i="1"/>
  <c r="HC75" i="1" s="1"/>
  <c r="GX75" i="1" s="1"/>
  <c r="Q76" i="1"/>
  <c r="S76" i="1"/>
  <c r="X76" i="1"/>
  <c r="AC76" i="1"/>
  <c r="AE76" i="1"/>
  <c r="AD76" i="1" s="1"/>
  <c r="AF76" i="1"/>
  <c r="AG76" i="1"/>
  <c r="AH76" i="1"/>
  <c r="CV76" i="1" s="1"/>
  <c r="U76" i="1" s="1"/>
  <c r="AI76" i="1"/>
  <c r="AJ76" i="1"/>
  <c r="CQ76" i="1"/>
  <c r="P76" i="1" s="1"/>
  <c r="CR76" i="1"/>
  <c r="CS76" i="1"/>
  <c r="R76" i="1" s="1"/>
  <c r="CT76" i="1"/>
  <c r="CU76" i="1"/>
  <c r="T76" i="1" s="1"/>
  <c r="CW76" i="1"/>
  <c r="V76" i="1" s="1"/>
  <c r="CX76" i="1"/>
  <c r="W76" i="1" s="1"/>
  <c r="CY76" i="1"/>
  <c r="CZ76" i="1"/>
  <c r="Y76" i="1" s="1"/>
  <c r="GL76" i="1"/>
  <c r="GO76" i="1"/>
  <c r="GP76" i="1"/>
  <c r="GV76" i="1"/>
  <c r="GX76" i="1"/>
  <c r="HC76" i="1"/>
  <c r="C77" i="1"/>
  <c r="D77" i="1"/>
  <c r="I77" i="1"/>
  <c r="CX51" i="3" s="1"/>
  <c r="K77" i="1"/>
  <c r="AC77" i="1"/>
  <c r="AE77" i="1"/>
  <c r="AD77" i="1" s="1"/>
  <c r="AF77" i="1"/>
  <c r="AG77" i="1"/>
  <c r="AH77" i="1"/>
  <c r="AI77" i="1"/>
  <c r="AJ77" i="1"/>
  <c r="CX77" i="1" s="1"/>
  <c r="W77" i="1" s="1"/>
  <c r="CQ77" i="1"/>
  <c r="CR77" i="1"/>
  <c r="CS77" i="1"/>
  <c r="CT77" i="1"/>
  <c r="CU77" i="1"/>
  <c r="CV77" i="1"/>
  <c r="CW77" i="1"/>
  <c r="GL77" i="1"/>
  <c r="GO77" i="1"/>
  <c r="GP77" i="1"/>
  <c r="GV77" i="1"/>
  <c r="HC77" i="1"/>
  <c r="Q78" i="1"/>
  <c r="U78" i="1"/>
  <c r="AC78" i="1"/>
  <c r="AD78" i="1"/>
  <c r="AE78" i="1"/>
  <c r="AF78" i="1"/>
  <c r="AG78" i="1"/>
  <c r="AH78" i="1"/>
  <c r="CV78" i="1" s="1"/>
  <c r="AI78" i="1"/>
  <c r="AJ78" i="1"/>
  <c r="CX78" i="1" s="1"/>
  <c r="W78" i="1" s="1"/>
  <c r="CQ78" i="1"/>
  <c r="P78" i="1" s="1"/>
  <c r="CP78" i="1" s="1"/>
  <c r="O78" i="1" s="1"/>
  <c r="GM78" i="1" s="1"/>
  <c r="GN78" i="1" s="1"/>
  <c r="CR78" i="1"/>
  <c r="CS78" i="1"/>
  <c r="R78" i="1" s="1"/>
  <c r="CT78" i="1"/>
  <c r="S78" i="1" s="1"/>
  <c r="CU78" i="1"/>
  <c r="T78" i="1" s="1"/>
  <c r="CW78" i="1"/>
  <c r="V78" i="1" s="1"/>
  <c r="CY78" i="1"/>
  <c r="X78" i="1" s="1"/>
  <c r="CZ78" i="1"/>
  <c r="Y78" i="1" s="1"/>
  <c r="GL78" i="1"/>
  <c r="GO78" i="1"/>
  <c r="GP78" i="1"/>
  <c r="GV78" i="1"/>
  <c r="GX78" i="1"/>
  <c r="HC78" i="1"/>
  <c r="C79" i="1"/>
  <c r="D79" i="1"/>
  <c r="V79" i="1"/>
  <c r="G236" i="7" s="1"/>
  <c r="AC79" i="1"/>
  <c r="AE79" i="1"/>
  <c r="AD79" i="1" s="1"/>
  <c r="AF79" i="1"/>
  <c r="AG79" i="1"/>
  <c r="AH79" i="1"/>
  <c r="AI79" i="1"/>
  <c r="AJ79" i="1"/>
  <c r="CX79" i="1" s="1"/>
  <c r="W79" i="1" s="1"/>
  <c r="CQ79" i="1"/>
  <c r="CR79" i="1"/>
  <c r="CS79" i="1"/>
  <c r="CT79" i="1"/>
  <c r="CU79" i="1"/>
  <c r="T79" i="1" s="1"/>
  <c r="CV79" i="1"/>
  <c r="CW79" i="1"/>
  <c r="GL79" i="1"/>
  <c r="GO79" i="1"/>
  <c r="GP79" i="1"/>
  <c r="GV79" i="1"/>
  <c r="GX79" i="1"/>
  <c r="HC79" i="1"/>
  <c r="I80" i="1"/>
  <c r="R80" i="1" s="1"/>
  <c r="Q80" i="1"/>
  <c r="S80" i="1"/>
  <c r="CZ80" i="1" s="1"/>
  <c r="Y80" i="1" s="1"/>
  <c r="T80" i="1"/>
  <c r="V80" i="1"/>
  <c r="AC80" i="1"/>
  <c r="AB80" i="1" s="1"/>
  <c r="AE80" i="1"/>
  <c r="AD80" i="1" s="1"/>
  <c r="AF80" i="1"/>
  <c r="AG80" i="1"/>
  <c r="CU80" i="1" s="1"/>
  <c r="AH80" i="1"/>
  <c r="CV80" i="1" s="1"/>
  <c r="U80" i="1" s="1"/>
  <c r="AI80" i="1"/>
  <c r="AJ80" i="1"/>
  <c r="CQ80" i="1"/>
  <c r="P80" i="1" s="1"/>
  <c r="CR80" i="1"/>
  <c r="CS80" i="1"/>
  <c r="CT80" i="1"/>
  <c r="CW80" i="1"/>
  <c r="CX80" i="1"/>
  <c r="W80" i="1" s="1"/>
  <c r="GL80" i="1"/>
  <c r="GO80" i="1"/>
  <c r="GP80" i="1"/>
  <c r="GV80" i="1"/>
  <c r="HC80" i="1"/>
  <c r="GX80" i="1" s="1"/>
  <c r="C81" i="1"/>
  <c r="D81" i="1"/>
  <c r="U81" i="1"/>
  <c r="G250" i="7" s="1"/>
  <c r="W81" i="1"/>
  <c r="AC81" i="1"/>
  <c r="AD81" i="1"/>
  <c r="AE81" i="1"/>
  <c r="AF81" i="1"/>
  <c r="AG81" i="1"/>
  <c r="AH81" i="1"/>
  <c r="AI81" i="1"/>
  <c r="AJ81" i="1"/>
  <c r="CQ81" i="1"/>
  <c r="CR81" i="1"/>
  <c r="CS81" i="1"/>
  <c r="CT81" i="1"/>
  <c r="CU81" i="1"/>
  <c r="T81" i="1" s="1"/>
  <c r="CV81" i="1"/>
  <c r="CW81" i="1"/>
  <c r="CX81" i="1"/>
  <c r="GL81" i="1"/>
  <c r="GO81" i="1"/>
  <c r="GP81" i="1"/>
  <c r="GV81" i="1"/>
  <c r="HC81" i="1" s="1"/>
  <c r="GX81" i="1" s="1"/>
  <c r="P82" i="1"/>
  <c r="Q82" i="1"/>
  <c r="R82" i="1"/>
  <c r="S82" i="1"/>
  <c r="T82" i="1"/>
  <c r="Y82" i="1"/>
  <c r="AC82" i="1"/>
  <c r="AE82" i="1"/>
  <c r="AD82" i="1" s="1"/>
  <c r="AF82" i="1"/>
  <c r="AG82" i="1"/>
  <c r="AH82" i="1"/>
  <c r="AI82" i="1"/>
  <c r="AJ82" i="1"/>
  <c r="CX82" i="1" s="1"/>
  <c r="W82" i="1" s="1"/>
  <c r="CQ82" i="1"/>
  <c r="CR82" i="1"/>
  <c r="CS82" i="1"/>
  <c r="CT82" i="1"/>
  <c r="CU82" i="1"/>
  <c r="CV82" i="1"/>
  <c r="U82" i="1" s="1"/>
  <c r="CW82" i="1"/>
  <c r="V82" i="1" s="1"/>
  <c r="CY82" i="1"/>
  <c r="X82" i="1" s="1"/>
  <c r="CZ82" i="1"/>
  <c r="GL82" i="1"/>
  <c r="GO82" i="1"/>
  <c r="GP82" i="1"/>
  <c r="GV82" i="1"/>
  <c r="HC82" i="1"/>
  <c r="GX82" i="1" s="1"/>
  <c r="R83" i="1"/>
  <c r="T83" i="1"/>
  <c r="V83" i="1"/>
  <c r="Y83" i="1"/>
  <c r="AC83" i="1"/>
  <c r="AD83" i="1"/>
  <c r="AE83" i="1"/>
  <c r="AF83" i="1"/>
  <c r="AG83" i="1"/>
  <c r="AH83" i="1"/>
  <c r="AI83" i="1"/>
  <c r="AJ83" i="1"/>
  <c r="CX83" i="1" s="1"/>
  <c r="W83" i="1" s="1"/>
  <c r="CQ83" i="1"/>
  <c r="P83" i="1" s="1"/>
  <c r="CP83" i="1" s="1"/>
  <c r="O83" i="1" s="1"/>
  <c r="GM83" i="1" s="1"/>
  <c r="GN83" i="1" s="1"/>
  <c r="CR83" i="1"/>
  <c r="Q83" i="1" s="1"/>
  <c r="CS83" i="1"/>
  <c r="CT83" i="1"/>
  <c r="S83" i="1" s="1"/>
  <c r="CU83" i="1"/>
  <c r="CV83" i="1"/>
  <c r="U83" i="1" s="1"/>
  <c r="CW83" i="1"/>
  <c r="CY83" i="1"/>
  <c r="X83" i="1" s="1"/>
  <c r="CZ83" i="1"/>
  <c r="GL83" i="1"/>
  <c r="GO83" i="1"/>
  <c r="GP83" i="1"/>
  <c r="GV83" i="1"/>
  <c r="HC83" i="1" s="1"/>
  <c r="GX83" i="1" s="1"/>
  <c r="C84" i="1"/>
  <c r="D84" i="1"/>
  <c r="T84" i="1"/>
  <c r="AC84" i="1"/>
  <c r="AE84" i="1"/>
  <c r="AD84" i="1" s="1"/>
  <c r="AF84" i="1"/>
  <c r="AG84" i="1"/>
  <c r="CU84" i="1" s="1"/>
  <c r="AH84" i="1"/>
  <c r="AI84" i="1"/>
  <c r="AJ84" i="1"/>
  <c r="CQ84" i="1"/>
  <c r="CR84" i="1"/>
  <c r="CS84" i="1"/>
  <c r="CT84" i="1"/>
  <c r="CV84" i="1"/>
  <c r="CW84" i="1"/>
  <c r="CX84" i="1"/>
  <c r="W84" i="1" s="1"/>
  <c r="GL84" i="1"/>
  <c r="GN84" i="1"/>
  <c r="GP84" i="1"/>
  <c r="GV84" i="1"/>
  <c r="HC84" i="1"/>
  <c r="GX84" i="1" s="1"/>
  <c r="I85" i="1"/>
  <c r="Q85" i="1"/>
  <c r="Y85" i="1"/>
  <c r="AB85" i="1"/>
  <c r="AC85" i="1"/>
  <c r="AE85" i="1"/>
  <c r="AD85" i="1" s="1"/>
  <c r="AF85" i="1"/>
  <c r="AG85" i="1"/>
  <c r="AH85" i="1"/>
  <c r="AI85" i="1"/>
  <c r="AJ85" i="1"/>
  <c r="CP85" i="1"/>
  <c r="CQ85" i="1"/>
  <c r="CR85" i="1"/>
  <c r="CS85" i="1"/>
  <c r="CT85" i="1"/>
  <c r="CU85" i="1"/>
  <c r="CV85" i="1"/>
  <c r="CW85" i="1"/>
  <c r="CX85" i="1"/>
  <c r="CY85" i="1"/>
  <c r="X85" i="1" s="1"/>
  <c r="CZ85" i="1"/>
  <c r="GL85" i="1"/>
  <c r="GN85" i="1"/>
  <c r="GP85" i="1"/>
  <c r="GV85" i="1"/>
  <c r="HC85" i="1"/>
  <c r="I86" i="1"/>
  <c r="U86" i="1" s="1"/>
  <c r="K86" i="1"/>
  <c r="R86" i="1"/>
  <c r="X86" i="1"/>
  <c r="Y86" i="1"/>
  <c r="AB86" i="1"/>
  <c r="AC86" i="1"/>
  <c r="AD86" i="1"/>
  <c r="AE86" i="1"/>
  <c r="AF86" i="1"/>
  <c r="AG86" i="1"/>
  <c r="AH86" i="1"/>
  <c r="AI86" i="1"/>
  <c r="CW86" i="1" s="1"/>
  <c r="AJ86" i="1"/>
  <c r="CQ86" i="1"/>
  <c r="CR86" i="1"/>
  <c r="CS86" i="1"/>
  <c r="CT86" i="1"/>
  <c r="CU86" i="1"/>
  <c r="CV86" i="1"/>
  <c r="CX86" i="1"/>
  <c r="CY86" i="1"/>
  <c r="CZ86" i="1"/>
  <c r="GL86" i="1"/>
  <c r="GN86" i="1"/>
  <c r="GP86" i="1"/>
  <c r="GV86" i="1"/>
  <c r="HC86" i="1" s="1"/>
  <c r="C87" i="1"/>
  <c r="D87" i="1"/>
  <c r="U87" i="1"/>
  <c r="G288" i="7" s="1"/>
  <c r="W87" i="1"/>
  <c r="AC87" i="1"/>
  <c r="AE87" i="1"/>
  <c r="AD87" i="1" s="1"/>
  <c r="AF87" i="1"/>
  <c r="AG87" i="1"/>
  <c r="CU87" i="1" s="1"/>
  <c r="T87" i="1" s="1"/>
  <c r="AH87" i="1"/>
  <c r="AI87" i="1"/>
  <c r="AJ87" i="1"/>
  <c r="CX87" i="1" s="1"/>
  <c r="CQ87" i="1"/>
  <c r="CR87" i="1"/>
  <c r="CS87" i="1"/>
  <c r="CT87" i="1"/>
  <c r="CV87" i="1"/>
  <c r="CW87" i="1"/>
  <c r="GL87" i="1"/>
  <c r="GN87" i="1"/>
  <c r="GP87" i="1"/>
  <c r="GV87" i="1"/>
  <c r="HC87" i="1" s="1"/>
  <c r="GX87" i="1" s="1"/>
  <c r="I88" i="1"/>
  <c r="P88" i="1"/>
  <c r="V88" i="1"/>
  <c r="W88" i="1"/>
  <c r="Y88" i="1"/>
  <c r="AC88" i="1"/>
  <c r="AE88" i="1"/>
  <c r="AD88" i="1" s="1"/>
  <c r="AF88" i="1"/>
  <c r="AG88" i="1"/>
  <c r="AH88" i="1"/>
  <c r="AI88" i="1"/>
  <c r="AJ88" i="1"/>
  <c r="CP88" i="1"/>
  <c r="CQ88" i="1"/>
  <c r="CR88" i="1"/>
  <c r="Q88" i="1" s="1"/>
  <c r="CS88" i="1"/>
  <c r="R88" i="1" s="1"/>
  <c r="CT88" i="1"/>
  <c r="CU88" i="1"/>
  <c r="T88" i="1" s="1"/>
  <c r="CV88" i="1"/>
  <c r="CW88" i="1"/>
  <c r="CX88" i="1"/>
  <c r="CY88" i="1"/>
  <c r="X88" i="1" s="1"/>
  <c r="CZ88" i="1"/>
  <c r="GL88" i="1"/>
  <c r="GN88" i="1"/>
  <c r="GP88" i="1"/>
  <c r="GV88" i="1"/>
  <c r="HC88" i="1"/>
  <c r="I89" i="1"/>
  <c r="K89" i="1"/>
  <c r="Q89" i="1"/>
  <c r="S89" i="1"/>
  <c r="T89" i="1"/>
  <c r="U89" i="1"/>
  <c r="AC89" i="1"/>
  <c r="AE89" i="1"/>
  <c r="AD89" i="1" s="1"/>
  <c r="AF89" i="1"/>
  <c r="AG89" i="1"/>
  <c r="AH89" i="1"/>
  <c r="AI89" i="1"/>
  <c r="CW89" i="1" s="1"/>
  <c r="V89" i="1" s="1"/>
  <c r="AJ89" i="1"/>
  <c r="CQ89" i="1"/>
  <c r="P89" i="1" s="1"/>
  <c r="CR89" i="1"/>
  <c r="CS89" i="1"/>
  <c r="R89" i="1" s="1"/>
  <c r="CT89" i="1"/>
  <c r="CU89" i="1"/>
  <c r="CV89" i="1"/>
  <c r="CX89" i="1"/>
  <c r="W89" i="1" s="1"/>
  <c r="CY89" i="1"/>
  <c r="X89" i="1" s="1"/>
  <c r="CZ89" i="1"/>
  <c r="Y89" i="1" s="1"/>
  <c r="GL89" i="1"/>
  <c r="GO89" i="1"/>
  <c r="GP89" i="1"/>
  <c r="GV89" i="1"/>
  <c r="HC89" i="1" s="1"/>
  <c r="GX89" i="1" s="1"/>
  <c r="C90" i="1"/>
  <c r="D90" i="1"/>
  <c r="I90" i="1"/>
  <c r="K90" i="1"/>
  <c r="AC90" i="1"/>
  <c r="AE90" i="1"/>
  <c r="AD90" i="1" s="1"/>
  <c r="AF90" i="1"/>
  <c r="AG90" i="1"/>
  <c r="AH90" i="1"/>
  <c r="AI90" i="1"/>
  <c r="AJ90" i="1"/>
  <c r="CQ90" i="1"/>
  <c r="CR90" i="1"/>
  <c r="CS90" i="1"/>
  <c r="CT90" i="1"/>
  <c r="CU90" i="1"/>
  <c r="CV90" i="1"/>
  <c r="CW90" i="1"/>
  <c r="CX90" i="1"/>
  <c r="GL90" i="1"/>
  <c r="GO90" i="1"/>
  <c r="GP90" i="1"/>
  <c r="GV90" i="1"/>
  <c r="HC90" i="1"/>
  <c r="P91" i="1"/>
  <c r="Q91" i="1"/>
  <c r="T91" i="1"/>
  <c r="AC91" i="1"/>
  <c r="AE91" i="1"/>
  <c r="AD91" i="1" s="1"/>
  <c r="AF91" i="1"/>
  <c r="AG91" i="1"/>
  <c r="CU91" i="1" s="1"/>
  <c r="AH91" i="1"/>
  <c r="AI91" i="1"/>
  <c r="AJ91" i="1"/>
  <c r="CX91" i="1" s="1"/>
  <c r="W91" i="1" s="1"/>
  <c r="CQ91" i="1"/>
  <c r="CR91" i="1"/>
  <c r="CS91" i="1"/>
  <c r="R91" i="1" s="1"/>
  <c r="CT91" i="1"/>
  <c r="S91" i="1" s="1"/>
  <c r="CV91" i="1"/>
  <c r="U91" i="1" s="1"/>
  <c r="CW91" i="1"/>
  <c r="V91" i="1" s="1"/>
  <c r="CY91" i="1"/>
  <c r="X91" i="1" s="1"/>
  <c r="CZ91" i="1"/>
  <c r="Y91" i="1" s="1"/>
  <c r="GL91" i="1"/>
  <c r="GN91" i="1"/>
  <c r="GP91" i="1"/>
  <c r="GV91" i="1"/>
  <c r="GX91" i="1"/>
  <c r="HC91" i="1"/>
  <c r="I92" i="1"/>
  <c r="K92" i="1"/>
  <c r="P92" i="1"/>
  <c r="Q92" i="1"/>
  <c r="R92" i="1"/>
  <c r="S92" i="1"/>
  <c r="U92" i="1"/>
  <c r="W92" i="1"/>
  <c r="AC92" i="1"/>
  <c r="AD92" i="1"/>
  <c r="AB92" i="1" s="1"/>
  <c r="AE92" i="1"/>
  <c r="AF92" i="1"/>
  <c r="AG92" i="1"/>
  <c r="AH92" i="1"/>
  <c r="CV92" i="1" s="1"/>
  <c r="AI92" i="1"/>
  <c r="CW92" i="1" s="1"/>
  <c r="V92" i="1" s="1"/>
  <c r="AJ92" i="1"/>
  <c r="CP92" i="1"/>
  <c r="O92" i="1" s="1"/>
  <c r="CQ92" i="1"/>
  <c r="CR92" i="1"/>
  <c r="CS92" i="1"/>
  <c r="CT92" i="1"/>
  <c r="CU92" i="1"/>
  <c r="T92" i="1" s="1"/>
  <c r="CX92" i="1"/>
  <c r="CY92" i="1"/>
  <c r="X92" i="1" s="1"/>
  <c r="CZ92" i="1"/>
  <c r="Y92" i="1" s="1"/>
  <c r="GL92" i="1"/>
  <c r="GN92" i="1"/>
  <c r="GP92" i="1"/>
  <c r="GV92" i="1"/>
  <c r="HC92" i="1" s="1"/>
  <c r="GX92" i="1"/>
  <c r="C93" i="1"/>
  <c r="D93" i="1"/>
  <c r="I93" i="1"/>
  <c r="K93" i="1"/>
  <c r="W93" i="1"/>
  <c r="AC93" i="1"/>
  <c r="AE93" i="1"/>
  <c r="AD93" i="1" s="1"/>
  <c r="AF93" i="1"/>
  <c r="AG93" i="1"/>
  <c r="AH93" i="1"/>
  <c r="AI93" i="1"/>
  <c r="AJ93" i="1"/>
  <c r="CX93" i="1" s="1"/>
  <c r="CQ93" i="1"/>
  <c r="CR93" i="1"/>
  <c r="CS93" i="1"/>
  <c r="CT93" i="1"/>
  <c r="CU93" i="1"/>
  <c r="T93" i="1" s="1"/>
  <c r="CV93" i="1"/>
  <c r="CW93" i="1"/>
  <c r="GL93" i="1"/>
  <c r="GO93" i="1"/>
  <c r="GP93" i="1"/>
  <c r="GV93" i="1"/>
  <c r="HC93" i="1"/>
  <c r="GX93" i="1" s="1"/>
  <c r="I94" i="1"/>
  <c r="Q94" i="1" s="1"/>
  <c r="P94" i="1"/>
  <c r="V94" i="1"/>
  <c r="AC94" i="1"/>
  <c r="AD94" i="1"/>
  <c r="AE94" i="1"/>
  <c r="AF94" i="1"/>
  <c r="AG94" i="1"/>
  <c r="AH94" i="1"/>
  <c r="AI94" i="1"/>
  <c r="CW94" i="1" s="1"/>
  <c r="AJ94" i="1"/>
  <c r="CX94" i="1" s="1"/>
  <c r="W94" i="1" s="1"/>
  <c r="CQ94" i="1"/>
  <c r="CR94" i="1"/>
  <c r="CS94" i="1"/>
  <c r="R94" i="1" s="1"/>
  <c r="CT94" i="1"/>
  <c r="CU94" i="1"/>
  <c r="T94" i="1" s="1"/>
  <c r="CV94" i="1"/>
  <c r="U94" i="1" s="1"/>
  <c r="GL94" i="1"/>
  <c r="GO94" i="1"/>
  <c r="GP94" i="1"/>
  <c r="GV94" i="1"/>
  <c r="HC94" i="1"/>
  <c r="GX94" i="1" s="1"/>
  <c r="C95" i="1"/>
  <c r="D95" i="1"/>
  <c r="T95" i="1"/>
  <c r="U95" i="1"/>
  <c r="G346" i="7" s="1"/>
  <c r="W95" i="1"/>
  <c r="AC95" i="1"/>
  <c r="AE95" i="1"/>
  <c r="AD95" i="1" s="1"/>
  <c r="AF95" i="1"/>
  <c r="AG95" i="1"/>
  <c r="AH95" i="1"/>
  <c r="AI95" i="1"/>
  <c r="AJ95" i="1"/>
  <c r="CQ95" i="1"/>
  <c r="CR95" i="1"/>
  <c r="CS95" i="1"/>
  <c r="CT95" i="1"/>
  <c r="CU95" i="1"/>
  <c r="CV95" i="1"/>
  <c r="CW95" i="1"/>
  <c r="CX95" i="1"/>
  <c r="GL95" i="1"/>
  <c r="GO95" i="1"/>
  <c r="GP95" i="1"/>
  <c r="GV95" i="1"/>
  <c r="HC95" i="1" s="1"/>
  <c r="GX95" i="1" s="1"/>
  <c r="I96" i="1"/>
  <c r="W96" i="1"/>
  <c r="AC96" i="1"/>
  <c r="AE96" i="1"/>
  <c r="AD96" i="1" s="1"/>
  <c r="AF96" i="1"/>
  <c r="AB96" i="1" s="1"/>
  <c r="AG96" i="1"/>
  <c r="AH96" i="1"/>
  <c r="CV96" i="1" s="1"/>
  <c r="U96" i="1" s="1"/>
  <c r="AI96" i="1"/>
  <c r="CW96" i="1" s="1"/>
  <c r="V96" i="1" s="1"/>
  <c r="AJ96" i="1"/>
  <c r="CQ96" i="1"/>
  <c r="P96" i="1" s="1"/>
  <c r="CR96" i="1"/>
  <c r="Q96" i="1" s="1"/>
  <c r="CS96" i="1"/>
  <c r="R96" i="1" s="1"/>
  <c r="CT96" i="1"/>
  <c r="S96" i="1" s="1"/>
  <c r="CU96" i="1"/>
  <c r="T96" i="1" s="1"/>
  <c r="CX96" i="1"/>
  <c r="GL96" i="1"/>
  <c r="GO96" i="1"/>
  <c r="GP96" i="1"/>
  <c r="GV96" i="1"/>
  <c r="HC96" i="1" s="1"/>
  <c r="GX96" i="1" s="1"/>
  <c r="C97" i="1"/>
  <c r="D97" i="1"/>
  <c r="I97" i="1"/>
  <c r="CU95" i="3" s="1"/>
  <c r="K97" i="1"/>
  <c r="AC97" i="1"/>
  <c r="AE97" i="1"/>
  <c r="AD97" i="1" s="1"/>
  <c r="AF97" i="1"/>
  <c r="AG97" i="1"/>
  <c r="AH97" i="1"/>
  <c r="AI97" i="1"/>
  <c r="AJ97" i="1"/>
  <c r="CQ97" i="1"/>
  <c r="CR97" i="1"/>
  <c r="CS97" i="1"/>
  <c r="CT97" i="1"/>
  <c r="CU97" i="1"/>
  <c r="T97" i="1" s="1"/>
  <c r="CV97" i="1"/>
  <c r="CW97" i="1"/>
  <c r="CX97" i="1"/>
  <c r="W97" i="1" s="1"/>
  <c r="GL97" i="1"/>
  <c r="GO97" i="1"/>
  <c r="GP97" i="1"/>
  <c r="GV97" i="1"/>
  <c r="HC97" i="1" s="1"/>
  <c r="GX97" i="1" s="1"/>
  <c r="C98" i="1"/>
  <c r="D98" i="1"/>
  <c r="I98" i="1"/>
  <c r="K98" i="1"/>
  <c r="W98" i="1"/>
  <c r="AC98" i="1"/>
  <c r="AE98" i="1"/>
  <c r="AD98" i="1" s="1"/>
  <c r="AF98" i="1"/>
  <c r="AG98" i="1"/>
  <c r="CU98" i="1" s="1"/>
  <c r="T98" i="1" s="1"/>
  <c r="AH98" i="1"/>
  <c r="AI98" i="1"/>
  <c r="AJ98" i="1"/>
  <c r="CQ98" i="1"/>
  <c r="CR98" i="1"/>
  <c r="CS98" i="1"/>
  <c r="CT98" i="1"/>
  <c r="CV98" i="1"/>
  <c r="CW98" i="1"/>
  <c r="CX98" i="1"/>
  <c r="GL98" i="1"/>
  <c r="GO98" i="1"/>
  <c r="GP98" i="1"/>
  <c r="GV98" i="1"/>
  <c r="HC98" i="1"/>
  <c r="GX98" i="1" s="1"/>
  <c r="C99" i="1"/>
  <c r="D99" i="1"/>
  <c r="T99" i="1"/>
  <c r="AC99" i="1"/>
  <c r="AE99" i="1"/>
  <c r="AD99" i="1" s="1"/>
  <c r="AF99" i="1"/>
  <c r="AG99" i="1"/>
  <c r="AH99" i="1"/>
  <c r="AI99" i="1"/>
  <c r="AJ99" i="1"/>
  <c r="CQ99" i="1"/>
  <c r="CR99" i="1"/>
  <c r="CS99" i="1"/>
  <c r="CT99" i="1"/>
  <c r="CU99" i="1"/>
  <c r="CV99" i="1"/>
  <c r="CW99" i="1"/>
  <c r="CX99" i="1"/>
  <c r="W99" i="1" s="1"/>
  <c r="GL99" i="1"/>
  <c r="GO99" i="1"/>
  <c r="GP99" i="1"/>
  <c r="GV99" i="1"/>
  <c r="HC99" i="1"/>
  <c r="GX99" i="1" s="1"/>
  <c r="C100" i="1"/>
  <c r="D100" i="1"/>
  <c r="AC100" i="1"/>
  <c r="AE100" i="1"/>
  <c r="AD100" i="1" s="1"/>
  <c r="AF100" i="1"/>
  <c r="AG100" i="1"/>
  <c r="AH100" i="1"/>
  <c r="AI100" i="1"/>
  <c r="AJ100" i="1"/>
  <c r="CQ100" i="1"/>
  <c r="CR100" i="1"/>
  <c r="CS100" i="1"/>
  <c r="CT100" i="1"/>
  <c r="CU100" i="1"/>
  <c r="T100" i="1" s="1"/>
  <c r="CV100" i="1"/>
  <c r="CW100" i="1"/>
  <c r="CX100" i="1"/>
  <c r="W100" i="1" s="1"/>
  <c r="GL100" i="1"/>
  <c r="GO100" i="1"/>
  <c r="GP100" i="1"/>
  <c r="GV100" i="1"/>
  <c r="HC100" i="1"/>
  <c r="GX100" i="1" s="1"/>
  <c r="B102" i="1"/>
  <c r="C102" i="1"/>
  <c r="C67" i="1" s="1"/>
  <c r="D102" i="1"/>
  <c r="D67" i="1" s="1"/>
  <c r="F102" i="1"/>
  <c r="G102" i="1"/>
  <c r="BB102" i="1"/>
  <c r="BB67" i="1" s="1"/>
  <c r="BC102" i="1"/>
  <c r="BC67" i="1" s="1"/>
  <c r="BX102" i="1"/>
  <c r="AO102" i="1" s="1"/>
  <c r="BY102" i="1"/>
  <c r="CK102" i="1"/>
  <c r="CL102" i="1"/>
  <c r="CL67" i="1" s="1"/>
  <c r="CM102" i="1"/>
  <c r="F115" i="1"/>
  <c r="F118" i="1"/>
  <c r="D132" i="1"/>
  <c r="B134" i="1"/>
  <c r="E134" i="1"/>
  <c r="G134" i="1"/>
  <c r="Z134" i="1"/>
  <c r="AA134" i="1"/>
  <c r="AM134" i="1"/>
  <c r="AN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CK134" i="1"/>
  <c r="CM134" i="1"/>
  <c r="CN134" i="1"/>
  <c r="CO134" i="1"/>
  <c r="CP134" i="1"/>
  <c r="CQ134" i="1"/>
  <c r="CR134" i="1"/>
  <c r="CS134" i="1"/>
  <c r="CT134" i="1"/>
  <c r="CU134" i="1"/>
  <c r="CV134" i="1"/>
  <c r="CW134" i="1"/>
  <c r="CX134" i="1"/>
  <c r="CY134" i="1"/>
  <c r="CZ134" i="1"/>
  <c r="DA134" i="1"/>
  <c r="DB134" i="1"/>
  <c r="DC134" i="1"/>
  <c r="DD134" i="1"/>
  <c r="DE134" i="1"/>
  <c r="DF134" i="1"/>
  <c r="DG134" i="1"/>
  <c r="DH134" i="1"/>
  <c r="DI134" i="1"/>
  <c r="DJ134" i="1"/>
  <c r="DK134" i="1"/>
  <c r="DL134" i="1"/>
  <c r="DM134" i="1"/>
  <c r="DN134" i="1"/>
  <c r="DO134" i="1"/>
  <c r="DP134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/>
  <c r="ED134" i="1"/>
  <c r="EE134" i="1"/>
  <c r="EF134" i="1"/>
  <c r="EG134" i="1"/>
  <c r="EH134" i="1"/>
  <c r="EI134" i="1"/>
  <c r="EJ134" i="1"/>
  <c r="EK134" i="1"/>
  <c r="EL134" i="1"/>
  <c r="EM134" i="1"/>
  <c r="EN134" i="1"/>
  <c r="EO134" i="1"/>
  <c r="EP134" i="1"/>
  <c r="EQ134" i="1"/>
  <c r="ER134" i="1"/>
  <c r="ES134" i="1"/>
  <c r="ET134" i="1"/>
  <c r="EU134" i="1"/>
  <c r="EV134" i="1"/>
  <c r="EW134" i="1"/>
  <c r="EX134" i="1"/>
  <c r="EY134" i="1"/>
  <c r="EZ134" i="1"/>
  <c r="FA134" i="1"/>
  <c r="FB134" i="1"/>
  <c r="FC134" i="1"/>
  <c r="FD134" i="1"/>
  <c r="FE134" i="1"/>
  <c r="FF134" i="1"/>
  <c r="FG134" i="1"/>
  <c r="FH134" i="1"/>
  <c r="FI134" i="1"/>
  <c r="FJ134" i="1"/>
  <c r="FK134" i="1"/>
  <c r="FL134" i="1"/>
  <c r="FM134" i="1"/>
  <c r="FN134" i="1"/>
  <c r="FO134" i="1"/>
  <c r="FP134" i="1"/>
  <c r="FQ134" i="1"/>
  <c r="FR134" i="1"/>
  <c r="FS134" i="1"/>
  <c r="FT134" i="1"/>
  <c r="FU134" i="1"/>
  <c r="FV134" i="1"/>
  <c r="FW134" i="1"/>
  <c r="FX134" i="1"/>
  <c r="FY134" i="1"/>
  <c r="FZ134" i="1"/>
  <c r="GA134" i="1"/>
  <c r="GB134" i="1"/>
  <c r="GC134" i="1"/>
  <c r="GD134" i="1"/>
  <c r="GE134" i="1"/>
  <c r="GF134" i="1"/>
  <c r="GG134" i="1"/>
  <c r="GH134" i="1"/>
  <c r="GI134" i="1"/>
  <c r="GJ134" i="1"/>
  <c r="GK134" i="1"/>
  <c r="GL134" i="1"/>
  <c r="GM134" i="1"/>
  <c r="GN134" i="1"/>
  <c r="GO134" i="1"/>
  <c r="GP134" i="1"/>
  <c r="GQ134" i="1"/>
  <c r="GR134" i="1"/>
  <c r="GS134" i="1"/>
  <c r="GT134" i="1"/>
  <c r="GU134" i="1"/>
  <c r="GV134" i="1"/>
  <c r="GW134" i="1"/>
  <c r="GX134" i="1"/>
  <c r="C136" i="1"/>
  <c r="D136" i="1"/>
  <c r="I136" i="1"/>
  <c r="K136" i="1"/>
  <c r="AC136" i="1"/>
  <c r="AE136" i="1"/>
  <c r="AD136" i="1" s="1"/>
  <c r="AF136" i="1"/>
  <c r="AG136" i="1"/>
  <c r="CU136" i="1" s="1"/>
  <c r="T136" i="1" s="1"/>
  <c r="AH136" i="1"/>
  <c r="AI136" i="1"/>
  <c r="AJ136" i="1"/>
  <c r="CX136" i="1" s="1"/>
  <c r="W136" i="1" s="1"/>
  <c r="CQ136" i="1"/>
  <c r="CR136" i="1"/>
  <c r="CS136" i="1"/>
  <c r="CT136" i="1"/>
  <c r="CV136" i="1"/>
  <c r="CW136" i="1"/>
  <c r="GL136" i="1"/>
  <c r="GO136" i="1"/>
  <c r="GP136" i="1"/>
  <c r="GV136" i="1"/>
  <c r="HC136" i="1" s="1"/>
  <c r="GX136" i="1"/>
  <c r="P137" i="1"/>
  <c r="CP137" i="1" s="1"/>
  <c r="O137" i="1" s="1"/>
  <c r="GM137" i="1" s="1"/>
  <c r="GN137" i="1" s="1"/>
  <c r="R137" i="1"/>
  <c r="V137" i="1"/>
  <c r="Y137" i="1"/>
  <c r="AC137" i="1"/>
  <c r="AE137" i="1"/>
  <c r="AD137" i="1" s="1"/>
  <c r="AF137" i="1"/>
  <c r="AG137" i="1"/>
  <c r="AH137" i="1"/>
  <c r="AI137" i="1"/>
  <c r="CW137" i="1" s="1"/>
  <c r="AJ137" i="1"/>
  <c r="CX137" i="1" s="1"/>
  <c r="W137" i="1" s="1"/>
  <c r="CQ137" i="1"/>
  <c r="CR137" i="1"/>
  <c r="Q137" i="1" s="1"/>
  <c r="CS137" i="1"/>
  <c r="CT137" i="1"/>
  <c r="S137" i="1" s="1"/>
  <c r="CU137" i="1"/>
  <c r="T137" i="1" s="1"/>
  <c r="CV137" i="1"/>
  <c r="U137" i="1" s="1"/>
  <c r="CY137" i="1"/>
  <c r="X137" i="1" s="1"/>
  <c r="CZ137" i="1"/>
  <c r="GL137" i="1"/>
  <c r="GO137" i="1"/>
  <c r="GP137" i="1"/>
  <c r="GV137" i="1"/>
  <c r="HC137" i="1" s="1"/>
  <c r="GX137" i="1"/>
  <c r="C138" i="1"/>
  <c r="D138" i="1"/>
  <c r="U138" i="1"/>
  <c r="G486" i="7" s="1"/>
  <c r="AC138" i="1"/>
  <c r="AE138" i="1"/>
  <c r="AD138" i="1" s="1"/>
  <c r="AF138" i="1"/>
  <c r="AG138" i="1"/>
  <c r="AH138" i="1"/>
  <c r="AI138" i="1"/>
  <c r="AJ138" i="1"/>
  <c r="CX138" i="1" s="1"/>
  <c r="W138" i="1" s="1"/>
  <c r="CQ138" i="1"/>
  <c r="CR138" i="1"/>
  <c r="CS138" i="1"/>
  <c r="CT138" i="1"/>
  <c r="CU138" i="1"/>
  <c r="T138" i="1" s="1"/>
  <c r="CV138" i="1"/>
  <c r="CW138" i="1"/>
  <c r="GL138" i="1"/>
  <c r="GO138" i="1"/>
  <c r="GP138" i="1"/>
  <c r="GV138" i="1"/>
  <c r="HC138" i="1"/>
  <c r="GX138" i="1" s="1"/>
  <c r="I139" i="1"/>
  <c r="GX139" i="1" s="1"/>
  <c r="AC139" i="1"/>
  <c r="AE139" i="1"/>
  <c r="AD139" i="1" s="1"/>
  <c r="AF139" i="1"/>
  <c r="AG139" i="1"/>
  <c r="CU139" i="1" s="1"/>
  <c r="T139" i="1" s="1"/>
  <c r="AH139" i="1"/>
  <c r="CV139" i="1" s="1"/>
  <c r="U139" i="1" s="1"/>
  <c r="AI139" i="1"/>
  <c r="CW139" i="1" s="1"/>
  <c r="AJ139" i="1"/>
  <c r="CX139" i="1" s="1"/>
  <c r="W139" i="1" s="1"/>
  <c r="CQ139" i="1"/>
  <c r="CR139" i="1"/>
  <c r="CS139" i="1"/>
  <c r="CT139" i="1"/>
  <c r="GL139" i="1"/>
  <c r="GO139" i="1"/>
  <c r="GP139" i="1"/>
  <c r="GV139" i="1"/>
  <c r="HC139" i="1"/>
  <c r="C140" i="1"/>
  <c r="D140" i="1"/>
  <c r="I140" i="1"/>
  <c r="K140" i="1"/>
  <c r="AC140" i="1"/>
  <c r="AE140" i="1"/>
  <c r="AD140" i="1" s="1"/>
  <c r="AF140" i="1"/>
  <c r="AG140" i="1"/>
  <c r="AH140" i="1"/>
  <c r="AI140" i="1"/>
  <c r="AJ140" i="1"/>
  <c r="CX140" i="1" s="1"/>
  <c r="W140" i="1" s="1"/>
  <c r="CQ140" i="1"/>
  <c r="CR140" i="1"/>
  <c r="CS140" i="1"/>
  <c r="CT140" i="1"/>
  <c r="CU140" i="1"/>
  <c r="T140" i="1" s="1"/>
  <c r="CV140" i="1"/>
  <c r="CW140" i="1"/>
  <c r="GL140" i="1"/>
  <c r="GO140" i="1"/>
  <c r="GP140" i="1"/>
  <c r="GV140" i="1"/>
  <c r="HC140" i="1" s="1"/>
  <c r="GX140" i="1" s="1"/>
  <c r="R141" i="1"/>
  <c r="S141" i="1"/>
  <c r="V141" i="1"/>
  <c r="AC141" i="1"/>
  <c r="AE141" i="1"/>
  <c r="AD141" i="1" s="1"/>
  <c r="AB141" i="1" s="1"/>
  <c r="AF141" i="1"/>
  <c r="AG141" i="1"/>
  <c r="CU141" i="1" s="1"/>
  <c r="T141" i="1" s="1"/>
  <c r="AH141" i="1"/>
  <c r="CV141" i="1" s="1"/>
  <c r="U141" i="1" s="1"/>
  <c r="AI141" i="1"/>
  <c r="AJ141" i="1"/>
  <c r="CX141" i="1" s="1"/>
  <c r="W141" i="1" s="1"/>
  <c r="CQ141" i="1"/>
  <c r="P141" i="1" s="1"/>
  <c r="CP141" i="1" s="1"/>
  <c r="O141" i="1" s="1"/>
  <c r="GM141" i="1" s="1"/>
  <c r="GN141" i="1" s="1"/>
  <c r="CR141" i="1"/>
  <c r="Q141" i="1" s="1"/>
  <c r="CS141" i="1"/>
  <c r="CT141" i="1"/>
  <c r="CW141" i="1"/>
  <c r="CY141" i="1"/>
  <c r="X141" i="1" s="1"/>
  <c r="CZ141" i="1"/>
  <c r="Y141" i="1" s="1"/>
  <c r="GL141" i="1"/>
  <c r="GO141" i="1"/>
  <c r="GP141" i="1"/>
  <c r="GV141" i="1"/>
  <c r="HC141" i="1" s="1"/>
  <c r="GX141" i="1" s="1"/>
  <c r="R142" i="1"/>
  <c r="S142" i="1"/>
  <c r="V142" i="1"/>
  <c r="W142" i="1"/>
  <c r="Y142" i="1"/>
  <c r="AC142" i="1"/>
  <c r="AE142" i="1"/>
  <c r="AD142" i="1" s="1"/>
  <c r="AF142" i="1"/>
  <c r="AG142" i="1"/>
  <c r="AH142" i="1"/>
  <c r="CV142" i="1" s="1"/>
  <c r="U142" i="1" s="1"/>
  <c r="AI142" i="1"/>
  <c r="CW142" i="1" s="1"/>
  <c r="AJ142" i="1"/>
  <c r="CX142" i="1" s="1"/>
  <c r="CQ142" i="1"/>
  <c r="P142" i="1" s="1"/>
  <c r="CR142" i="1"/>
  <c r="Q142" i="1" s="1"/>
  <c r="CS142" i="1"/>
  <c r="CT142" i="1"/>
  <c r="CU142" i="1"/>
  <c r="T142" i="1" s="1"/>
  <c r="CY142" i="1"/>
  <c r="X142" i="1" s="1"/>
  <c r="CZ142" i="1"/>
  <c r="GL142" i="1"/>
  <c r="GO142" i="1"/>
  <c r="GP142" i="1"/>
  <c r="GV142" i="1"/>
  <c r="GX142" i="1"/>
  <c r="HC142" i="1"/>
  <c r="C143" i="1"/>
  <c r="D143" i="1"/>
  <c r="I143" i="1"/>
  <c r="K143" i="1"/>
  <c r="AC143" i="1"/>
  <c r="AE143" i="1"/>
  <c r="AD143" i="1" s="1"/>
  <c r="AF143" i="1"/>
  <c r="AG143" i="1"/>
  <c r="CU143" i="1" s="1"/>
  <c r="T143" i="1" s="1"/>
  <c r="AH143" i="1"/>
  <c r="AI143" i="1"/>
  <c r="AJ143" i="1"/>
  <c r="CQ143" i="1"/>
  <c r="CR143" i="1"/>
  <c r="CS143" i="1"/>
  <c r="CT143" i="1"/>
  <c r="CV143" i="1"/>
  <c r="CW143" i="1"/>
  <c r="CX143" i="1"/>
  <c r="W143" i="1" s="1"/>
  <c r="GL143" i="1"/>
  <c r="GO143" i="1"/>
  <c r="GP143" i="1"/>
  <c r="GV143" i="1"/>
  <c r="HC143" i="1"/>
  <c r="GX143" i="1" s="1"/>
  <c r="R144" i="1"/>
  <c r="W144" i="1"/>
  <c r="Y144" i="1"/>
  <c r="AC144" i="1"/>
  <c r="AB144" i="1" s="1"/>
  <c r="AD144" i="1"/>
  <c r="AE144" i="1"/>
  <c r="AF144" i="1"/>
  <c r="AG144" i="1"/>
  <c r="AH144" i="1"/>
  <c r="CV144" i="1" s="1"/>
  <c r="U144" i="1" s="1"/>
  <c r="AI144" i="1"/>
  <c r="CW144" i="1" s="1"/>
  <c r="V144" i="1" s="1"/>
  <c r="AJ144" i="1"/>
  <c r="CQ144" i="1"/>
  <c r="P144" i="1" s="1"/>
  <c r="CR144" i="1"/>
  <c r="Q144" i="1" s="1"/>
  <c r="CS144" i="1"/>
  <c r="CT144" i="1"/>
  <c r="S144" i="1" s="1"/>
  <c r="CU144" i="1"/>
  <c r="T144" i="1" s="1"/>
  <c r="CX144" i="1"/>
  <c r="CY144" i="1"/>
  <c r="X144" i="1" s="1"/>
  <c r="CZ144" i="1"/>
  <c r="GL144" i="1"/>
  <c r="GO144" i="1"/>
  <c r="GP144" i="1"/>
  <c r="GV144" i="1"/>
  <c r="HC144" i="1"/>
  <c r="GX144" i="1" s="1"/>
  <c r="P145" i="1"/>
  <c r="Q145" i="1"/>
  <c r="W145" i="1"/>
  <c r="Y145" i="1"/>
  <c r="AC145" i="1"/>
  <c r="AB145" i="1" s="1"/>
  <c r="AE145" i="1"/>
  <c r="AD145" i="1" s="1"/>
  <c r="AF145" i="1"/>
  <c r="AG145" i="1"/>
  <c r="CU145" i="1" s="1"/>
  <c r="T145" i="1" s="1"/>
  <c r="AH145" i="1"/>
  <c r="AI145" i="1"/>
  <c r="AJ145" i="1"/>
  <c r="CX145" i="1" s="1"/>
  <c r="CQ145" i="1"/>
  <c r="CR145" i="1"/>
  <c r="CS145" i="1"/>
  <c r="R145" i="1" s="1"/>
  <c r="CT145" i="1"/>
  <c r="S145" i="1" s="1"/>
  <c r="CV145" i="1"/>
  <c r="U145" i="1" s="1"/>
  <c r="CW145" i="1"/>
  <c r="V145" i="1" s="1"/>
  <c r="CY145" i="1"/>
  <c r="X145" i="1" s="1"/>
  <c r="CZ145" i="1"/>
  <c r="GL145" i="1"/>
  <c r="GO145" i="1"/>
  <c r="GP145" i="1"/>
  <c r="GV145" i="1"/>
  <c r="HC145" i="1" s="1"/>
  <c r="GX145" i="1" s="1"/>
  <c r="C146" i="1"/>
  <c r="D146" i="1"/>
  <c r="T146" i="1"/>
  <c r="AC146" i="1"/>
  <c r="AE146" i="1"/>
  <c r="AD146" i="1" s="1"/>
  <c r="AF146" i="1"/>
  <c r="AG146" i="1"/>
  <c r="AH146" i="1"/>
  <c r="AI146" i="1"/>
  <c r="AJ146" i="1"/>
  <c r="CX146" i="1" s="1"/>
  <c r="W146" i="1" s="1"/>
  <c r="CQ146" i="1"/>
  <c r="CR146" i="1"/>
  <c r="CS146" i="1"/>
  <c r="CT146" i="1"/>
  <c r="CU146" i="1"/>
  <c r="CV146" i="1"/>
  <c r="CW146" i="1"/>
  <c r="GL146" i="1"/>
  <c r="GO146" i="1"/>
  <c r="GP146" i="1"/>
  <c r="GV146" i="1"/>
  <c r="HC146" i="1" s="1"/>
  <c r="GX146" i="1" s="1"/>
  <c r="I147" i="1"/>
  <c r="V147" i="1" s="1"/>
  <c r="R147" i="1"/>
  <c r="T147" i="1"/>
  <c r="AC147" i="1"/>
  <c r="AD147" i="1"/>
  <c r="AE147" i="1"/>
  <c r="AF147" i="1"/>
  <c r="AG147" i="1"/>
  <c r="AH147" i="1"/>
  <c r="AI147" i="1"/>
  <c r="AJ147" i="1"/>
  <c r="CX147" i="1" s="1"/>
  <c r="W147" i="1" s="1"/>
  <c r="CQ147" i="1"/>
  <c r="P147" i="1" s="1"/>
  <c r="CR147" i="1"/>
  <c r="Q147" i="1" s="1"/>
  <c r="CS147" i="1"/>
  <c r="CT147" i="1"/>
  <c r="S147" i="1" s="1"/>
  <c r="CU147" i="1"/>
  <c r="CV147" i="1"/>
  <c r="U147" i="1" s="1"/>
  <c r="CW147" i="1"/>
  <c r="CZ147" i="1"/>
  <c r="Y147" i="1" s="1"/>
  <c r="GL147" i="1"/>
  <c r="GO147" i="1"/>
  <c r="GP147" i="1"/>
  <c r="GV147" i="1"/>
  <c r="HC147" i="1" s="1"/>
  <c r="GX147" i="1"/>
  <c r="I148" i="1"/>
  <c r="Q148" i="1"/>
  <c r="R148" i="1"/>
  <c r="T148" i="1"/>
  <c r="AC148" i="1"/>
  <c r="AE148" i="1"/>
  <c r="AD148" i="1" s="1"/>
  <c r="AB148" i="1" s="1"/>
  <c r="AF148" i="1"/>
  <c r="AG148" i="1"/>
  <c r="AH148" i="1"/>
  <c r="AI148" i="1"/>
  <c r="AJ148" i="1"/>
  <c r="CQ148" i="1"/>
  <c r="P148" i="1" s="1"/>
  <c r="CR148" i="1"/>
  <c r="CS148" i="1"/>
  <c r="CT148" i="1"/>
  <c r="S148" i="1" s="1"/>
  <c r="CU148" i="1"/>
  <c r="CV148" i="1"/>
  <c r="U148" i="1" s="1"/>
  <c r="CW148" i="1"/>
  <c r="V148" i="1" s="1"/>
  <c r="CX148" i="1"/>
  <c r="W148" i="1" s="1"/>
  <c r="GL148" i="1"/>
  <c r="GO148" i="1"/>
  <c r="GP148" i="1"/>
  <c r="GV148" i="1"/>
  <c r="HC148" i="1"/>
  <c r="GX148" i="1" s="1"/>
  <c r="B150" i="1"/>
  <c r="C150" i="1"/>
  <c r="C134" i="1" s="1"/>
  <c r="D150" i="1"/>
  <c r="D134" i="1" s="1"/>
  <c r="F150" i="1"/>
  <c r="F134" i="1" s="1"/>
  <c r="G150" i="1"/>
  <c r="BB150" i="1"/>
  <c r="BB134" i="1" s="1"/>
  <c r="BC150" i="1"/>
  <c r="F166" i="1" s="1"/>
  <c r="BX150" i="1"/>
  <c r="AO150" i="1" s="1"/>
  <c r="BY150" i="1"/>
  <c r="BY134" i="1" s="1"/>
  <c r="CK150" i="1"/>
  <c r="CL150" i="1"/>
  <c r="CL134" i="1" s="1"/>
  <c r="CM150" i="1"/>
  <c r="BD150" i="1" s="1"/>
  <c r="F175" i="1"/>
  <c r="D180" i="1"/>
  <c r="B182" i="1"/>
  <c r="E182" i="1"/>
  <c r="F182" i="1"/>
  <c r="G182" i="1"/>
  <c r="Z182" i="1"/>
  <c r="AA182" i="1"/>
  <c r="AM182" i="1"/>
  <c r="AN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Y182" i="1"/>
  <c r="CL182" i="1"/>
  <c r="CN182" i="1"/>
  <c r="CO182" i="1"/>
  <c r="CP182" i="1"/>
  <c r="CQ182" i="1"/>
  <c r="CR182" i="1"/>
  <c r="CS182" i="1"/>
  <c r="CT182" i="1"/>
  <c r="CU182" i="1"/>
  <c r="CV182" i="1"/>
  <c r="CW182" i="1"/>
  <c r="CX182" i="1"/>
  <c r="CY182" i="1"/>
  <c r="CZ182" i="1"/>
  <c r="DA182" i="1"/>
  <c r="DB182" i="1"/>
  <c r="DC182" i="1"/>
  <c r="DD182" i="1"/>
  <c r="DE182" i="1"/>
  <c r="DF182" i="1"/>
  <c r="DG182" i="1"/>
  <c r="DH182" i="1"/>
  <c r="DI182" i="1"/>
  <c r="DJ182" i="1"/>
  <c r="DK182" i="1"/>
  <c r="DL182" i="1"/>
  <c r="DM182" i="1"/>
  <c r="DN182" i="1"/>
  <c r="DO182" i="1"/>
  <c r="DP182" i="1"/>
  <c r="DQ182" i="1"/>
  <c r="DR182" i="1"/>
  <c r="DS182" i="1"/>
  <c r="DT182" i="1"/>
  <c r="DU182" i="1"/>
  <c r="DV182" i="1"/>
  <c r="DW182" i="1"/>
  <c r="DX182" i="1"/>
  <c r="DY182" i="1"/>
  <c r="DZ182" i="1"/>
  <c r="EA182" i="1"/>
  <c r="EB182" i="1"/>
  <c r="EC182" i="1"/>
  <c r="ED182" i="1"/>
  <c r="EE182" i="1"/>
  <c r="EF182" i="1"/>
  <c r="EG182" i="1"/>
  <c r="EH182" i="1"/>
  <c r="EI182" i="1"/>
  <c r="EJ182" i="1"/>
  <c r="EK182" i="1"/>
  <c r="EL182" i="1"/>
  <c r="EM182" i="1"/>
  <c r="EN182" i="1"/>
  <c r="EO182" i="1"/>
  <c r="EP182" i="1"/>
  <c r="EQ182" i="1"/>
  <c r="ER182" i="1"/>
  <c r="ES182" i="1"/>
  <c r="ET182" i="1"/>
  <c r="EU182" i="1"/>
  <c r="EV182" i="1"/>
  <c r="EW182" i="1"/>
  <c r="EX182" i="1"/>
  <c r="EY182" i="1"/>
  <c r="EZ182" i="1"/>
  <c r="FA182" i="1"/>
  <c r="FB182" i="1"/>
  <c r="FC182" i="1"/>
  <c r="FD182" i="1"/>
  <c r="FE182" i="1"/>
  <c r="FF182" i="1"/>
  <c r="FG182" i="1"/>
  <c r="FH182" i="1"/>
  <c r="FI182" i="1"/>
  <c r="FJ182" i="1"/>
  <c r="FK182" i="1"/>
  <c r="FL182" i="1"/>
  <c r="FM182" i="1"/>
  <c r="FN182" i="1"/>
  <c r="FO182" i="1"/>
  <c r="FP182" i="1"/>
  <c r="FQ182" i="1"/>
  <c r="FR182" i="1"/>
  <c r="FS182" i="1"/>
  <c r="FT182" i="1"/>
  <c r="FU182" i="1"/>
  <c r="FV182" i="1"/>
  <c r="FW182" i="1"/>
  <c r="FX182" i="1"/>
  <c r="FY182" i="1"/>
  <c r="FZ182" i="1"/>
  <c r="GA182" i="1"/>
  <c r="GB182" i="1"/>
  <c r="GC182" i="1"/>
  <c r="GD182" i="1"/>
  <c r="GE182" i="1"/>
  <c r="GF182" i="1"/>
  <c r="GG182" i="1"/>
  <c r="GH182" i="1"/>
  <c r="GI182" i="1"/>
  <c r="GJ182" i="1"/>
  <c r="GK182" i="1"/>
  <c r="GL182" i="1"/>
  <c r="GM182" i="1"/>
  <c r="GN182" i="1"/>
  <c r="GO182" i="1"/>
  <c r="GP182" i="1"/>
  <c r="GQ182" i="1"/>
  <c r="GR182" i="1"/>
  <c r="GS182" i="1"/>
  <c r="GT182" i="1"/>
  <c r="GU182" i="1"/>
  <c r="GV182" i="1"/>
  <c r="GW182" i="1"/>
  <c r="GX182" i="1"/>
  <c r="C184" i="1"/>
  <c r="D184" i="1"/>
  <c r="I184" i="1"/>
  <c r="CX168" i="3" s="1"/>
  <c r="K184" i="1"/>
  <c r="T184" i="1"/>
  <c r="U184" i="1"/>
  <c r="V184" i="1"/>
  <c r="G622" i="7" s="1"/>
  <c r="W184" i="1"/>
  <c r="AC184" i="1"/>
  <c r="AE184" i="1"/>
  <c r="AD184" i="1" s="1"/>
  <c r="AF184" i="1"/>
  <c r="AG184" i="1"/>
  <c r="AH184" i="1"/>
  <c r="AI184" i="1"/>
  <c r="AJ184" i="1"/>
  <c r="CX184" i="1" s="1"/>
  <c r="CQ184" i="1"/>
  <c r="CR184" i="1"/>
  <c r="CS184" i="1"/>
  <c r="CT184" i="1"/>
  <c r="CU184" i="1"/>
  <c r="CV184" i="1"/>
  <c r="CW184" i="1"/>
  <c r="GL184" i="1"/>
  <c r="GO184" i="1"/>
  <c r="GP184" i="1"/>
  <c r="GV184" i="1"/>
  <c r="GX184" i="1"/>
  <c r="HC184" i="1"/>
  <c r="C185" i="1"/>
  <c r="D185" i="1"/>
  <c r="I185" i="1"/>
  <c r="CX169" i="3" s="1"/>
  <c r="K185" i="1"/>
  <c r="U185" i="1"/>
  <c r="AC185" i="1"/>
  <c r="AE185" i="1"/>
  <c r="AD185" i="1" s="1"/>
  <c r="AB185" i="1" s="1"/>
  <c r="AF185" i="1"/>
  <c r="AG185" i="1"/>
  <c r="AH185" i="1"/>
  <c r="AI185" i="1"/>
  <c r="AJ185" i="1"/>
  <c r="CX185" i="1" s="1"/>
  <c r="W185" i="1" s="1"/>
  <c r="CQ185" i="1"/>
  <c r="CR185" i="1"/>
  <c r="CS185" i="1"/>
  <c r="CT185" i="1"/>
  <c r="CU185" i="1"/>
  <c r="T185" i="1" s="1"/>
  <c r="CV185" i="1"/>
  <c r="CW185" i="1"/>
  <c r="GL185" i="1"/>
  <c r="GO185" i="1"/>
  <c r="GP185" i="1"/>
  <c r="GV185" i="1"/>
  <c r="HC185" i="1" s="1"/>
  <c r="GX185" i="1" s="1"/>
  <c r="C186" i="1"/>
  <c r="D186" i="1"/>
  <c r="T186" i="1"/>
  <c r="U186" i="1"/>
  <c r="G642" i="7" s="1"/>
  <c r="AC186" i="1"/>
  <c r="AE186" i="1"/>
  <c r="AD186" i="1" s="1"/>
  <c r="AF186" i="1"/>
  <c r="AG186" i="1"/>
  <c r="AH186" i="1"/>
  <c r="AI186" i="1"/>
  <c r="AJ186" i="1"/>
  <c r="CX186" i="1" s="1"/>
  <c r="W186" i="1" s="1"/>
  <c r="CQ186" i="1"/>
  <c r="CR186" i="1"/>
  <c r="CS186" i="1"/>
  <c r="CT186" i="1"/>
  <c r="CU186" i="1"/>
  <c r="CV186" i="1"/>
  <c r="CW186" i="1"/>
  <c r="GL186" i="1"/>
  <c r="GO186" i="1"/>
  <c r="GP186" i="1"/>
  <c r="GV186" i="1"/>
  <c r="HC186" i="1"/>
  <c r="GX186" i="1" s="1"/>
  <c r="C187" i="1"/>
  <c r="D187" i="1"/>
  <c r="I187" i="1"/>
  <c r="CV183" i="3" s="1"/>
  <c r="U187" i="1" s="1"/>
  <c r="G672" i="7" s="1"/>
  <c r="K187" i="1"/>
  <c r="AC187" i="1"/>
  <c r="AE187" i="1"/>
  <c r="AD187" i="1" s="1"/>
  <c r="AF187" i="1"/>
  <c r="AG187" i="1"/>
  <c r="CU187" i="1" s="1"/>
  <c r="AH187" i="1"/>
  <c r="AI187" i="1"/>
  <c r="AJ187" i="1"/>
  <c r="CX187" i="1" s="1"/>
  <c r="CQ187" i="1"/>
  <c r="CR187" i="1"/>
  <c r="CS187" i="1"/>
  <c r="CT187" i="1"/>
  <c r="CV187" i="1"/>
  <c r="CW187" i="1"/>
  <c r="GL187" i="1"/>
  <c r="GO187" i="1"/>
  <c r="GP187" i="1"/>
  <c r="GV187" i="1"/>
  <c r="HC187" i="1"/>
  <c r="GX187" i="1" s="1"/>
  <c r="I188" i="1"/>
  <c r="Q188" i="1" s="1"/>
  <c r="AC188" i="1"/>
  <c r="AE188" i="1"/>
  <c r="AD188" i="1" s="1"/>
  <c r="AF188" i="1"/>
  <c r="AG188" i="1"/>
  <c r="AH188" i="1"/>
  <c r="AI188" i="1"/>
  <c r="CW188" i="1" s="1"/>
  <c r="AJ188" i="1"/>
  <c r="CQ188" i="1"/>
  <c r="CR188" i="1"/>
  <c r="CS188" i="1"/>
  <c r="CT188" i="1"/>
  <c r="S188" i="1" s="1"/>
  <c r="CU188" i="1"/>
  <c r="T188" i="1" s="1"/>
  <c r="CV188" i="1"/>
  <c r="CX188" i="1"/>
  <c r="W188" i="1" s="1"/>
  <c r="GL188" i="1"/>
  <c r="GO188" i="1"/>
  <c r="GP188" i="1"/>
  <c r="GV188" i="1"/>
  <c r="HC188" i="1" s="1"/>
  <c r="C189" i="1"/>
  <c r="D189" i="1"/>
  <c r="I189" i="1"/>
  <c r="K189" i="1"/>
  <c r="T189" i="1"/>
  <c r="AC189" i="1"/>
  <c r="AE189" i="1"/>
  <c r="AD189" i="1" s="1"/>
  <c r="AF189" i="1"/>
  <c r="AG189" i="1"/>
  <c r="AH189" i="1"/>
  <c r="AI189" i="1"/>
  <c r="AJ189" i="1"/>
  <c r="CQ189" i="1"/>
  <c r="CR189" i="1"/>
  <c r="CS189" i="1"/>
  <c r="CT189" i="1"/>
  <c r="CU189" i="1"/>
  <c r="CV189" i="1"/>
  <c r="CW189" i="1"/>
  <c r="CX189" i="1"/>
  <c r="W189" i="1" s="1"/>
  <c r="GL189" i="1"/>
  <c r="GO189" i="1"/>
  <c r="GP189" i="1"/>
  <c r="GV189" i="1"/>
  <c r="GX189" i="1"/>
  <c r="HC189" i="1"/>
  <c r="C190" i="1"/>
  <c r="D190" i="1"/>
  <c r="I190" i="1"/>
  <c r="CX196" i="3" s="1"/>
  <c r="K190" i="1"/>
  <c r="T190" i="1"/>
  <c r="AC190" i="1"/>
  <c r="AD190" i="1"/>
  <c r="AE190" i="1"/>
  <c r="AF190" i="1"/>
  <c r="AG190" i="1"/>
  <c r="AH190" i="1"/>
  <c r="AI190" i="1"/>
  <c r="AJ190" i="1"/>
  <c r="CX190" i="1" s="1"/>
  <c r="W190" i="1" s="1"/>
  <c r="CQ190" i="1"/>
  <c r="CR190" i="1"/>
  <c r="CS190" i="1"/>
  <c r="CT190" i="1"/>
  <c r="CU190" i="1"/>
  <c r="CV190" i="1"/>
  <c r="CW190" i="1"/>
  <c r="GL190" i="1"/>
  <c r="GO190" i="1"/>
  <c r="GP190" i="1"/>
  <c r="GV190" i="1"/>
  <c r="HC190" i="1" s="1"/>
  <c r="GX190" i="1" s="1"/>
  <c r="I191" i="1"/>
  <c r="P191" i="1"/>
  <c r="CP191" i="1" s="1"/>
  <c r="O191" i="1" s="1"/>
  <c r="Q191" i="1"/>
  <c r="T191" i="1"/>
  <c r="AC191" i="1"/>
  <c r="AD191" i="1"/>
  <c r="AB191" i="1" s="1"/>
  <c r="AE191" i="1"/>
  <c r="AF191" i="1"/>
  <c r="AG191" i="1"/>
  <c r="CU191" i="1" s="1"/>
  <c r="AH191" i="1"/>
  <c r="CV191" i="1" s="1"/>
  <c r="U191" i="1" s="1"/>
  <c r="AI191" i="1"/>
  <c r="AJ191" i="1"/>
  <c r="CX191" i="1" s="1"/>
  <c r="CQ191" i="1"/>
  <c r="CR191" i="1"/>
  <c r="CS191" i="1"/>
  <c r="R191" i="1" s="1"/>
  <c r="CY191" i="1" s="1"/>
  <c r="X191" i="1" s="1"/>
  <c r="CT191" i="1"/>
  <c r="S191" i="1" s="1"/>
  <c r="CW191" i="1"/>
  <c r="V191" i="1" s="1"/>
  <c r="GL191" i="1"/>
  <c r="GO191" i="1"/>
  <c r="GP191" i="1"/>
  <c r="GV191" i="1"/>
  <c r="HC191" i="1" s="1"/>
  <c r="GX191" i="1" s="1"/>
  <c r="C192" i="1"/>
  <c r="D192" i="1"/>
  <c r="AC192" i="1"/>
  <c r="AE192" i="1"/>
  <c r="AD192" i="1" s="1"/>
  <c r="AF192" i="1"/>
  <c r="AG192" i="1"/>
  <c r="AH192" i="1"/>
  <c r="AI192" i="1"/>
  <c r="AJ192" i="1"/>
  <c r="CX192" i="1" s="1"/>
  <c r="W192" i="1" s="1"/>
  <c r="CQ192" i="1"/>
  <c r="CR192" i="1"/>
  <c r="CS192" i="1"/>
  <c r="CT192" i="1"/>
  <c r="CU192" i="1"/>
  <c r="T192" i="1" s="1"/>
  <c r="CV192" i="1"/>
  <c r="CW192" i="1"/>
  <c r="GL192" i="1"/>
  <c r="GO192" i="1"/>
  <c r="GP192" i="1"/>
  <c r="GV192" i="1"/>
  <c r="HC192" i="1"/>
  <c r="GX192" i="1" s="1"/>
  <c r="P193" i="1"/>
  <c r="Q193" i="1"/>
  <c r="V193" i="1"/>
  <c r="W193" i="1"/>
  <c r="X193" i="1"/>
  <c r="AC193" i="1"/>
  <c r="AB193" i="1" s="1"/>
  <c r="AE193" i="1"/>
  <c r="AD193" i="1" s="1"/>
  <c r="AF193" i="1"/>
  <c r="AG193" i="1"/>
  <c r="CU193" i="1" s="1"/>
  <c r="T193" i="1" s="1"/>
  <c r="AH193" i="1"/>
  <c r="AI193" i="1"/>
  <c r="AJ193" i="1"/>
  <c r="CX193" i="1" s="1"/>
  <c r="CQ193" i="1"/>
  <c r="CR193" i="1"/>
  <c r="CS193" i="1"/>
  <c r="R193" i="1" s="1"/>
  <c r="CT193" i="1"/>
  <c r="S193" i="1" s="1"/>
  <c r="CV193" i="1"/>
  <c r="U193" i="1" s="1"/>
  <c r="CW193" i="1"/>
  <c r="CY193" i="1"/>
  <c r="CZ193" i="1"/>
  <c r="Y193" i="1" s="1"/>
  <c r="GL193" i="1"/>
  <c r="GO193" i="1"/>
  <c r="GP193" i="1"/>
  <c r="GV193" i="1"/>
  <c r="HC193" i="1"/>
  <c r="GX193" i="1" s="1"/>
  <c r="C194" i="1"/>
  <c r="D194" i="1"/>
  <c r="I194" i="1"/>
  <c r="CU210" i="3" s="1"/>
  <c r="K194" i="1"/>
  <c r="U194" i="1"/>
  <c r="G747" i="7" s="1"/>
  <c r="AC194" i="1"/>
  <c r="AE194" i="1"/>
  <c r="AD194" i="1" s="1"/>
  <c r="AF194" i="1"/>
  <c r="AG194" i="1"/>
  <c r="CU194" i="1" s="1"/>
  <c r="T194" i="1" s="1"/>
  <c r="AH194" i="1"/>
  <c r="AI194" i="1"/>
  <c r="AJ194" i="1"/>
  <c r="CX194" i="1" s="1"/>
  <c r="W194" i="1" s="1"/>
  <c r="CQ194" i="1"/>
  <c r="CR194" i="1"/>
  <c r="CS194" i="1"/>
  <c r="CT194" i="1"/>
  <c r="CV194" i="1"/>
  <c r="CW194" i="1"/>
  <c r="GL194" i="1"/>
  <c r="GO194" i="1"/>
  <c r="GP194" i="1"/>
  <c r="GV194" i="1"/>
  <c r="GX194" i="1"/>
  <c r="HC194" i="1"/>
  <c r="I195" i="1"/>
  <c r="T195" i="1" s="1"/>
  <c r="AB195" i="1"/>
  <c r="AC195" i="1"/>
  <c r="AD195" i="1"/>
  <c r="AE195" i="1"/>
  <c r="AF195" i="1"/>
  <c r="AG195" i="1"/>
  <c r="CU195" i="1" s="1"/>
  <c r="AH195" i="1"/>
  <c r="AI195" i="1"/>
  <c r="CW195" i="1" s="1"/>
  <c r="V195" i="1" s="1"/>
  <c r="AJ195" i="1"/>
  <c r="CQ195" i="1"/>
  <c r="CR195" i="1"/>
  <c r="CS195" i="1"/>
  <c r="CT195" i="1"/>
  <c r="CV195" i="1"/>
  <c r="CX195" i="1"/>
  <c r="GL195" i="1"/>
  <c r="GO195" i="1"/>
  <c r="GP195" i="1"/>
  <c r="GV195" i="1"/>
  <c r="HC195" i="1" s="1"/>
  <c r="C196" i="1"/>
  <c r="D196" i="1"/>
  <c r="AC196" i="1"/>
  <c r="AE196" i="1"/>
  <c r="AD196" i="1" s="1"/>
  <c r="AF196" i="1"/>
  <c r="AG196" i="1"/>
  <c r="CU196" i="1" s="1"/>
  <c r="T196" i="1" s="1"/>
  <c r="AH196" i="1"/>
  <c r="AI196" i="1"/>
  <c r="AJ196" i="1"/>
  <c r="CQ196" i="1"/>
  <c r="CR196" i="1"/>
  <c r="CS196" i="1"/>
  <c r="CT196" i="1"/>
  <c r="CV196" i="1"/>
  <c r="CW196" i="1"/>
  <c r="CX196" i="1"/>
  <c r="W196" i="1" s="1"/>
  <c r="GL196" i="1"/>
  <c r="GO196" i="1"/>
  <c r="GP196" i="1"/>
  <c r="GV196" i="1"/>
  <c r="HC196" i="1"/>
  <c r="GX196" i="1" s="1"/>
  <c r="I197" i="1"/>
  <c r="V197" i="1"/>
  <c r="AC197" i="1"/>
  <c r="AD197" i="1"/>
  <c r="AE197" i="1"/>
  <c r="AF197" i="1"/>
  <c r="AB197" i="1" s="1"/>
  <c r="AG197" i="1"/>
  <c r="AH197" i="1"/>
  <c r="AI197" i="1"/>
  <c r="CW197" i="1" s="1"/>
  <c r="AJ197" i="1"/>
  <c r="CQ197" i="1"/>
  <c r="P197" i="1" s="1"/>
  <c r="CP197" i="1" s="1"/>
  <c r="O197" i="1" s="1"/>
  <c r="CR197" i="1"/>
  <c r="Q197" i="1" s="1"/>
  <c r="CS197" i="1"/>
  <c r="R197" i="1" s="1"/>
  <c r="CT197" i="1"/>
  <c r="S197" i="1" s="1"/>
  <c r="CU197" i="1"/>
  <c r="T197" i="1" s="1"/>
  <c r="CV197" i="1"/>
  <c r="U197" i="1" s="1"/>
  <c r="CX197" i="1"/>
  <c r="W197" i="1" s="1"/>
  <c r="GL197" i="1"/>
  <c r="GO197" i="1"/>
  <c r="GP197" i="1"/>
  <c r="GV197" i="1"/>
  <c r="HC197" i="1"/>
  <c r="GX197" i="1" s="1"/>
  <c r="C198" i="1"/>
  <c r="D198" i="1"/>
  <c r="T198" i="1"/>
  <c r="U198" i="1"/>
  <c r="G789" i="7" s="1"/>
  <c r="AC198" i="1"/>
  <c r="AE198" i="1"/>
  <c r="AD198" i="1" s="1"/>
  <c r="AF198" i="1"/>
  <c r="AG198" i="1"/>
  <c r="AH198" i="1"/>
  <c r="AI198" i="1"/>
  <c r="AJ198" i="1"/>
  <c r="CQ198" i="1"/>
  <c r="CR198" i="1"/>
  <c r="CS198" i="1"/>
  <c r="CT198" i="1"/>
  <c r="CU198" i="1"/>
  <c r="CV198" i="1"/>
  <c r="CW198" i="1"/>
  <c r="CX198" i="1"/>
  <c r="W198" i="1" s="1"/>
  <c r="GL198" i="1"/>
  <c r="GO198" i="1"/>
  <c r="GP198" i="1"/>
  <c r="GV198" i="1"/>
  <c r="HC198" i="1" s="1"/>
  <c r="GX198" i="1"/>
  <c r="Q199" i="1"/>
  <c r="R199" i="1"/>
  <c r="S199" i="1"/>
  <c r="W199" i="1"/>
  <c r="X199" i="1"/>
  <c r="GM199" i="1" s="1"/>
  <c r="GN199" i="1" s="1"/>
  <c r="Y199" i="1"/>
  <c r="AC199" i="1"/>
  <c r="AB199" i="1" s="1"/>
  <c r="AE199" i="1"/>
  <c r="AD199" i="1" s="1"/>
  <c r="AF199" i="1"/>
  <c r="AG199" i="1"/>
  <c r="CU199" i="1" s="1"/>
  <c r="T199" i="1" s="1"/>
  <c r="AH199" i="1"/>
  <c r="CV199" i="1" s="1"/>
  <c r="U199" i="1" s="1"/>
  <c r="AI199" i="1"/>
  <c r="AJ199" i="1"/>
  <c r="CQ199" i="1"/>
  <c r="P199" i="1" s="1"/>
  <c r="CP199" i="1" s="1"/>
  <c r="O199" i="1" s="1"/>
  <c r="CR199" i="1"/>
  <c r="CS199" i="1"/>
  <c r="CT199" i="1"/>
  <c r="CW199" i="1"/>
  <c r="V199" i="1" s="1"/>
  <c r="CX199" i="1"/>
  <c r="CY199" i="1"/>
  <c r="CZ199" i="1"/>
  <c r="GL199" i="1"/>
  <c r="GO199" i="1"/>
  <c r="GP199" i="1"/>
  <c r="GV199" i="1"/>
  <c r="HC199" i="1" s="1"/>
  <c r="GX199" i="1" s="1"/>
  <c r="C200" i="1"/>
  <c r="D200" i="1"/>
  <c r="V200" i="1"/>
  <c r="G813" i="7" s="1"/>
  <c r="AC200" i="1"/>
  <c r="AE200" i="1"/>
  <c r="AD200" i="1" s="1"/>
  <c r="AF200" i="1"/>
  <c r="AG200" i="1"/>
  <c r="AH200" i="1"/>
  <c r="AI200" i="1"/>
  <c r="AJ200" i="1"/>
  <c r="CX200" i="1" s="1"/>
  <c r="W200" i="1" s="1"/>
  <c r="CQ200" i="1"/>
  <c r="CR200" i="1"/>
  <c r="CS200" i="1"/>
  <c r="CT200" i="1"/>
  <c r="CU200" i="1"/>
  <c r="T200" i="1" s="1"/>
  <c r="CV200" i="1"/>
  <c r="CW200" i="1"/>
  <c r="GL200" i="1"/>
  <c r="GN200" i="1"/>
  <c r="GP200" i="1"/>
  <c r="GV200" i="1"/>
  <c r="HC200" i="1" s="1"/>
  <c r="GX200" i="1" s="1"/>
  <c r="I201" i="1"/>
  <c r="S201" i="1" s="1"/>
  <c r="P201" i="1"/>
  <c r="Q201" i="1"/>
  <c r="U201" i="1"/>
  <c r="V201" i="1"/>
  <c r="W201" i="1"/>
  <c r="AB201" i="1"/>
  <c r="AC201" i="1"/>
  <c r="AE201" i="1"/>
  <c r="AD201" i="1" s="1"/>
  <c r="AF201" i="1"/>
  <c r="AG201" i="1"/>
  <c r="AH201" i="1"/>
  <c r="AI201" i="1"/>
  <c r="AJ201" i="1"/>
  <c r="CP201" i="1"/>
  <c r="CQ201" i="1"/>
  <c r="CR201" i="1"/>
  <c r="CS201" i="1"/>
  <c r="R201" i="1" s="1"/>
  <c r="CT201" i="1"/>
  <c r="CU201" i="1"/>
  <c r="T201" i="1" s="1"/>
  <c r="CV201" i="1"/>
  <c r="CW201" i="1"/>
  <c r="CX201" i="1"/>
  <c r="CY201" i="1"/>
  <c r="X201" i="1" s="1"/>
  <c r="CZ201" i="1"/>
  <c r="Y201" i="1" s="1"/>
  <c r="GL201" i="1"/>
  <c r="GN201" i="1"/>
  <c r="GP201" i="1"/>
  <c r="GV201" i="1"/>
  <c r="HC201" i="1"/>
  <c r="Q202" i="1"/>
  <c r="T202" i="1"/>
  <c r="V202" i="1"/>
  <c r="AC202" i="1"/>
  <c r="AD202" i="1"/>
  <c r="AE202" i="1"/>
  <c r="AF202" i="1"/>
  <c r="AG202" i="1"/>
  <c r="CU202" i="1" s="1"/>
  <c r="AH202" i="1"/>
  <c r="CV202" i="1" s="1"/>
  <c r="U202" i="1" s="1"/>
  <c r="AI202" i="1"/>
  <c r="AJ202" i="1"/>
  <c r="CQ202" i="1"/>
  <c r="P202" i="1" s="1"/>
  <c r="CR202" i="1"/>
  <c r="CS202" i="1"/>
  <c r="R202" i="1" s="1"/>
  <c r="CT202" i="1"/>
  <c r="S202" i="1" s="1"/>
  <c r="CW202" i="1"/>
  <c r="CX202" i="1"/>
  <c r="W202" i="1" s="1"/>
  <c r="CY202" i="1"/>
  <c r="X202" i="1" s="1"/>
  <c r="CZ202" i="1"/>
  <c r="Y202" i="1" s="1"/>
  <c r="GL202" i="1"/>
  <c r="GO202" i="1"/>
  <c r="GP202" i="1"/>
  <c r="GV202" i="1"/>
  <c r="HC202" i="1" s="1"/>
  <c r="GX202" i="1"/>
  <c r="HG202" i="1"/>
  <c r="C203" i="1"/>
  <c r="D203" i="1"/>
  <c r="T203" i="1"/>
  <c r="AC203" i="1"/>
  <c r="AE203" i="1"/>
  <c r="AD203" i="1" s="1"/>
  <c r="AF203" i="1"/>
  <c r="AG203" i="1"/>
  <c r="AH203" i="1"/>
  <c r="AI203" i="1"/>
  <c r="AJ203" i="1"/>
  <c r="CX203" i="1" s="1"/>
  <c r="W203" i="1" s="1"/>
  <c r="CQ203" i="1"/>
  <c r="CR203" i="1"/>
  <c r="CS203" i="1"/>
  <c r="CT203" i="1"/>
  <c r="CU203" i="1"/>
  <c r="CV203" i="1"/>
  <c r="CW203" i="1"/>
  <c r="GL203" i="1"/>
  <c r="GO203" i="1"/>
  <c r="GP203" i="1"/>
  <c r="GV203" i="1"/>
  <c r="GX203" i="1"/>
  <c r="HC203" i="1"/>
  <c r="I204" i="1"/>
  <c r="Q204" i="1"/>
  <c r="S204" i="1"/>
  <c r="T204" i="1"/>
  <c r="AC204" i="1"/>
  <c r="AE204" i="1"/>
  <c r="AD204" i="1" s="1"/>
  <c r="AF204" i="1"/>
  <c r="AG204" i="1"/>
  <c r="AH204" i="1"/>
  <c r="AI204" i="1"/>
  <c r="CW204" i="1" s="1"/>
  <c r="V204" i="1" s="1"/>
  <c r="AJ204" i="1"/>
  <c r="CQ204" i="1"/>
  <c r="P204" i="1" s="1"/>
  <c r="CP204" i="1" s="1"/>
  <c r="O204" i="1" s="1"/>
  <c r="CR204" i="1"/>
  <c r="CS204" i="1"/>
  <c r="R204" i="1" s="1"/>
  <c r="CT204" i="1"/>
  <c r="CU204" i="1"/>
  <c r="CV204" i="1"/>
  <c r="U204" i="1" s="1"/>
  <c r="CX204" i="1"/>
  <c r="W204" i="1" s="1"/>
  <c r="GL204" i="1"/>
  <c r="GO204" i="1"/>
  <c r="GP204" i="1"/>
  <c r="GV204" i="1"/>
  <c r="GX204" i="1"/>
  <c r="HC204" i="1"/>
  <c r="C205" i="1"/>
  <c r="D205" i="1"/>
  <c r="T205" i="1"/>
  <c r="U205" i="1"/>
  <c r="G843" i="7" s="1"/>
  <c r="AC205" i="1"/>
  <c r="AD205" i="1"/>
  <c r="AE205" i="1"/>
  <c r="AF205" i="1"/>
  <c r="AG205" i="1"/>
  <c r="AH205" i="1"/>
  <c r="AI205" i="1"/>
  <c r="AJ205" i="1"/>
  <c r="CX205" i="1" s="1"/>
  <c r="W205" i="1" s="1"/>
  <c r="CQ205" i="1"/>
  <c r="CR205" i="1"/>
  <c r="CS205" i="1"/>
  <c r="CT205" i="1"/>
  <c r="CU205" i="1"/>
  <c r="CV205" i="1"/>
  <c r="CW205" i="1"/>
  <c r="GL205" i="1"/>
  <c r="GO205" i="1"/>
  <c r="GP205" i="1"/>
  <c r="GV205" i="1"/>
  <c r="HC205" i="1" s="1"/>
  <c r="GX205" i="1" s="1"/>
  <c r="I206" i="1"/>
  <c r="P206" i="1"/>
  <c r="CP206" i="1" s="1"/>
  <c r="O206" i="1" s="1"/>
  <c r="Q206" i="1"/>
  <c r="V206" i="1"/>
  <c r="AC206" i="1"/>
  <c r="AE206" i="1"/>
  <c r="AD206" i="1" s="1"/>
  <c r="AB206" i="1" s="1"/>
  <c r="AF206" i="1"/>
  <c r="AG206" i="1"/>
  <c r="CU206" i="1" s="1"/>
  <c r="T206" i="1" s="1"/>
  <c r="AH206" i="1"/>
  <c r="CV206" i="1" s="1"/>
  <c r="U206" i="1" s="1"/>
  <c r="AI206" i="1"/>
  <c r="AJ206" i="1"/>
  <c r="CX206" i="1" s="1"/>
  <c r="CQ206" i="1"/>
  <c r="CR206" i="1"/>
  <c r="CS206" i="1"/>
  <c r="R206" i="1" s="1"/>
  <c r="CZ206" i="1" s="1"/>
  <c r="Y206" i="1" s="1"/>
  <c r="CT206" i="1"/>
  <c r="S206" i="1" s="1"/>
  <c r="CW206" i="1"/>
  <c r="GL206" i="1"/>
  <c r="GO206" i="1"/>
  <c r="GP206" i="1"/>
  <c r="GV206" i="1"/>
  <c r="HC206" i="1"/>
  <c r="GX206" i="1" s="1"/>
  <c r="B208" i="1"/>
  <c r="C208" i="1"/>
  <c r="C182" i="1" s="1"/>
  <c r="D208" i="1"/>
  <c r="D182" i="1" s="1"/>
  <c r="F208" i="1"/>
  <c r="G208" i="1"/>
  <c r="AP208" i="1"/>
  <c r="F217" i="1" s="1"/>
  <c r="BB208" i="1"/>
  <c r="BB182" i="1" s="1"/>
  <c r="BC208" i="1"/>
  <c r="BD208" i="1"/>
  <c r="BD182" i="1" s="1"/>
  <c r="BX208" i="1"/>
  <c r="AO208" i="1" s="1"/>
  <c r="BY208" i="1"/>
  <c r="CK208" i="1"/>
  <c r="CK182" i="1" s="1"/>
  <c r="CL208" i="1"/>
  <c r="CM208" i="1"/>
  <c r="CM182" i="1" s="1"/>
  <c r="F221" i="1"/>
  <c r="F233" i="1"/>
  <c r="B238" i="1"/>
  <c r="B22" i="1" s="1"/>
  <c r="C238" i="1"/>
  <c r="D238" i="1"/>
  <c r="D22" i="1" s="1"/>
  <c r="F238" i="1"/>
  <c r="G238" i="1"/>
  <c r="G22" i="1" s="1"/>
  <c r="B268" i="1"/>
  <c r="B18" i="1" s="1"/>
  <c r="C268" i="1"/>
  <c r="C18" i="1" s="1"/>
  <c r="D268" i="1"/>
  <c r="D18" i="1" s="1"/>
  <c r="F268" i="1"/>
  <c r="F18" i="1" s="1"/>
  <c r="G268" i="1"/>
  <c r="F12" i="6"/>
  <c r="G12" i="6"/>
  <c r="AB98" i="1" l="1"/>
  <c r="O201" i="1"/>
  <c r="L818" i="7"/>
  <c r="O88" i="1"/>
  <c r="L296" i="7"/>
  <c r="L713" i="7"/>
  <c r="L768" i="7"/>
  <c r="L755" i="7"/>
  <c r="L527" i="7"/>
  <c r="AO555" i="7" s="1"/>
  <c r="L698" i="7"/>
  <c r="L681" i="7"/>
  <c r="L819" i="7"/>
  <c r="L802" i="7"/>
  <c r="AO283" i="7"/>
  <c r="AT742" i="7"/>
  <c r="L739" i="7" s="1"/>
  <c r="L679" i="7"/>
  <c r="L784" i="7"/>
  <c r="L380" i="7"/>
  <c r="L386" i="7" s="1"/>
  <c r="L243" i="7"/>
  <c r="L357" i="7"/>
  <c r="AO248" i="7"/>
  <c r="L928" i="7"/>
  <c r="L916" i="7"/>
  <c r="L945" i="7"/>
  <c r="L937" i="7" s="1"/>
  <c r="L986" i="7" s="1"/>
  <c r="AT362" i="7"/>
  <c r="L359" i="7" s="1"/>
  <c r="L514" i="7"/>
  <c r="L967" i="7"/>
  <c r="L738" i="7"/>
  <c r="L261" i="7"/>
  <c r="L182" i="7"/>
  <c r="AO640" i="7"/>
  <c r="AO186" i="7"/>
  <c r="L137" i="7"/>
  <c r="AO160" i="7" s="1"/>
  <c r="L495" i="7"/>
  <c r="L884" i="7"/>
  <c r="AO407" i="7"/>
  <c r="L460" i="7"/>
  <c r="AT482" i="7"/>
  <c r="L593" i="7" s="1"/>
  <c r="L552" i="7"/>
  <c r="AO856" i="7"/>
  <c r="AO89" i="7"/>
  <c r="L85" i="7"/>
  <c r="L418" i="7"/>
  <c r="L851" i="7"/>
  <c r="L59" i="7"/>
  <c r="L896" i="7"/>
  <c r="AT669" i="7"/>
  <c r="L644" i="7"/>
  <c r="L497" i="7"/>
  <c r="AO300" i="7"/>
  <c r="L295" i="7"/>
  <c r="L314" i="7"/>
  <c r="L226" i="7"/>
  <c r="L114" i="7"/>
  <c r="L225" i="7"/>
  <c r="AO841" i="7"/>
  <c r="L836" i="7"/>
  <c r="L425" i="7"/>
  <c r="L157" i="7"/>
  <c r="L102" i="7"/>
  <c r="L404" i="7"/>
  <c r="L860" i="7"/>
  <c r="AO76" i="7"/>
  <c r="L403" i="7"/>
  <c r="AO375" i="7"/>
  <c r="L371" i="7"/>
  <c r="L625" i="7"/>
  <c r="AO629" i="7"/>
  <c r="L626" i="7"/>
  <c r="L588" i="7"/>
  <c r="K29" i="7"/>
  <c r="L107" i="7"/>
  <c r="AO203" i="7"/>
  <c r="AO53" i="7"/>
  <c r="L49" i="7"/>
  <c r="AO742" i="7"/>
  <c r="AW584" i="7"/>
  <c r="L905" i="7" s="1"/>
  <c r="L903" i="7" s="1"/>
  <c r="L578" i="7"/>
  <c r="AO421" i="7"/>
  <c r="AT344" i="7"/>
  <c r="L341" i="7" s="1"/>
  <c r="L328" i="7"/>
  <c r="L50" i="7"/>
  <c r="L817" i="7"/>
  <c r="L782" i="7"/>
  <c r="AB186" i="1"/>
  <c r="AB136" i="1"/>
  <c r="AB100" i="1"/>
  <c r="AB198" i="1"/>
  <c r="AB140" i="1"/>
  <c r="AB79" i="1"/>
  <c r="CD35" i="1"/>
  <c r="AU35" i="1" s="1"/>
  <c r="AU26" i="1" s="1"/>
  <c r="AB77" i="1"/>
  <c r="AB95" i="1"/>
  <c r="AB99" i="1"/>
  <c r="AB189" i="1"/>
  <c r="BZ35" i="1"/>
  <c r="CI35" i="1" s="1"/>
  <c r="AZ35" i="1" s="1"/>
  <c r="AZ26" i="1" s="1"/>
  <c r="AB187" i="1"/>
  <c r="AB81" i="1"/>
  <c r="AB205" i="1"/>
  <c r="AB73" i="1"/>
  <c r="AB146" i="1"/>
  <c r="CC35" i="1"/>
  <c r="AT35" i="1" s="1"/>
  <c r="AT26" i="1" s="1"/>
  <c r="AB30" i="1"/>
  <c r="CC150" i="1"/>
  <c r="AT150" i="1" s="1"/>
  <c r="AB87" i="1"/>
  <c r="BZ102" i="1"/>
  <c r="AQ102" i="1" s="1"/>
  <c r="BZ208" i="1"/>
  <c r="CI208" i="1" s="1"/>
  <c r="AB138" i="1"/>
  <c r="AB200" i="1"/>
  <c r="AB203" i="1"/>
  <c r="AB192" i="1"/>
  <c r="AB71" i="1"/>
  <c r="AB84" i="1"/>
  <c r="AB190" i="1"/>
  <c r="AB143" i="1"/>
  <c r="CD150" i="1"/>
  <c r="CD134" i="1" s="1"/>
  <c r="CP147" i="1"/>
  <c r="O147" i="1" s="1"/>
  <c r="AJ150" i="1"/>
  <c r="DH51" i="3"/>
  <c r="DF51" i="3"/>
  <c r="DG51" i="3"/>
  <c r="DJ51" i="3" s="1"/>
  <c r="DI51" i="3"/>
  <c r="V70" i="1"/>
  <c r="F212" i="1"/>
  <c r="AO182" i="1"/>
  <c r="AO67" i="1"/>
  <c r="F106" i="1"/>
  <c r="BB35" i="1"/>
  <c r="CK26" i="1"/>
  <c r="W35" i="1"/>
  <c r="AJ26" i="1"/>
  <c r="DF211" i="3"/>
  <c r="DG211" i="3"/>
  <c r="DH211" i="3"/>
  <c r="DI211" i="3"/>
  <c r="DI194" i="3"/>
  <c r="DF194" i="3"/>
  <c r="DG194" i="3"/>
  <c r="DJ194" i="3" s="1"/>
  <c r="DH194" i="3"/>
  <c r="AB188" i="1"/>
  <c r="CP144" i="1"/>
  <c r="O144" i="1" s="1"/>
  <c r="GM144" i="1" s="1"/>
  <c r="GN144" i="1" s="1"/>
  <c r="CU77" i="3"/>
  <c r="CV77" i="3"/>
  <c r="U90" i="1" s="1"/>
  <c r="G306" i="7" s="1"/>
  <c r="CX78" i="3"/>
  <c r="T90" i="1"/>
  <c r="W90" i="1"/>
  <c r="CX80" i="3"/>
  <c r="P85" i="1"/>
  <c r="U85" i="1"/>
  <c r="W85" i="1"/>
  <c r="CX69" i="3"/>
  <c r="CW69" i="3"/>
  <c r="V84" i="1" s="1"/>
  <c r="G274" i="7" s="1"/>
  <c r="CJ150" i="1"/>
  <c r="U188" i="1"/>
  <c r="DF220" i="3"/>
  <c r="DH220" i="3"/>
  <c r="DG220" i="3"/>
  <c r="DI220" i="3"/>
  <c r="DJ220" i="3" s="1"/>
  <c r="DI167" i="3"/>
  <c r="DF167" i="3"/>
  <c r="P184" i="1" s="1"/>
  <c r="DG167" i="3"/>
  <c r="DH167" i="3"/>
  <c r="R184" i="1" s="1"/>
  <c r="DG108" i="3"/>
  <c r="DF108" i="3"/>
  <c r="DH108" i="3"/>
  <c r="DI108" i="3"/>
  <c r="DF71" i="3"/>
  <c r="DJ71" i="3" s="1"/>
  <c r="DG71" i="3"/>
  <c r="DH71" i="3"/>
  <c r="DG1" i="3"/>
  <c r="DH1" i="3"/>
  <c r="DI1" i="3"/>
  <c r="DF1" i="3"/>
  <c r="CZ197" i="1"/>
  <c r="Y197" i="1" s="1"/>
  <c r="CY197" i="1"/>
  <c r="X197" i="1" s="1"/>
  <c r="GM197" i="1" s="1"/>
  <c r="GN197" i="1" s="1"/>
  <c r="T187" i="1"/>
  <c r="AG208" i="1" s="1"/>
  <c r="AB89" i="1"/>
  <c r="T85" i="1"/>
  <c r="T70" i="1"/>
  <c r="AB204" i="1"/>
  <c r="DF168" i="3"/>
  <c r="DG168" i="3"/>
  <c r="DJ168" i="3" s="1"/>
  <c r="DH168" i="3"/>
  <c r="S139" i="1"/>
  <c r="S85" i="1"/>
  <c r="DH16" i="3"/>
  <c r="DG16" i="3"/>
  <c r="DI16" i="3"/>
  <c r="DF16" i="3"/>
  <c r="DJ16" i="3" s="1"/>
  <c r="CZ191" i="1"/>
  <c r="Y191" i="1" s="1"/>
  <c r="GM191" i="1" s="1"/>
  <c r="GN191" i="1" s="1"/>
  <c r="P188" i="1"/>
  <c r="Q139" i="1"/>
  <c r="AB78" i="1"/>
  <c r="DH227" i="3"/>
  <c r="DF227" i="3"/>
  <c r="DJ227" i="3" s="1"/>
  <c r="DG227" i="3"/>
  <c r="DI227" i="3"/>
  <c r="CY204" i="1"/>
  <c r="X204" i="1" s="1"/>
  <c r="GM204" i="1" s="1"/>
  <c r="GN204" i="1" s="1"/>
  <c r="CZ204" i="1"/>
  <c r="Y204" i="1" s="1"/>
  <c r="U195" i="1"/>
  <c r="AP182" i="1"/>
  <c r="CZ96" i="1"/>
  <c r="Y96" i="1" s="1"/>
  <c r="CY96" i="1"/>
  <c r="X96" i="1" s="1"/>
  <c r="Q86" i="1"/>
  <c r="DI240" i="3"/>
  <c r="DH240" i="3"/>
  <c r="DF240" i="3"/>
  <c r="DJ240" i="3" s="1"/>
  <c r="DG240" i="3"/>
  <c r="DI168" i="3"/>
  <c r="R188" i="1"/>
  <c r="CY188" i="1" s="1"/>
  <c r="X188" i="1" s="1"/>
  <c r="DF181" i="3"/>
  <c r="DJ181" i="3" s="1"/>
  <c r="DG181" i="3"/>
  <c r="DH181" i="3"/>
  <c r="DI181" i="3"/>
  <c r="CW51" i="3"/>
  <c r="AB91" i="1"/>
  <c r="CU46" i="3"/>
  <c r="CX52" i="3"/>
  <c r="CW52" i="3"/>
  <c r="CX48" i="3"/>
  <c r="CX50" i="3"/>
  <c r="CX54" i="3"/>
  <c r="CU47" i="3"/>
  <c r="CV47" i="3"/>
  <c r="CX47" i="3"/>
  <c r="CX55" i="3"/>
  <c r="CV46" i="3"/>
  <c r="U77" i="1" s="1"/>
  <c r="G210" i="7" s="1"/>
  <c r="CX46" i="3"/>
  <c r="DG226" i="3"/>
  <c r="DI226" i="3"/>
  <c r="DF226" i="3"/>
  <c r="DJ226" i="3" s="1"/>
  <c r="DH226" i="3"/>
  <c r="CP76" i="1"/>
  <c r="O76" i="1" s="1"/>
  <c r="GM76" i="1" s="1"/>
  <c r="GN76" i="1" s="1"/>
  <c r="CY206" i="1"/>
  <c r="X206" i="1" s="1"/>
  <c r="GM206" i="1" s="1"/>
  <c r="GN206" i="1" s="1"/>
  <c r="CZ148" i="1"/>
  <c r="Y148" i="1" s="1"/>
  <c r="CP96" i="1"/>
  <c r="O96" i="1" s="1"/>
  <c r="GM96" i="1" s="1"/>
  <c r="GN96" i="1" s="1"/>
  <c r="T86" i="1"/>
  <c r="CX183" i="3"/>
  <c r="S195" i="1"/>
  <c r="V188" i="1"/>
  <c r="AB137" i="1"/>
  <c r="CY80" i="1"/>
  <c r="X80" i="1" s="1"/>
  <c r="CW12" i="3"/>
  <c r="CX17" i="3"/>
  <c r="CX12" i="3"/>
  <c r="CX20" i="3"/>
  <c r="CX23" i="3"/>
  <c r="CW15" i="3"/>
  <c r="CX15" i="3"/>
  <c r="CX11" i="3"/>
  <c r="CU10" i="3"/>
  <c r="CV10" i="3"/>
  <c r="U69" i="1" s="1"/>
  <c r="G135" i="7" s="1"/>
  <c r="CX18" i="3"/>
  <c r="CW14" i="3"/>
  <c r="CX14" i="3"/>
  <c r="I70" i="1"/>
  <c r="P139" i="1"/>
  <c r="AG150" i="1"/>
  <c r="CP91" i="1"/>
  <c r="O91" i="1" s="1"/>
  <c r="GM91" i="1" s="1"/>
  <c r="GO91" i="1" s="1"/>
  <c r="CP89" i="1"/>
  <c r="O89" i="1" s="1"/>
  <c r="GM89" i="1" s="1"/>
  <c r="GN89" i="1" s="1"/>
  <c r="AB82" i="1"/>
  <c r="AB72" i="1"/>
  <c r="DF119" i="3"/>
  <c r="DJ119" i="3" s="1"/>
  <c r="DG119" i="3"/>
  <c r="DH119" i="3"/>
  <c r="DI119" i="3"/>
  <c r="AB97" i="1"/>
  <c r="T77" i="1"/>
  <c r="W69" i="1"/>
  <c r="DJ243" i="3"/>
  <c r="DI71" i="3"/>
  <c r="BX182" i="1"/>
  <c r="AO134" i="1"/>
  <c r="F154" i="1"/>
  <c r="CP145" i="1"/>
  <c r="O145" i="1" s="1"/>
  <c r="GM145" i="1" s="1"/>
  <c r="GN145" i="1" s="1"/>
  <c r="CV95" i="3"/>
  <c r="U97" i="1" s="1"/>
  <c r="G365" i="7" s="1"/>
  <c r="CX95" i="3"/>
  <c r="DF196" i="3"/>
  <c r="DJ196" i="3" s="1"/>
  <c r="DH196" i="3"/>
  <c r="DI196" i="3"/>
  <c r="DG196" i="3"/>
  <c r="CP148" i="1"/>
  <c r="O148" i="1" s="1"/>
  <c r="DF40" i="3"/>
  <c r="DJ40" i="3" s="1"/>
  <c r="DI40" i="3"/>
  <c r="DG40" i="3"/>
  <c r="DH40" i="3"/>
  <c r="CU183" i="3"/>
  <c r="CX184" i="3"/>
  <c r="W187" i="1"/>
  <c r="AJ208" i="1" s="1"/>
  <c r="CW185" i="3"/>
  <c r="V187" i="1" s="1"/>
  <c r="G675" i="7" s="1"/>
  <c r="CX2" i="3"/>
  <c r="T28" i="1"/>
  <c r="AG35" i="1" s="1"/>
  <c r="DF24" i="3"/>
  <c r="DJ24" i="3" s="1"/>
  <c r="DG24" i="3"/>
  <c r="DH24" i="3"/>
  <c r="DI24" i="3"/>
  <c r="R195" i="1"/>
  <c r="GX195" i="1"/>
  <c r="F163" i="1"/>
  <c r="GM92" i="1"/>
  <c r="GO92" i="1" s="1"/>
  <c r="S86" i="1"/>
  <c r="Q195" i="1"/>
  <c r="CP142" i="1"/>
  <c r="O142" i="1" s="1"/>
  <c r="GM142" i="1" s="1"/>
  <c r="GN142" i="1" s="1"/>
  <c r="BY67" i="1"/>
  <c r="AP102" i="1"/>
  <c r="GX90" i="1"/>
  <c r="R85" i="1"/>
  <c r="U74" i="1"/>
  <c r="DF127" i="3"/>
  <c r="DH127" i="3"/>
  <c r="DG127" i="3"/>
  <c r="DI127" i="3"/>
  <c r="DJ127" i="3" s="1"/>
  <c r="DF76" i="3"/>
  <c r="DJ76" i="3" s="1"/>
  <c r="DI76" i="3"/>
  <c r="DG76" i="3"/>
  <c r="DH76" i="3"/>
  <c r="CW42" i="3"/>
  <c r="CU41" i="3"/>
  <c r="CV41" i="3"/>
  <c r="U73" i="1" s="1"/>
  <c r="G191" i="7" s="1"/>
  <c r="CX42" i="3"/>
  <c r="I74" i="1"/>
  <c r="GX74" i="1" s="1"/>
  <c r="CX41" i="3"/>
  <c r="CX139" i="3"/>
  <c r="CW139" i="3"/>
  <c r="AB202" i="1"/>
  <c r="W195" i="1"/>
  <c r="CY147" i="1"/>
  <c r="X147" i="1" s="1"/>
  <c r="R139" i="1"/>
  <c r="W86" i="1"/>
  <c r="GX70" i="1"/>
  <c r="AB32" i="1"/>
  <c r="CW242" i="3"/>
  <c r="V203" i="1" s="1"/>
  <c r="G829" i="7" s="1"/>
  <c r="CX242" i="3"/>
  <c r="DJ210" i="3"/>
  <c r="CW189" i="3"/>
  <c r="V189" i="1" s="1"/>
  <c r="G690" i="7" s="1"/>
  <c r="DJ157" i="3"/>
  <c r="CX153" i="3"/>
  <c r="CX45" i="3"/>
  <c r="CX21" i="3"/>
  <c r="AB196" i="1"/>
  <c r="GX88" i="1"/>
  <c r="GM88" i="1" s="1"/>
  <c r="GO88" i="1" s="1"/>
  <c r="S88" i="1"/>
  <c r="U88" i="1"/>
  <c r="DF199" i="3"/>
  <c r="DG199" i="3"/>
  <c r="DI199" i="3"/>
  <c r="DJ199" i="3" s="1"/>
  <c r="CW114" i="3"/>
  <c r="DF65" i="3"/>
  <c r="DJ65" i="3" s="1"/>
  <c r="DG65" i="3"/>
  <c r="DH65" i="3"/>
  <c r="P195" i="1"/>
  <c r="CP195" i="1" s="1"/>
  <c r="O195" i="1" s="1"/>
  <c r="AB194" i="1"/>
  <c r="AB94" i="1"/>
  <c r="P86" i="1"/>
  <c r="GX85" i="1"/>
  <c r="CX7" i="3"/>
  <c r="CW8" i="3"/>
  <c r="V32" i="1" s="1"/>
  <c r="G82" i="7" s="1"/>
  <c r="DG239" i="3"/>
  <c r="DJ239" i="3" s="1"/>
  <c r="DI239" i="3"/>
  <c r="DF239" i="3"/>
  <c r="P200" i="1" s="1"/>
  <c r="CV217" i="3"/>
  <c r="CX217" i="3"/>
  <c r="CV3" i="3"/>
  <c r="U29" i="1" s="1"/>
  <c r="CX3" i="3"/>
  <c r="CY148" i="1"/>
  <c r="X148" i="1" s="1"/>
  <c r="CU131" i="3"/>
  <c r="CX136" i="3"/>
  <c r="CX134" i="3"/>
  <c r="CX135" i="3"/>
  <c r="CW133" i="3"/>
  <c r="CX133" i="3"/>
  <c r="F224" i="1"/>
  <c r="BC182" i="1"/>
  <c r="AB90" i="1"/>
  <c r="CP82" i="1"/>
  <c r="O82" i="1" s="1"/>
  <c r="GM82" i="1" s="1"/>
  <c r="GN82" i="1" s="1"/>
  <c r="CP72" i="1"/>
  <c r="O72" i="1" s="1"/>
  <c r="GM72" i="1" s="1"/>
  <c r="GN72" i="1" s="1"/>
  <c r="AP35" i="1"/>
  <c r="BY26" i="1"/>
  <c r="CX230" i="3"/>
  <c r="CW230" i="3"/>
  <c r="V198" i="1" s="1"/>
  <c r="G792" i="7" s="1"/>
  <c r="CX44" i="3"/>
  <c r="BZ150" i="1"/>
  <c r="GX69" i="1"/>
  <c r="BX26" i="1"/>
  <c r="AO35" i="1"/>
  <c r="DH232" i="3"/>
  <c r="DF232" i="3"/>
  <c r="DG232" i="3"/>
  <c r="DI232" i="3"/>
  <c r="DI198" i="3"/>
  <c r="DH198" i="3"/>
  <c r="DF198" i="3"/>
  <c r="DG198" i="3"/>
  <c r="CX149" i="3"/>
  <c r="CX132" i="3"/>
  <c r="CU137" i="3"/>
  <c r="CX151" i="3"/>
  <c r="CV137" i="3"/>
  <c r="U143" i="1" s="1"/>
  <c r="G525" i="7" s="1"/>
  <c r="CW142" i="3"/>
  <c r="CX144" i="3"/>
  <c r="CX148" i="3"/>
  <c r="CX152" i="3"/>
  <c r="CW143" i="3"/>
  <c r="CW141" i="3"/>
  <c r="CX143" i="3"/>
  <c r="V86" i="1"/>
  <c r="GX77" i="1"/>
  <c r="GX73" i="1"/>
  <c r="F51" i="1"/>
  <c r="BC26" i="1"/>
  <c r="BC238" i="1"/>
  <c r="DI241" i="3"/>
  <c r="DH241" i="3"/>
  <c r="AB139" i="1"/>
  <c r="S70" i="1"/>
  <c r="CD102" i="1"/>
  <c r="AB31" i="1"/>
  <c r="GX28" i="1"/>
  <c r="CJ35" i="1" s="1"/>
  <c r="DH243" i="3"/>
  <c r="DI243" i="3"/>
  <c r="DI180" i="3"/>
  <c r="DH180" i="3"/>
  <c r="CP202" i="1"/>
  <c r="O202" i="1" s="1"/>
  <c r="GM202" i="1" s="1"/>
  <c r="GN202" i="1" s="1"/>
  <c r="CD208" i="1"/>
  <c r="CU98" i="3"/>
  <c r="CX99" i="3"/>
  <c r="CV98" i="3"/>
  <c r="U98" i="1" s="1"/>
  <c r="G378" i="7" s="1"/>
  <c r="CW101" i="3"/>
  <c r="CX101" i="3"/>
  <c r="AB83" i="1"/>
  <c r="CP80" i="1"/>
  <c r="O80" i="1" s="1"/>
  <c r="GM80" i="1" s="1"/>
  <c r="GN80" i="1" s="1"/>
  <c r="DF234" i="3"/>
  <c r="DJ234" i="3" s="1"/>
  <c r="DG234" i="3"/>
  <c r="DH234" i="3"/>
  <c r="DI234" i="3"/>
  <c r="DH129" i="3"/>
  <c r="DG129" i="3"/>
  <c r="DI129" i="3"/>
  <c r="DI92" i="3"/>
  <c r="DH92" i="3"/>
  <c r="DJ92" i="3" s="1"/>
  <c r="DF92" i="3"/>
  <c r="CP193" i="1"/>
  <c r="O193" i="1" s="1"/>
  <c r="GM193" i="1" s="1"/>
  <c r="GN193" i="1" s="1"/>
  <c r="DH245" i="3"/>
  <c r="DG245" i="3"/>
  <c r="DI245" i="3"/>
  <c r="DF216" i="3"/>
  <c r="DH216" i="3"/>
  <c r="DI216" i="3"/>
  <c r="DJ216" i="3" s="1"/>
  <c r="DG214" i="3"/>
  <c r="DI214" i="3"/>
  <c r="CX137" i="3"/>
  <c r="CX187" i="3"/>
  <c r="CU187" i="3"/>
  <c r="CX191" i="3"/>
  <c r="CX192" i="3"/>
  <c r="AB147" i="1"/>
  <c r="AB93" i="1"/>
  <c r="GX86" i="1"/>
  <c r="P70" i="1"/>
  <c r="W206" i="1"/>
  <c r="CU193" i="3"/>
  <c r="CX195" i="3"/>
  <c r="CX197" i="3"/>
  <c r="CX193" i="3"/>
  <c r="GX188" i="1"/>
  <c r="CJ208" i="1" s="1"/>
  <c r="AB184" i="1"/>
  <c r="AB142" i="1"/>
  <c r="CX120" i="3"/>
  <c r="CX118" i="3"/>
  <c r="CX125" i="3"/>
  <c r="CU112" i="3"/>
  <c r="CX113" i="3"/>
  <c r="CX117" i="3"/>
  <c r="AB88" i="1"/>
  <c r="W74" i="1"/>
  <c r="CW156" i="3"/>
  <c r="CX156" i="3"/>
  <c r="CW115" i="3"/>
  <c r="CX115" i="3"/>
  <c r="V85" i="1"/>
  <c r="AB76" i="1"/>
  <c r="W70" i="1"/>
  <c r="DG247" i="3"/>
  <c r="DF247" i="3"/>
  <c r="DI247" i="3"/>
  <c r="DI235" i="3"/>
  <c r="DH204" i="3"/>
  <c r="DI204" i="3"/>
  <c r="DF204" i="3"/>
  <c r="DJ204" i="3" s="1"/>
  <c r="CX185" i="3"/>
  <c r="DF97" i="3"/>
  <c r="DG97" i="3"/>
  <c r="DH97" i="3"/>
  <c r="DI97" i="3"/>
  <c r="AP150" i="1"/>
  <c r="U70" i="1"/>
  <c r="DH235" i="3"/>
  <c r="DF171" i="3"/>
  <c r="DG171" i="3"/>
  <c r="DH171" i="3"/>
  <c r="DI171" i="3"/>
  <c r="DH90" i="3"/>
  <c r="DF90" i="3"/>
  <c r="DG90" i="3"/>
  <c r="DI90" i="3"/>
  <c r="DJ90" i="3" s="1"/>
  <c r="CU9" i="3"/>
  <c r="CV9" i="3"/>
  <c r="U33" i="1" s="1"/>
  <c r="G92" i="7" s="1"/>
  <c r="CW6" i="3"/>
  <c r="V30" i="1" s="1"/>
  <c r="G68" i="7" s="1"/>
  <c r="CV4" i="3"/>
  <c r="U30" i="1" s="1"/>
  <c r="G65" i="7" s="1"/>
  <c r="CU4" i="3"/>
  <c r="CX4" i="3"/>
  <c r="CX6" i="3"/>
  <c r="CX5" i="3"/>
  <c r="DH210" i="3"/>
  <c r="DF210" i="3"/>
  <c r="CX189" i="3"/>
  <c r="W191" i="1"/>
  <c r="W73" i="1"/>
  <c r="AB69" i="1"/>
  <c r="CX173" i="3"/>
  <c r="CW173" i="3"/>
  <c r="V186" i="1" s="1"/>
  <c r="G645" i="7" s="1"/>
  <c r="DI166" i="3"/>
  <c r="DH166" i="3"/>
  <c r="DF166" i="3"/>
  <c r="DJ166" i="3" s="1"/>
  <c r="DG166" i="3"/>
  <c r="DH155" i="3"/>
  <c r="DG155" i="3"/>
  <c r="CX141" i="3"/>
  <c r="DI233" i="3"/>
  <c r="DF233" i="3"/>
  <c r="DJ233" i="3" s="1"/>
  <c r="DH233" i="3"/>
  <c r="CW223" i="3"/>
  <c r="CW201" i="3"/>
  <c r="V192" i="1" s="1"/>
  <c r="G723" i="7" s="1"/>
  <c r="CX201" i="3"/>
  <c r="CW195" i="3"/>
  <c r="V190" i="1" s="1"/>
  <c r="G708" i="7" s="1"/>
  <c r="CX150" i="3"/>
  <c r="CX121" i="3"/>
  <c r="CX114" i="3"/>
  <c r="DF60" i="3"/>
  <c r="DJ60" i="3" s="1"/>
  <c r="DH60" i="3"/>
  <c r="CX53" i="3"/>
  <c r="DH30" i="3"/>
  <c r="DG30" i="3"/>
  <c r="DI30" i="3"/>
  <c r="DF30" i="3"/>
  <c r="DJ30" i="3" s="1"/>
  <c r="DG250" i="3"/>
  <c r="DF250" i="3"/>
  <c r="DJ250" i="3" s="1"/>
  <c r="CX248" i="3"/>
  <c r="CW248" i="3"/>
  <c r="V205" i="1" s="1"/>
  <c r="G846" i="7" s="1"/>
  <c r="DH223" i="3"/>
  <c r="DF223" i="3"/>
  <c r="DG223" i="3"/>
  <c r="DJ223" i="3" s="1"/>
  <c r="CV193" i="3"/>
  <c r="U190" i="1" s="1"/>
  <c r="G705" i="7" s="1"/>
  <c r="DG175" i="3"/>
  <c r="DJ175" i="3" s="1"/>
  <c r="DF175" i="3"/>
  <c r="DH175" i="3"/>
  <c r="DI175" i="3"/>
  <c r="DI246" i="3"/>
  <c r="DF246" i="3"/>
  <c r="DJ246" i="3" s="1"/>
  <c r="DF225" i="3"/>
  <c r="DJ225" i="3" s="1"/>
  <c r="DH225" i="3"/>
  <c r="DG225" i="3"/>
  <c r="CW221" i="3"/>
  <c r="CX221" i="3"/>
  <c r="CW105" i="3"/>
  <c r="V99" i="1" s="1"/>
  <c r="G396" i="7" s="1"/>
  <c r="CX105" i="3"/>
  <c r="CX43" i="3"/>
  <c r="DH244" i="3"/>
  <c r="DF244" i="3"/>
  <c r="DJ244" i="3" s="1"/>
  <c r="DI244" i="3"/>
  <c r="DI207" i="3"/>
  <c r="DF207" i="3"/>
  <c r="DJ207" i="3" s="1"/>
  <c r="DG207" i="3"/>
  <c r="DH207" i="3"/>
  <c r="DH205" i="3"/>
  <c r="DI205" i="3"/>
  <c r="DI203" i="3"/>
  <c r="DF203" i="3"/>
  <c r="DH177" i="3"/>
  <c r="DI177" i="3"/>
  <c r="DF177" i="3"/>
  <c r="DG177" i="3"/>
  <c r="DJ177" i="3" s="1"/>
  <c r="DJ57" i="3"/>
  <c r="CM67" i="1"/>
  <c r="BD102" i="1"/>
  <c r="DI249" i="3"/>
  <c r="DH247" i="3"/>
  <c r="CX186" i="3"/>
  <c r="DG161" i="3"/>
  <c r="DF161" i="3"/>
  <c r="DJ161" i="3" s="1"/>
  <c r="CW116" i="3"/>
  <c r="DH84" i="3"/>
  <c r="DI84" i="3"/>
  <c r="DF84" i="3"/>
  <c r="DG84" i="3"/>
  <c r="DF32" i="3"/>
  <c r="DJ32" i="3" s="1"/>
  <c r="DG32" i="3"/>
  <c r="DI32" i="3"/>
  <c r="DH32" i="3"/>
  <c r="CX27" i="3"/>
  <c r="CM26" i="1"/>
  <c r="BD35" i="1"/>
  <c r="DH249" i="3"/>
  <c r="DI224" i="3"/>
  <c r="DH218" i="3"/>
  <c r="DG163" i="3"/>
  <c r="DI163" i="3"/>
  <c r="DI159" i="3"/>
  <c r="DH159" i="3"/>
  <c r="CX147" i="3"/>
  <c r="CX79" i="3"/>
  <c r="GX201" i="1"/>
  <c r="GM201" i="1" s="1"/>
  <c r="GO201" i="1" s="1"/>
  <c r="DF169" i="3"/>
  <c r="DH169" i="3"/>
  <c r="V139" i="1"/>
  <c r="AB70" i="1"/>
  <c r="AB33" i="1"/>
  <c r="DF249" i="3"/>
  <c r="DJ249" i="3" s="1"/>
  <c r="DG238" i="3"/>
  <c r="DJ238" i="3" s="1"/>
  <c r="DI238" i="3"/>
  <c r="S200" i="1" s="1"/>
  <c r="DH236" i="3"/>
  <c r="DG236" i="3"/>
  <c r="DI228" i="3"/>
  <c r="DG224" i="3"/>
  <c r="DG218" i="3"/>
  <c r="CX213" i="3"/>
  <c r="DG209" i="3"/>
  <c r="DF209" i="3"/>
  <c r="DJ209" i="3" s="1"/>
  <c r="DH209" i="3"/>
  <c r="DG204" i="3"/>
  <c r="DI179" i="3"/>
  <c r="DG179" i="3"/>
  <c r="DH179" i="3"/>
  <c r="DF179" i="3"/>
  <c r="DI169" i="3"/>
  <c r="DI165" i="3"/>
  <c r="DG165" i="3"/>
  <c r="DH165" i="3"/>
  <c r="DG107" i="3"/>
  <c r="DF107" i="3"/>
  <c r="DJ107" i="3" s="1"/>
  <c r="DH107" i="3"/>
  <c r="DI107" i="3"/>
  <c r="CW91" i="3"/>
  <c r="V95" i="1" s="1"/>
  <c r="G349" i="7" s="1"/>
  <c r="CX91" i="3"/>
  <c r="DI36" i="3"/>
  <c r="DF36" i="3"/>
  <c r="DJ36" i="3" s="1"/>
  <c r="DG36" i="3"/>
  <c r="DI178" i="3"/>
  <c r="CX145" i="3"/>
  <c r="DG106" i="3"/>
  <c r="DH63" i="3"/>
  <c r="DG63" i="3"/>
  <c r="DJ63" i="3" s="1"/>
  <c r="DF63" i="3"/>
  <c r="DI63" i="3"/>
  <c r="DH38" i="3"/>
  <c r="DF38" i="3"/>
  <c r="DJ38" i="3" s="1"/>
  <c r="DG38" i="3"/>
  <c r="DI38" i="3"/>
  <c r="DH200" i="3"/>
  <c r="DJ200" i="3" s="1"/>
  <c r="CX190" i="3"/>
  <c r="CX96" i="3"/>
  <c r="DF74" i="3"/>
  <c r="DG70" i="3"/>
  <c r="DI67" i="3"/>
  <c r="DG67" i="3"/>
  <c r="DI64" i="3"/>
  <c r="CX29" i="3"/>
  <c r="CW29" i="3"/>
  <c r="CX188" i="3"/>
  <c r="CX116" i="3"/>
  <c r="CX98" i="3"/>
  <c r="DH64" i="3"/>
  <c r="DJ64" i="3" s="1"/>
  <c r="CX122" i="3"/>
  <c r="DI172" i="3"/>
  <c r="DJ172" i="3" s="1"/>
  <c r="DF172" i="3"/>
  <c r="DH172" i="3"/>
  <c r="DG172" i="3"/>
  <c r="CX124" i="3"/>
  <c r="DH31" i="3"/>
  <c r="DI31" i="3"/>
  <c r="DF31" i="3"/>
  <c r="DJ31" i="3" s="1"/>
  <c r="DJ178" i="3"/>
  <c r="CX176" i="3"/>
  <c r="CW176" i="3"/>
  <c r="CW174" i="3"/>
  <c r="CX128" i="3"/>
  <c r="DF87" i="3"/>
  <c r="DJ87" i="3" s="1"/>
  <c r="DI87" i="3"/>
  <c r="DG62" i="3"/>
  <c r="DI62" i="3"/>
  <c r="DF62" i="3"/>
  <c r="DH62" i="3"/>
  <c r="DG174" i="3"/>
  <c r="DF174" i="3"/>
  <c r="DH174" i="3"/>
  <c r="CW140" i="3"/>
  <c r="CX140" i="3"/>
  <c r="DF89" i="3"/>
  <c r="DI89" i="3"/>
  <c r="DI33" i="3"/>
  <c r="DF33" i="3"/>
  <c r="DJ33" i="3" s="1"/>
  <c r="CX9" i="3"/>
  <c r="S94" i="1"/>
  <c r="CX202" i="3"/>
  <c r="CW170" i="3"/>
  <c r="V185" i="1" s="1"/>
  <c r="G633" i="7" s="1"/>
  <c r="CX170" i="3"/>
  <c r="DH164" i="3"/>
  <c r="DI164" i="3"/>
  <c r="CW158" i="3"/>
  <c r="CX158" i="3"/>
  <c r="CX142" i="3"/>
  <c r="CX138" i="3"/>
  <c r="CW111" i="3"/>
  <c r="V100" i="1" s="1"/>
  <c r="G412" i="7" s="1"/>
  <c r="CW74" i="3"/>
  <c r="CX56" i="3"/>
  <c r="CV56" i="3"/>
  <c r="U79" i="1" s="1"/>
  <c r="G233" i="7" s="1"/>
  <c r="CX22" i="3"/>
  <c r="CV154" i="3"/>
  <c r="U146" i="1" s="1"/>
  <c r="G561" i="7" s="1"/>
  <c r="CX154" i="3"/>
  <c r="DF111" i="3"/>
  <c r="DH111" i="3"/>
  <c r="DG111" i="3"/>
  <c r="DJ111" i="3" s="1"/>
  <c r="DH70" i="3"/>
  <c r="DI70" i="3"/>
  <c r="CW43" i="3"/>
  <c r="CX82" i="3"/>
  <c r="CU81" i="3"/>
  <c r="CX86" i="3"/>
  <c r="CX88" i="3"/>
  <c r="DH237" i="3"/>
  <c r="CV215" i="3"/>
  <c r="U196" i="1" s="1"/>
  <c r="G762" i="7" s="1"/>
  <c r="CX215" i="3"/>
  <c r="DG93" i="3"/>
  <c r="DH93" i="3"/>
  <c r="DH66" i="3"/>
  <c r="DI66" i="3"/>
  <c r="DI57" i="3"/>
  <c r="CX13" i="3"/>
  <c r="CW13" i="3"/>
  <c r="DG208" i="3"/>
  <c r="CX112" i="3"/>
  <c r="DJ222" i="3"/>
  <c r="DF162" i="3"/>
  <c r="DJ162" i="3" s="1"/>
  <c r="CX146" i="3"/>
  <c r="DH126" i="3"/>
  <c r="DI126" i="3"/>
  <c r="CW97" i="3"/>
  <c r="V97" i="1" s="1"/>
  <c r="G368" i="7" s="1"/>
  <c r="DG58" i="3"/>
  <c r="DJ58" i="3" s="1"/>
  <c r="CW211" i="3"/>
  <c r="V194" i="1" s="1"/>
  <c r="G750" i="7" s="1"/>
  <c r="CX85" i="3"/>
  <c r="CX10" i="3"/>
  <c r="CW2" i="3"/>
  <c r="V28" i="1" s="1"/>
  <c r="G46" i="7" s="1"/>
  <c r="CW190" i="3"/>
  <c r="DF102" i="3"/>
  <c r="DH102" i="3"/>
  <c r="CW100" i="3"/>
  <c r="V98" i="1" s="1"/>
  <c r="G381" i="7" s="1"/>
  <c r="CX100" i="3"/>
  <c r="CX83" i="3"/>
  <c r="CV81" i="3"/>
  <c r="U93" i="1" s="1"/>
  <c r="G326" i="7" s="1"/>
  <c r="CX81" i="3"/>
  <c r="CW79" i="3"/>
  <c r="CX131" i="3"/>
  <c r="CV131" i="3"/>
  <c r="U140" i="1" s="1"/>
  <c r="G503" i="7" s="1"/>
  <c r="DG73" i="3"/>
  <c r="DF73" i="3"/>
  <c r="CW50" i="3"/>
  <c r="CX8" i="3"/>
  <c r="CW134" i="3"/>
  <c r="CX123" i="3"/>
  <c r="DF104" i="3"/>
  <c r="DF94" i="3"/>
  <c r="DJ94" i="3" s="1"/>
  <c r="CX49" i="3"/>
  <c r="CW49" i="3"/>
  <c r="DF35" i="3"/>
  <c r="DJ35" i="3" s="1"/>
  <c r="CW28" i="3"/>
  <c r="V71" i="1" s="1"/>
  <c r="G165" i="7" s="1"/>
  <c r="CX28" i="3"/>
  <c r="CX77" i="3"/>
  <c r="CW75" i="3"/>
  <c r="CX75" i="3"/>
  <c r="CX19" i="3"/>
  <c r="CX212" i="3"/>
  <c r="DF110" i="3"/>
  <c r="DH59" i="3"/>
  <c r="DF59" i="3"/>
  <c r="DJ59" i="3" s="1"/>
  <c r="DG26" i="3"/>
  <c r="DF26" i="3"/>
  <c r="CW80" i="3"/>
  <c r="BZ26" i="1" l="1"/>
  <c r="O85" i="1"/>
  <c r="GM85" i="1" s="1"/>
  <c r="GO85" i="1" s="1"/>
  <c r="L279" i="7"/>
  <c r="BZ182" i="1"/>
  <c r="AQ208" i="1"/>
  <c r="AH35" i="1"/>
  <c r="G56" i="7"/>
  <c r="CD26" i="1"/>
  <c r="AW296" i="7"/>
  <c r="AN296" i="7"/>
  <c r="AW818" i="7"/>
  <c r="L869" i="7" s="1"/>
  <c r="L867" i="7" s="1"/>
  <c r="AN818" i="7"/>
  <c r="F54" i="1"/>
  <c r="CG208" i="1"/>
  <c r="CG182" i="1" s="1"/>
  <c r="AO787" i="7"/>
  <c r="L155" i="7"/>
  <c r="L865" i="7"/>
  <c r="L551" i="7"/>
  <c r="L872" i="7"/>
  <c r="L666" i="7"/>
  <c r="L919" i="7"/>
  <c r="L917" i="7" s="1"/>
  <c r="AO390" i="7"/>
  <c r="L600" i="7"/>
  <c r="L479" i="7"/>
  <c r="L943" i="7"/>
  <c r="L901" i="7"/>
  <c r="K30" i="7"/>
  <c r="L972" i="7"/>
  <c r="L430" i="7"/>
  <c r="L437" i="7"/>
  <c r="AO344" i="7"/>
  <c r="L339" i="7"/>
  <c r="AO669" i="7"/>
  <c r="L665" i="7"/>
  <c r="L597" i="7"/>
  <c r="L595" i="7" s="1"/>
  <c r="L979" i="7"/>
  <c r="AO482" i="7"/>
  <c r="L591" i="7" s="1"/>
  <c r="L589" i="7" s="1"/>
  <c r="L586" i="7" s="1"/>
  <c r="L478" i="7"/>
  <c r="L105" i="7"/>
  <c r="L103" i="7" s="1"/>
  <c r="L100" i="7" s="1"/>
  <c r="L908" i="7"/>
  <c r="AQ35" i="1"/>
  <c r="F53" i="1"/>
  <c r="CC26" i="1"/>
  <c r="F46" i="1"/>
  <c r="AH150" i="1"/>
  <c r="U150" i="1" s="1"/>
  <c r="CG102" i="1"/>
  <c r="AX102" i="1" s="1"/>
  <c r="CC134" i="1"/>
  <c r="CG35" i="1"/>
  <c r="AX35" i="1" s="1"/>
  <c r="AU150" i="1"/>
  <c r="AU134" i="1" s="1"/>
  <c r="CI102" i="1"/>
  <c r="AZ102" i="1" s="1"/>
  <c r="BZ67" i="1"/>
  <c r="CI26" i="1"/>
  <c r="AH208" i="1"/>
  <c r="U208" i="1" s="1"/>
  <c r="AJ182" i="1"/>
  <c r="W208" i="1"/>
  <c r="T208" i="1"/>
  <c r="AG182" i="1"/>
  <c r="AG102" i="1"/>
  <c r="BA208" i="1"/>
  <c r="CJ182" i="1"/>
  <c r="P95" i="1"/>
  <c r="DI195" i="3"/>
  <c r="DF195" i="3"/>
  <c r="DG195" i="3"/>
  <c r="DH195" i="3"/>
  <c r="CI182" i="1"/>
  <c r="AZ208" i="1"/>
  <c r="DG77" i="3"/>
  <c r="DF77" i="3"/>
  <c r="DH77" i="3"/>
  <c r="DI77" i="3"/>
  <c r="DG124" i="3"/>
  <c r="DH124" i="3"/>
  <c r="DF124" i="3"/>
  <c r="DJ124" i="3" s="1"/>
  <c r="DI124" i="3"/>
  <c r="AH26" i="1"/>
  <c r="U35" i="1"/>
  <c r="DH148" i="3"/>
  <c r="DF148" i="3"/>
  <c r="DJ148" i="3" s="1"/>
  <c r="DG148" i="3"/>
  <c r="DI148" i="3"/>
  <c r="BZ134" i="1"/>
  <c r="CI150" i="1"/>
  <c r="AQ150" i="1"/>
  <c r="AQ238" i="1" s="1"/>
  <c r="DI217" i="3"/>
  <c r="DJ217" i="3" s="1"/>
  <c r="DH217" i="3"/>
  <c r="DF217" i="3"/>
  <c r="DG217" i="3"/>
  <c r="AP67" i="1"/>
  <c r="F111" i="1"/>
  <c r="DG184" i="3"/>
  <c r="DH184" i="3"/>
  <c r="DI184" i="3"/>
  <c r="DJ184" i="3" s="1"/>
  <c r="DF184" i="3"/>
  <c r="AJ102" i="1"/>
  <c r="AH102" i="1"/>
  <c r="DJ167" i="3"/>
  <c r="S184" i="1"/>
  <c r="P99" i="1"/>
  <c r="V87" i="1"/>
  <c r="G291" i="7" s="1"/>
  <c r="DI114" i="3"/>
  <c r="DF114" i="3"/>
  <c r="DH114" i="3"/>
  <c r="DG114" i="3"/>
  <c r="DF144" i="3"/>
  <c r="DJ144" i="3" s="1"/>
  <c r="DH144" i="3"/>
  <c r="DG144" i="3"/>
  <c r="DI144" i="3"/>
  <c r="DF44" i="3"/>
  <c r="DJ44" i="3" s="1"/>
  <c r="DH44" i="3"/>
  <c r="DG44" i="3"/>
  <c r="DI44" i="3"/>
  <c r="V143" i="1"/>
  <c r="G528" i="7" s="1"/>
  <c r="S74" i="1"/>
  <c r="DF80" i="3"/>
  <c r="DI80" i="3"/>
  <c r="DG80" i="3"/>
  <c r="DH80" i="3"/>
  <c r="BB26" i="1"/>
  <c r="BB238" i="1"/>
  <c r="F48" i="1"/>
  <c r="V77" i="1"/>
  <c r="G214" i="7" s="1"/>
  <c r="DJ174" i="3"/>
  <c r="DJ169" i="3"/>
  <c r="P74" i="1"/>
  <c r="DF121" i="3"/>
  <c r="DJ121" i="3" s="1"/>
  <c r="DI121" i="3"/>
  <c r="DH121" i="3"/>
  <c r="DG121" i="3"/>
  <c r="DG156" i="3"/>
  <c r="DF156" i="3"/>
  <c r="DH156" i="3"/>
  <c r="DI156" i="3"/>
  <c r="DI139" i="3"/>
  <c r="DG139" i="3"/>
  <c r="DH139" i="3"/>
  <c r="DF139" i="3"/>
  <c r="DH11" i="3"/>
  <c r="DI11" i="3"/>
  <c r="DJ11" i="3" s="1"/>
  <c r="DF11" i="3"/>
  <c r="DG11" i="3"/>
  <c r="T74" i="1"/>
  <c r="DF49" i="3"/>
  <c r="DG49" i="3"/>
  <c r="DJ49" i="3" s="1"/>
  <c r="DH49" i="3"/>
  <c r="DI49" i="3"/>
  <c r="AI35" i="1"/>
  <c r="DG215" i="3"/>
  <c r="Q196" i="1" s="1"/>
  <c r="DF215" i="3"/>
  <c r="DH215" i="3"/>
  <c r="R196" i="1" s="1"/>
  <c r="DI215" i="3"/>
  <c r="DH138" i="3"/>
  <c r="DF138" i="3"/>
  <c r="DG138" i="3"/>
  <c r="DI138" i="3"/>
  <c r="DJ138" i="3" s="1"/>
  <c r="R81" i="1"/>
  <c r="DJ84" i="3"/>
  <c r="DF150" i="3"/>
  <c r="DJ150" i="3" s="1"/>
  <c r="DG150" i="3"/>
  <c r="DH150" i="3"/>
  <c r="DI150" i="3"/>
  <c r="DF189" i="3"/>
  <c r="DG189" i="3"/>
  <c r="DH189" i="3"/>
  <c r="DI189" i="3"/>
  <c r="V146" i="1"/>
  <c r="G564" i="7" s="1"/>
  <c r="BA35" i="1"/>
  <c r="CJ26" i="1"/>
  <c r="DH230" i="3"/>
  <c r="R198" i="1" s="1"/>
  <c r="DI230" i="3"/>
  <c r="S198" i="1" s="1"/>
  <c r="DF230" i="3"/>
  <c r="P198" i="1" s="1"/>
  <c r="DG230" i="3"/>
  <c r="DG21" i="3"/>
  <c r="DF21" i="3"/>
  <c r="DJ21" i="3" s="1"/>
  <c r="DH21" i="3"/>
  <c r="DI21" i="3"/>
  <c r="DG41" i="3"/>
  <c r="Q73" i="1" s="1"/>
  <c r="DH41" i="3"/>
  <c r="R73" i="1" s="1"/>
  <c r="DI41" i="3"/>
  <c r="DF41" i="3"/>
  <c r="DF15" i="3"/>
  <c r="DG15" i="3"/>
  <c r="DJ15" i="3" s="1"/>
  <c r="DH15" i="3"/>
  <c r="DI15" i="3"/>
  <c r="AQ67" i="1"/>
  <c r="F112" i="1"/>
  <c r="DJ1" i="3"/>
  <c r="S28" i="1"/>
  <c r="DI8" i="3"/>
  <c r="DH8" i="3"/>
  <c r="DF8" i="3"/>
  <c r="DG8" i="3"/>
  <c r="DI188" i="3"/>
  <c r="DJ188" i="3" s="1"/>
  <c r="DH188" i="3"/>
  <c r="DF188" i="3"/>
  <c r="DG188" i="3"/>
  <c r="DI145" i="3"/>
  <c r="DG145" i="3"/>
  <c r="DF145" i="3"/>
  <c r="DJ145" i="3" s="1"/>
  <c r="DH145" i="3"/>
  <c r="DH147" i="3"/>
  <c r="DI147" i="3"/>
  <c r="DF147" i="3"/>
  <c r="DJ147" i="3" s="1"/>
  <c r="DG147" i="3"/>
  <c r="DI4" i="3"/>
  <c r="DF4" i="3"/>
  <c r="DH4" i="3"/>
  <c r="DG4" i="3"/>
  <c r="DI137" i="3"/>
  <c r="DG137" i="3"/>
  <c r="DF137" i="3"/>
  <c r="DH137" i="3"/>
  <c r="R203" i="1"/>
  <c r="CP86" i="1"/>
  <c r="O86" i="1" s="1"/>
  <c r="GM86" i="1" s="1"/>
  <c r="GO86" i="1" s="1"/>
  <c r="V73" i="1"/>
  <c r="G194" i="7" s="1"/>
  <c r="DF17" i="3"/>
  <c r="DJ17" i="3" s="1"/>
  <c r="DG17" i="3"/>
  <c r="DI17" i="3"/>
  <c r="DH17" i="3"/>
  <c r="CP188" i="1"/>
  <c r="O188" i="1" s="1"/>
  <c r="CG150" i="1"/>
  <c r="DF48" i="3"/>
  <c r="DH48" i="3"/>
  <c r="DI48" i="3"/>
  <c r="DJ48" i="3" s="1"/>
  <c r="DG48" i="3"/>
  <c r="DG53" i="3"/>
  <c r="DI53" i="3"/>
  <c r="DF53" i="3"/>
  <c r="DJ53" i="3" s="1"/>
  <c r="DH53" i="3"/>
  <c r="Q184" i="1"/>
  <c r="DF52" i="3"/>
  <c r="DG52" i="3"/>
  <c r="DH52" i="3"/>
  <c r="DI52" i="3"/>
  <c r="DF115" i="3"/>
  <c r="DG115" i="3"/>
  <c r="DJ115" i="3" s="1"/>
  <c r="DH115" i="3"/>
  <c r="DI115" i="3"/>
  <c r="DG122" i="3"/>
  <c r="DH122" i="3"/>
  <c r="DI122" i="3"/>
  <c r="DF122" i="3"/>
  <c r="DJ122" i="3" s="1"/>
  <c r="AP134" i="1"/>
  <c r="F159" i="1"/>
  <c r="DI201" i="3"/>
  <c r="S192" i="1" s="1"/>
  <c r="DF201" i="3"/>
  <c r="DH201" i="3"/>
  <c r="R192" i="1" s="1"/>
  <c r="DG201" i="3"/>
  <c r="DJ201" i="3" s="1"/>
  <c r="DG153" i="3"/>
  <c r="DH153" i="3"/>
  <c r="DF153" i="3"/>
  <c r="DJ153" i="3" s="1"/>
  <c r="DI153" i="3"/>
  <c r="DI123" i="3"/>
  <c r="DF123" i="3"/>
  <c r="DJ123" i="3" s="1"/>
  <c r="DH123" i="3"/>
  <c r="DG123" i="3"/>
  <c r="DH113" i="3"/>
  <c r="DG113" i="3"/>
  <c r="DI113" i="3"/>
  <c r="DJ113" i="3" s="1"/>
  <c r="DF113" i="3"/>
  <c r="DH149" i="3"/>
  <c r="DI149" i="3"/>
  <c r="DG149" i="3"/>
  <c r="DF149" i="3"/>
  <c r="DJ149" i="3" s="1"/>
  <c r="DH12" i="3"/>
  <c r="DF12" i="3"/>
  <c r="DI12" i="3"/>
  <c r="DG12" i="3"/>
  <c r="DJ12" i="3" s="1"/>
  <c r="P71" i="1"/>
  <c r="DJ126" i="3"/>
  <c r="S138" i="1"/>
  <c r="DF82" i="3"/>
  <c r="DI82" i="3"/>
  <c r="DJ82" i="3" s="1"/>
  <c r="DG82" i="3"/>
  <c r="DH82" i="3"/>
  <c r="DH170" i="3"/>
  <c r="R185" i="1" s="1"/>
  <c r="DG170" i="3"/>
  <c r="DF170" i="3"/>
  <c r="DI170" i="3"/>
  <c r="S185" i="1" s="1"/>
  <c r="DI128" i="3"/>
  <c r="DF128" i="3"/>
  <c r="DG128" i="3"/>
  <c r="DJ128" i="3" s="1"/>
  <c r="DH128" i="3"/>
  <c r="DF185" i="3"/>
  <c r="DI185" i="3"/>
  <c r="DG185" i="3"/>
  <c r="DH185" i="3"/>
  <c r="DG125" i="3"/>
  <c r="DH125" i="3"/>
  <c r="DI125" i="3"/>
  <c r="DF125" i="3"/>
  <c r="DJ125" i="3" s="1"/>
  <c r="DJ241" i="3"/>
  <c r="S203" i="1"/>
  <c r="P192" i="1"/>
  <c r="V69" i="1"/>
  <c r="G138" i="7" s="1"/>
  <c r="DG46" i="3"/>
  <c r="Q77" i="1" s="1"/>
  <c r="DF46" i="3"/>
  <c r="DI46" i="3"/>
  <c r="DH46" i="3"/>
  <c r="CZ188" i="1"/>
  <c r="Y188" i="1" s="1"/>
  <c r="DH140" i="3"/>
  <c r="DI140" i="3"/>
  <c r="DG140" i="3"/>
  <c r="DJ140" i="3" s="1"/>
  <c r="DF140" i="3"/>
  <c r="DI152" i="3"/>
  <c r="DF152" i="3"/>
  <c r="DJ152" i="3" s="1"/>
  <c r="DG152" i="3"/>
  <c r="DH152" i="3"/>
  <c r="DI142" i="3"/>
  <c r="DF142" i="3"/>
  <c r="DG142" i="3"/>
  <c r="DH142" i="3"/>
  <c r="DF192" i="3"/>
  <c r="DJ192" i="3" s="1"/>
  <c r="DI192" i="3"/>
  <c r="DG192" i="3"/>
  <c r="DH192" i="3"/>
  <c r="DF191" i="3"/>
  <c r="DJ191" i="3" s="1"/>
  <c r="DH191" i="3"/>
  <c r="DI191" i="3"/>
  <c r="DG191" i="3"/>
  <c r="Q81" i="1"/>
  <c r="DH116" i="3"/>
  <c r="DG116" i="3"/>
  <c r="DJ116" i="3" s="1"/>
  <c r="DF116" i="3"/>
  <c r="DI116" i="3"/>
  <c r="DJ97" i="3"/>
  <c r="DH186" i="3"/>
  <c r="DI186" i="3"/>
  <c r="DF186" i="3"/>
  <c r="DJ186" i="3" s="1"/>
  <c r="DG186" i="3"/>
  <c r="DI118" i="3"/>
  <c r="DF118" i="3"/>
  <c r="DJ118" i="3" s="1"/>
  <c r="DG118" i="3"/>
  <c r="DH118" i="3"/>
  <c r="BC22" i="1"/>
  <c r="F254" i="1"/>
  <c r="BC268" i="1"/>
  <c r="DH242" i="3"/>
  <c r="DI242" i="3"/>
  <c r="DF242" i="3"/>
  <c r="P203" i="1" s="1"/>
  <c r="DG242" i="3"/>
  <c r="DI85" i="3"/>
  <c r="DF85" i="3"/>
  <c r="DG85" i="3"/>
  <c r="DH85" i="3"/>
  <c r="CD67" i="1"/>
  <c r="AU102" i="1"/>
  <c r="DI7" i="3"/>
  <c r="DG7" i="3"/>
  <c r="Q32" i="1" s="1"/>
  <c r="DF7" i="3"/>
  <c r="P32" i="1" s="1"/>
  <c r="DH7" i="3"/>
  <c r="R32" i="1" s="1"/>
  <c r="DG187" i="3"/>
  <c r="DF187" i="3"/>
  <c r="DH187" i="3"/>
  <c r="DI187" i="3"/>
  <c r="R138" i="1"/>
  <c r="DG213" i="3"/>
  <c r="DF213" i="3"/>
  <c r="DJ213" i="3" s="1"/>
  <c r="DH213" i="3"/>
  <c r="DI213" i="3"/>
  <c r="DF248" i="3"/>
  <c r="DH248" i="3"/>
  <c r="R205" i="1" s="1"/>
  <c r="DI248" i="3"/>
  <c r="S205" i="1" s="1"/>
  <c r="DG248" i="3"/>
  <c r="DJ248" i="3" s="1"/>
  <c r="DI141" i="3"/>
  <c r="DH141" i="3"/>
  <c r="DG141" i="3"/>
  <c r="DJ141" i="3" s="1"/>
  <c r="DF141" i="3"/>
  <c r="DH120" i="3"/>
  <c r="DF120" i="3"/>
  <c r="DJ120" i="3" s="1"/>
  <c r="DG120" i="3"/>
  <c r="DI120" i="3"/>
  <c r="DH101" i="3"/>
  <c r="DF101" i="3"/>
  <c r="DG101" i="3"/>
  <c r="DJ101" i="3" s="1"/>
  <c r="DI101" i="3"/>
  <c r="DJ198" i="3"/>
  <c r="DH133" i="3"/>
  <c r="DF133" i="3"/>
  <c r="DG133" i="3"/>
  <c r="DJ133" i="3" s="1"/>
  <c r="DI133" i="3"/>
  <c r="DH95" i="3"/>
  <c r="R97" i="1" s="1"/>
  <c r="DF95" i="3"/>
  <c r="DG95" i="3"/>
  <c r="Q97" i="1" s="1"/>
  <c r="DI95" i="3"/>
  <c r="DG55" i="3"/>
  <c r="DH55" i="3"/>
  <c r="DI55" i="3"/>
  <c r="DF55" i="3"/>
  <c r="DJ55" i="3" s="1"/>
  <c r="CJ134" i="1"/>
  <c r="BA150" i="1"/>
  <c r="DH83" i="3"/>
  <c r="DI83" i="3"/>
  <c r="DG83" i="3"/>
  <c r="DF83" i="3"/>
  <c r="DG22" i="3"/>
  <c r="DF22" i="3"/>
  <c r="DJ22" i="3" s="1"/>
  <c r="DH22" i="3"/>
  <c r="DI22" i="3"/>
  <c r="DJ171" i="3"/>
  <c r="DJ179" i="3"/>
  <c r="DG117" i="3"/>
  <c r="DI117" i="3"/>
  <c r="DF117" i="3"/>
  <c r="DH117" i="3"/>
  <c r="P28" i="1"/>
  <c r="DG86" i="3"/>
  <c r="DF86" i="3"/>
  <c r="DJ86" i="3" s="1"/>
  <c r="DH86" i="3"/>
  <c r="DI86" i="3"/>
  <c r="CY94" i="1"/>
  <c r="X94" i="1" s="1"/>
  <c r="CZ94" i="1"/>
  <c r="Y94" i="1" s="1"/>
  <c r="CP94" i="1"/>
  <c r="O94" i="1" s="1"/>
  <c r="DH43" i="3"/>
  <c r="DI43" i="3"/>
  <c r="DF43" i="3"/>
  <c r="DG43" i="3"/>
  <c r="DJ43" i="3" s="1"/>
  <c r="V140" i="1"/>
  <c r="G506" i="7" s="1"/>
  <c r="AG134" i="1"/>
  <c r="T150" i="1"/>
  <c r="DG47" i="3"/>
  <c r="DF47" i="3"/>
  <c r="DH47" i="3"/>
  <c r="DI47" i="3"/>
  <c r="DJ47" i="3" s="1"/>
  <c r="DF190" i="3"/>
  <c r="DG190" i="3"/>
  <c r="DJ190" i="3" s="1"/>
  <c r="DH190" i="3"/>
  <c r="DI190" i="3"/>
  <c r="W26" i="1"/>
  <c r="F59" i="1"/>
  <c r="DF10" i="3"/>
  <c r="DG10" i="3"/>
  <c r="DH10" i="3"/>
  <c r="DI10" i="3"/>
  <c r="DG78" i="3"/>
  <c r="DF78" i="3"/>
  <c r="DH78" i="3"/>
  <c r="DI78" i="3"/>
  <c r="DJ78" i="3" s="1"/>
  <c r="P185" i="1"/>
  <c r="DH42" i="3"/>
  <c r="DF42" i="3"/>
  <c r="DG42" i="3"/>
  <c r="DJ42" i="3" s="1"/>
  <c r="DI42" i="3"/>
  <c r="DF98" i="3"/>
  <c r="P98" i="1" s="1"/>
  <c r="DH98" i="3"/>
  <c r="R98" i="1" s="1"/>
  <c r="DG98" i="3"/>
  <c r="DI98" i="3"/>
  <c r="DG6" i="3"/>
  <c r="DF6" i="3"/>
  <c r="DH6" i="3"/>
  <c r="DI6" i="3"/>
  <c r="DF202" i="3"/>
  <c r="DG202" i="3"/>
  <c r="DH202" i="3"/>
  <c r="DI202" i="3"/>
  <c r="DH9" i="3"/>
  <c r="R33" i="1" s="1"/>
  <c r="DI9" i="3"/>
  <c r="DF9" i="3"/>
  <c r="P33" i="1" s="1"/>
  <c r="DG9" i="3"/>
  <c r="Q33" i="1" s="1"/>
  <c r="DJ67" i="3"/>
  <c r="DH91" i="3"/>
  <c r="R95" i="1" s="1"/>
  <c r="DI91" i="3"/>
  <c r="S95" i="1" s="1"/>
  <c r="DG91" i="3"/>
  <c r="DJ91" i="3" s="1"/>
  <c r="DF91" i="3"/>
  <c r="R74" i="1"/>
  <c r="DH105" i="3"/>
  <c r="DG105" i="3"/>
  <c r="DI105" i="3"/>
  <c r="S99" i="1" s="1"/>
  <c r="DF105" i="3"/>
  <c r="DJ232" i="3"/>
  <c r="DF135" i="3"/>
  <c r="DJ135" i="3" s="1"/>
  <c r="DH135" i="3"/>
  <c r="DI135" i="3"/>
  <c r="DG135" i="3"/>
  <c r="CP139" i="1"/>
  <c r="O139" i="1" s="1"/>
  <c r="GM139" i="1" s="1"/>
  <c r="GN139" i="1" s="1"/>
  <c r="CZ195" i="1"/>
  <c r="Y195" i="1" s="1"/>
  <c r="GM195" i="1" s="1"/>
  <c r="GN195" i="1" s="1"/>
  <c r="CY195" i="1"/>
  <c r="X195" i="1" s="1"/>
  <c r="DJ108" i="3"/>
  <c r="S100" i="1"/>
  <c r="DF69" i="3"/>
  <c r="P84" i="1" s="1"/>
  <c r="DH69" i="3"/>
  <c r="R84" i="1" s="1"/>
  <c r="DI69" i="3"/>
  <c r="S84" i="1" s="1"/>
  <c r="DG69" i="3"/>
  <c r="DJ69" i="3" s="1"/>
  <c r="DF27" i="3"/>
  <c r="DG27" i="3"/>
  <c r="DJ27" i="3" s="1"/>
  <c r="DH27" i="3"/>
  <c r="DI27" i="3"/>
  <c r="DH28" i="3"/>
  <c r="DF28" i="3"/>
  <c r="DG28" i="3"/>
  <c r="DJ28" i="3" s="1"/>
  <c r="DI28" i="3"/>
  <c r="DF173" i="3"/>
  <c r="P186" i="1" s="1"/>
  <c r="DH173" i="3"/>
  <c r="DI173" i="3"/>
  <c r="DG173" i="3"/>
  <c r="DH18" i="3"/>
  <c r="DG18" i="3"/>
  <c r="DI18" i="3"/>
  <c r="DF18" i="3"/>
  <c r="DJ18" i="3" s="1"/>
  <c r="R99" i="1"/>
  <c r="DF158" i="3"/>
  <c r="DI158" i="3"/>
  <c r="DG158" i="3"/>
  <c r="DJ158" i="3" s="1"/>
  <c r="DH158" i="3"/>
  <c r="F44" i="1"/>
  <c r="AP26" i="1"/>
  <c r="AP238" i="1"/>
  <c r="DF5" i="3"/>
  <c r="DI5" i="3"/>
  <c r="DJ5" i="3" s="1"/>
  <c r="DG5" i="3"/>
  <c r="DH5" i="3"/>
  <c r="DG132" i="3"/>
  <c r="DH132" i="3"/>
  <c r="DF132" i="3"/>
  <c r="DI132" i="3"/>
  <c r="DJ132" i="3" s="1"/>
  <c r="DG146" i="3"/>
  <c r="DF146" i="3"/>
  <c r="DJ146" i="3" s="1"/>
  <c r="DH146" i="3"/>
  <c r="DI146" i="3"/>
  <c r="V90" i="1"/>
  <c r="G309" i="7" s="1"/>
  <c r="DJ247" i="3"/>
  <c r="DI99" i="3"/>
  <c r="DJ99" i="3" s="1"/>
  <c r="DF99" i="3"/>
  <c r="DG99" i="3"/>
  <c r="DH99" i="3"/>
  <c r="DF134" i="3"/>
  <c r="DG134" i="3"/>
  <c r="DH134" i="3"/>
  <c r="DI134" i="3"/>
  <c r="Q138" i="1"/>
  <c r="AG26" i="1"/>
  <c r="T35" i="1"/>
  <c r="R100" i="1"/>
  <c r="AT134" i="1"/>
  <c r="F168" i="1"/>
  <c r="W150" i="1"/>
  <c r="AJ134" i="1"/>
  <c r="DJ62" i="3"/>
  <c r="S81" i="1"/>
  <c r="DH79" i="3"/>
  <c r="DF79" i="3"/>
  <c r="DG79" i="3"/>
  <c r="DJ79" i="3" s="1"/>
  <c r="DI79" i="3"/>
  <c r="DF221" i="3"/>
  <c r="DI221" i="3"/>
  <c r="DG221" i="3"/>
  <c r="DH221" i="3"/>
  <c r="P205" i="1"/>
  <c r="DH136" i="3"/>
  <c r="DG136" i="3"/>
  <c r="DF136" i="3"/>
  <c r="DJ136" i="3" s="1"/>
  <c r="DI136" i="3"/>
  <c r="V136" i="1"/>
  <c r="G461" i="7" s="1"/>
  <c r="DH2" i="3"/>
  <c r="R28" i="1" s="1"/>
  <c r="DF2" i="3"/>
  <c r="DG2" i="3"/>
  <c r="DJ2" i="3" s="1"/>
  <c r="DI2" i="3"/>
  <c r="DH183" i="3"/>
  <c r="DI183" i="3"/>
  <c r="DF183" i="3"/>
  <c r="DG183" i="3"/>
  <c r="DH54" i="3"/>
  <c r="DI54" i="3"/>
  <c r="DG54" i="3"/>
  <c r="DF54" i="3"/>
  <c r="DJ54" i="3" s="1"/>
  <c r="CZ139" i="1"/>
  <c r="Y139" i="1" s="1"/>
  <c r="CY139" i="1"/>
  <c r="X139" i="1" s="1"/>
  <c r="P100" i="1"/>
  <c r="GM147" i="1"/>
  <c r="GN147" i="1" s="1"/>
  <c r="DI13" i="3"/>
  <c r="DH13" i="3"/>
  <c r="DG13" i="3"/>
  <c r="DJ13" i="3" s="1"/>
  <c r="DF13" i="3"/>
  <c r="AQ26" i="1"/>
  <c r="F45" i="1"/>
  <c r="DF14" i="3"/>
  <c r="DI14" i="3"/>
  <c r="DG14" i="3"/>
  <c r="DJ14" i="3" s="1"/>
  <c r="DH14" i="3"/>
  <c r="DH100" i="3"/>
  <c r="DI100" i="3"/>
  <c r="DG100" i="3"/>
  <c r="DJ100" i="3" s="1"/>
  <c r="DF100" i="3"/>
  <c r="DI3" i="3"/>
  <c r="DF3" i="3"/>
  <c r="P29" i="1" s="1"/>
  <c r="DG3" i="3"/>
  <c r="Q29" i="1" s="1"/>
  <c r="DH3" i="3"/>
  <c r="R29" i="1" s="1"/>
  <c r="F218" i="1"/>
  <c r="AQ182" i="1"/>
  <c r="R186" i="1"/>
  <c r="CJ102" i="1"/>
  <c r="DI56" i="3"/>
  <c r="DH56" i="3"/>
  <c r="R79" i="1" s="1"/>
  <c r="DF56" i="3"/>
  <c r="P79" i="1" s="1"/>
  <c r="DG56" i="3"/>
  <c r="Q79" i="1" s="1"/>
  <c r="P81" i="1"/>
  <c r="DH151" i="3"/>
  <c r="DI151" i="3"/>
  <c r="DF151" i="3"/>
  <c r="DJ151" i="3" s="1"/>
  <c r="DG151" i="3"/>
  <c r="DH45" i="3"/>
  <c r="DI45" i="3"/>
  <c r="DF45" i="3"/>
  <c r="DJ45" i="3" s="1"/>
  <c r="DG45" i="3"/>
  <c r="Q74" i="1"/>
  <c r="V74" i="1"/>
  <c r="DH23" i="3"/>
  <c r="DI23" i="3"/>
  <c r="DF23" i="3"/>
  <c r="DJ23" i="3" s="1"/>
  <c r="DG23" i="3"/>
  <c r="DF88" i="3"/>
  <c r="DJ88" i="3" s="1"/>
  <c r="DG88" i="3"/>
  <c r="DH88" i="3"/>
  <c r="DI88" i="3"/>
  <c r="GM148" i="1"/>
  <c r="GN148" i="1" s="1"/>
  <c r="DG20" i="3"/>
  <c r="DI20" i="3"/>
  <c r="DF20" i="3"/>
  <c r="DJ20" i="3" s="1"/>
  <c r="DH20" i="3"/>
  <c r="DI29" i="3"/>
  <c r="DG29" i="3"/>
  <c r="DH29" i="3"/>
  <c r="DF29" i="3"/>
  <c r="DH176" i="3"/>
  <c r="DG176" i="3"/>
  <c r="DJ176" i="3" s="1"/>
  <c r="DI176" i="3"/>
  <c r="S186" i="1" s="1"/>
  <c r="DF176" i="3"/>
  <c r="DG131" i="3"/>
  <c r="Q140" i="1" s="1"/>
  <c r="DI131" i="3"/>
  <c r="DF131" i="3"/>
  <c r="DH131" i="3"/>
  <c r="DF212" i="3"/>
  <c r="P194" i="1" s="1"/>
  <c r="DG212" i="3"/>
  <c r="DJ212" i="3" s="1"/>
  <c r="DH212" i="3"/>
  <c r="R194" i="1" s="1"/>
  <c r="DI212" i="3"/>
  <c r="S194" i="1" s="1"/>
  <c r="DG112" i="3"/>
  <c r="DI112" i="3"/>
  <c r="DF112" i="3"/>
  <c r="DH112" i="3"/>
  <c r="DJ70" i="3"/>
  <c r="F127" i="1"/>
  <c r="BD67" i="1"/>
  <c r="DI19" i="3"/>
  <c r="DG19" i="3"/>
  <c r="DF19" i="3"/>
  <c r="DJ19" i="3" s="1"/>
  <c r="DH19" i="3"/>
  <c r="DG81" i="3"/>
  <c r="Q93" i="1" s="1"/>
  <c r="DF81" i="3"/>
  <c r="P93" i="1" s="1"/>
  <c r="DH81" i="3"/>
  <c r="DI81" i="3"/>
  <c r="Q200" i="1"/>
  <c r="DF193" i="3"/>
  <c r="DI193" i="3"/>
  <c r="DG193" i="3"/>
  <c r="DH193" i="3"/>
  <c r="DH75" i="3"/>
  <c r="R87" i="1" s="1"/>
  <c r="DG75" i="3"/>
  <c r="DJ75" i="3" s="1"/>
  <c r="DF75" i="3"/>
  <c r="P87" i="1" s="1"/>
  <c r="DI75" i="3"/>
  <c r="S87" i="1" s="1"/>
  <c r="DG154" i="3"/>
  <c r="Q146" i="1" s="1"/>
  <c r="DF154" i="3"/>
  <c r="DH154" i="3"/>
  <c r="DI154" i="3"/>
  <c r="DJ89" i="3"/>
  <c r="DF96" i="3"/>
  <c r="DI96" i="3"/>
  <c r="DJ96" i="3" s="1"/>
  <c r="DG96" i="3"/>
  <c r="DH96" i="3"/>
  <c r="R200" i="1"/>
  <c r="CZ200" i="1" s="1"/>
  <c r="Y200" i="1" s="1"/>
  <c r="BA822" i="7" s="1"/>
  <c r="L821" i="7" s="1"/>
  <c r="BD26" i="1"/>
  <c r="BD238" i="1"/>
  <c r="F60" i="1"/>
  <c r="V196" i="1"/>
  <c r="DI197" i="3"/>
  <c r="DH197" i="3"/>
  <c r="DF197" i="3"/>
  <c r="DJ197" i="3" s="1"/>
  <c r="DG197" i="3"/>
  <c r="CD182" i="1"/>
  <c r="AU208" i="1"/>
  <c r="DF143" i="3"/>
  <c r="DG143" i="3"/>
  <c r="DH143" i="3"/>
  <c r="DI143" i="3"/>
  <c r="AO26" i="1"/>
  <c r="F39" i="1"/>
  <c r="AO238" i="1"/>
  <c r="P138" i="1"/>
  <c r="Q70" i="1"/>
  <c r="CP70" i="1" s="1"/>
  <c r="O70" i="1" s="1"/>
  <c r="R70" i="1"/>
  <c r="CY70" i="1" s="1"/>
  <c r="X70" i="1" s="1"/>
  <c r="DF50" i="3"/>
  <c r="DG50" i="3"/>
  <c r="DH50" i="3"/>
  <c r="DI50" i="3"/>
  <c r="Q100" i="1"/>
  <c r="DJ211" i="3"/>
  <c r="Q194" i="1"/>
  <c r="AX208" i="1" l="1"/>
  <c r="AH134" i="1"/>
  <c r="F169" i="1"/>
  <c r="CG26" i="1"/>
  <c r="CG67" i="1"/>
  <c r="AI208" i="1"/>
  <c r="V208" i="1" s="1"/>
  <c r="G769" i="7"/>
  <c r="AW279" i="7"/>
  <c r="AN279" i="7"/>
  <c r="L428" i="7"/>
  <c r="L426" i="7" s="1"/>
  <c r="L863" i="7"/>
  <c r="L861" i="7" s="1"/>
  <c r="L858" i="7" s="1"/>
  <c r="L899" i="7"/>
  <c r="L897" i="7" s="1"/>
  <c r="L894" i="7" s="1"/>
  <c r="L970" i="7"/>
  <c r="L968" i="7" s="1"/>
  <c r="CI67" i="1"/>
  <c r="AI102" i="1"/>
  <c r="V102" i="1" s="1"/>
  <c r="CP194" i="1"/>
  <c r="O194" i="1" s="1"/>
  <c r="CP200" i="1"/>
  <c r="O200" i="1" s="1"/>
  <c r="AH182" i="1"/>
  <c r="CY185" i="1"/>
  <c r="X185" i="1" s="1"/>
  <c r="AZ640" i="7" s="1"/>
  <c r="L638" i="7" s="1"/>
  <c r="CZ185" i="1"/>
  <c r="Y185" i="1" s="1"/>
  <c r="BA640" i="7" s="1"/>
  <c r="L639" i="7" s="1"/>
  <c r="CY186" i="1"/>
  <c r="X186" i="1" s="1"/>
  <c r="AZ669" i="7" s="1"/>
  <c r="L667" i="7" s="1"/>
  <c r="CZ186" i="1"/>
  <c r="Y186" i="1" s="1"/>
  <c r="BA669" i="7" s="1"/>
  <c r="L668" i="7" s="1"/>
  <c r="CY205" i="1"/>
  <c r="X205" i="1" s="1"/>
  <c r="AZ856" i="7" s="1"/>
  <c r="L854" i="7" s="1"/>
  <c r="CZ205" i="1"/>
  <c r="Y205" i="1" s="1"/>
  <c r="BA856" i="7" s="1"/>
  <c r="L855" i="7" s="1"/>
  <c r="CZ192" i="1"/>
  <c r="Y192" i="1" s="1"/>
  <c r="BA742" i="7" s="1"/>
  <c r="L741" i="7" s="1"/>
  <c r="CY192" i="1"/>
  <c r="X192" i="1" s="1"/>
  <c r="AZ742" i="7" s="1"/>
  <c r="L740" i="7" s="1"/>
  <c r="GM70" i="1"/>
  <c r="GN70" i="1" s="1"/>
  <c r="CY84" i="1"/>
  <c r="X84" i="1" s="1"/>
  <c r="AZ283" i="7" s="1"/>
  <c r="CZ84" i="1"/>
  <c r="Y84" i="1" s="1"/>
  <c r="BA283" i="7" s="1"/>
  <c r="CZ95" i="1"/>
  <c r="Y95" i="1" s="1"/>
  <c r="BA362" i="7" s="1"/>
  <c r="L361" i="7" s="1"/>
  <c r="CY95" i="1"/>
  <c r="X95" i="1" s="1"/>
  <c r="AZ362" i="7" s="1"/>
  <c r="L360" i="7" s="1"/>
  <c r="Q189" i="1"/>
  <c r="F251" i="1"/>
  <c r="BB268" i="1"/>
  <c r="BB22" i="1"/>
  <c r="AX182" i="1"/>
  <c r="F215" i="1"/>
  <c r="CY203" i="1"/>
  <c r="X203" i="1" s="1"/>
  <c r="AZ841" i="7" s="1"/>
  <c r="L839" i="7" s="1"/>
  <c r="CZ203" i="1"/>
  <c r="Y203" i="1" s="1"/>
  <c r="BA841" i="7" s="1"/>
  <c r="L840" i="7" s="1"/>
  <c r="DJ139" i="3"/>
  <c r="DJ154" i="3"/>
  <c r="S146" i="1"/>
  <c r="DJ95" i="3"/>
  <c r="S97" i="1"/>
  <c r="DJ7" i="3"/>
  <c r="S32" i="1"/>
  <c r="CP32" i="1" s="1"/>
  <c r="O32" i="1" s="1"/>
  <c r="DJ142" i="3"/>
  <c r="DJ52" i="3"/>
  <c r="Q192" i="1"/>
  <c r="CP192" i="1" s="1"/>
  <c r="O192" i="1" s="1"/>
  <c r="DJ195" i="3"/>
  <c r="Q87" i="1"/>
  <c r="CP87" i="1" s="1"/>
  <c r="O87" i="1" s="1"/>
  <c r="T26" i="1"/>
  <c r="T238" i="1"/>
  <c r="F56" i="1"/>
  <c r="DJ173" i="3"/>
  <c r="F121" i="1"/>
  <c r="AU67" i="1"/>
  <c r="AU238" i="1"/>
  <c r="CY138" i="1"/>
  <c r="X138" i="1" s="1"/>
  <c r="AZ500" i="7" s="1"/>
  <c r="L498" i="7" s="1"/>
  <c r="CZ138" i="1"/>
  <c r="Y138" i="1" s="1"/>
  <c r="BA500" i="7" s="1"/>
  <c r="L499" i="7" s="1"/>
  <c r="DJ80" i="3"/>
  <c r="CZ184" i="1"/>
  <c r="Y184" i="1" s="1"/>
  <c r="BA629" i="7" s="1"/>
  <c r="CY184" i="1"/>
  <c r="X184" i="1" s="1"/>
  <c r="AZ629" i="7" s="1"/>
  <c r="F113" i="1"/>
  <c r="AZ67" i="1"/>
  <c r="F174" i="1"/>
  <c r="W134" i="1"/>
  <c r="DJ143" i="3"/>
  <c r="CP100" i="1"/>
  <c r="O100" i="1" s="1"/>
  <c r="CY100" i="1"/>
  <c r="X100" i="1" s="1"/>
  <c r="AZ421" i="7" s="1"/>
  <c r="L419" i="7" s="1"/>
  <c r="CZ100" i="1"/>
  <c r="Y100" i="1" s="1"/>
  <c r="BA421" i="7" s="1"/>
  <c r="L420" i="7" s="1"/>
  <c r="R146" i="1"/>
  <c r="AU182" i="1"/>
  <c r="F227" i="1"/>
  <c r="P146" i="1"/>
  <c r="DJ221" i="3"/>
  <c r="T134" i="1"/>
  <c r="F171" i="1"/>
  <c r="DJ117" i="3"/>
  <c r="P97" i="1"/>
  <c r="R143" i="1"/>
  <c r="DJ8" i="3"/>
  <c r="DJ230" i="3"/>
  <c r="Q198" i="1"/>
  <c r="CP198" i="1" s="1"/>
  <c r="O198" i="1" s="1"/>
  <c r="S29" i="1"/>
  <c r="CP29" i="1" s="1"/>
  <c r="O29" i="1" s="1"/>
  <c r="DJ3" i="3"/>
  <c r="U26" i="1"/>
  <c r="F57" i="1"/>
  <c r="G128" i="7" s="1"/>
  <c r="CZ74" i="1"/>
  <c r="Y74" i="1" s="1"/>
  <c r="CY74" i="1"/>
  <c r="X74" i="1" s="1"/>
  <c r="AX26" i="1"/>
  <c r="F42" i="1"/>
  <c r="R30" i="1"/>
  <c r="AE35" i="1" s="1"/>
  <c r="DJ50" i="3"/>
  <c r="Q205" i="1"/>
  <c r="CP205" i="1" s="1"/>
  <c r="O205" i="1" s="1"/>
  <c r="GM205" i="1" s="1"/>
  <c r="GN205" i="1" s="1"/>
  <c r="R190" i="1"/>
  <c r="Q136" i="1"/>
  <c r="P187" i="1"/>
  <c r="R69" i="1"/>
  <c r="P30" i="1"/>
  <c r="U134" i="1"/>
  <c r="F172" i="1"/>
  <c r="G614" i="7" s="1"/>
  <c r="CY198" i="1"/>
  <c r="X198" i="1" s="1"/>
  <c r="AZ806" i="7" s="1"/>
  <c r="L804" i="7" s="1"/>
  <c r="CZ198" i="1"/>
  <c r="Y198" i="1" s="1"/>
  <c r="BA806" i="7" s="1"/>
  <c r="L805" i="7" s="1"/>
  <c r="F228" i="1"/>
  <c r="BA182" i="1"/>
  <c r="Q187" i="1"/>
  <c r="DJ10" i="3"/>
  <c r="S69" i="1"/>
  <c r="F55" i="1"/>
  <c r="BA238" i="1"/>
  <c r="BA26" i="1"/>
  <c r="Q190" i="1"/>
  <c r="CY194" i="1"/>
  <c r="X194" i="1" s="1"/>
  <c r="AZ760" i="7" s="1"/>
  <c r="L758" i="7" s="1"/>
  <c r="CZ194" i="1"/>
  <c r="Y194" i="1" s="1"/>
  <c r="DJ183" i="3"/>
  <c r="S187" i="1"/>
  <c r="CZ70" i="1"/>
  <c r="Y70" i="1" s="1"/>
  <c r="S71" i="1"/>
  <c r="Q69" i="1"/>
  <c r="Q84" i="1"/>
  <c r="CP84" i="1" s="1"/>
  <c r="O84" i="1" s="1"/>
  <c r="DJ4" i="3"/>
  <c r="S30" i="1"/>
  <c r="R136" i="1"/>
  <c r="DJ185" i="3"/>
  <c r="DJ242" i="3"/>
  <c r="Q203" i="1"/>
  <c r="CP203" i="1" s="1"/>
  <c r="O203" i="1" s="1"/>
  <c r="DJ193" i="3"/>
  <c r="S190" i="1"/>
  <c r="R187" i="1"/>
  <c r="R71" i="1"/>
  <c r="P69" i="1"/>
  <c r="GM94" i="1"/>
  <c r="GN94" i="1" s="1"/>
  <c r="CP74" i="1"/>
  <c r="O74" i="1" s="1"/>
  <c r="T182" i="1"/>
  <c r="F229" i="1"/>
  <c r="AH67" i="1"/>
  <c r="U102" i="1"/>
  <c r="U238" i="1" s="1"/>
  <c r="DJ156" i="3"/>
  <c r="DJ134" i="3"/>
  <c r="AP268" i="1"/>
  <c r="AP22" i="1"/>
  <c r="F247" i="1"/>
  <c r="G16" i="2" s="1"/>
  <c r="AI26" i="1"/>
  <c r="V35" i="1"/>
  <c r="BD268" i="1"/>
  <c r="F263" i="1"/>
  <c r="BD22" i="1"/>
  <c r="CP81" i="1"/>
  <c r="O81" i="1" s="1"/>
  <c r="CZ81" i="1"/>
  <c r="Y81" i="1" s="1"/>
  <c r="BA265" i="7" s="1"/>
  <c r="L264" i="7" s="1"/>
  <c r="CY81" i="1"/>
  <c r="X81" i="1" s="1"/>
  <c r="AZ265" i="7" s="1"/>
  <c r="L263" i="7" s="1"/>
  <c r="CY99" i="1"/>
  <c r="X99" i="1" s="1"/>
  <c r="AZ407" i="7" s="1"/>
  <c r="L405" i="7" s="1"/>
  <c r="CZ99" i="1"/>
  <c r="Y99" i="1" s="1"/>
  <c r="BA407" i="7" s="1"/>
  <c r="L406" i="7" s="1"/>
  <c r="DJ83" i="3"/>
  <c r="AX150" i="1"/>
  <c r="AX238" i="1" s="1"/>
  <c r="CG134" i="1"/>
  <c r="DJ189" i="3"/>
  <c r="DJ77" i="3"/>
  <c r="S90" i="1"/>
  <c r="CJ67" i="1"/>
  <c r="BA102" i="1"/>
  <c r="CY87" i="1"/>
  <c r="X87" i="1" s="1"/>
  <c r="AZ300" i="7" s="1"/>
  <c r="L298" i="7" s="1"/>
  <c r="CZ87" i="1"/>
  <c r="Y87" i="1" s="1"/>
  <c r="BA300" i="7" s="1"/>
  <c r="L299" i="7" s="1"/>
  <c r="DJ85" i="3"/>
  <c r="P196" i="1"/>
  <c r="S136" i="1"/>
  <c r="DJ112" i="3"/>
  <c r="DJ202" i="3"/>
  <c r="AQ22" i="1"/>
  <c r="AQ268" i="1"/>
  <c r="F248" i="1"/>
  <c r="DJ105" i="3"/>
  <c r="Q99" i="1"/>
  <c r="CP99" i="1" s="1"/>
  <c r="O99" i="1" s="1"/>
  <c r="GM99" i="1" s="1"/>
  <c r="GN99" i="1" s="1"/>
  <c r="BC18" i="1"/>
  <c r="F284" i="1"/>
  <c r="Q28" i="1"/>
  <c r="R90" i="1"/>
  <c r="F232" i="1"/>
  <c r="W182" i="1"/>
  <c r="DJ9" i="3"/>
  <c r="S33" i="1"/>
  <c r="CP33" i="1" s="1"/>
  <c r="O33" i="1" s="1"/>
  <c r="DJ215" i="3"/>
  <c r="S196" i="1"/>
  <c r="CZ28" i="1"/>
  <c r="Y28" i="1" s="1"/>
  <c r="BA53" i="7" s="1"/>
  <c r="CY28" i="1"/>
  <c r="X28" i="1" s="1"/>
  <c r="AZ53" i="7" s="1"/>
  <c r="P190" i="1"/>
  <c r="DJ6" i="3"/>
  <c r="Q71" i="1"/>
  <c r="DJ187" i="3"/>
  <c r="S189" i="1"/>
  <c r="R77" i="1"/>
  <c r="GM188" i="1"/>
  <c r="GN188" i="1" s="1"/>
  <c r="P90" i="1"/>
  <c r="W102" i="1"/>
  <c r="AJ67" i="1"/>
  <c r="S98" i="1"/>
  <c r="DJ98" i="3"/>
  <c r="F170" i="1"/>
  <c r="BA134" i="1"/>
  <c r="R189" i="1"/>
  <c r="DJ46" i="3"/>
  <c r="S77" i="1"/>
  <c r="P73" i="1"/>
  <c r="Q90" i="1"/>
  <c r="AZ150" i="1"/>
  <c r="CI134" i="1"/>
  <c r="P143" i="1"/>
  <c r="DJ29" i="3"/>
  <c r="Q143" i="1"/>
  <c r="DJ137" i="3"/>
  <c r="S143" i="1"/>
  <c r="P136" i="1"/>
  <c r="Q30" i="1"/>
  <c r="AG67" i="1"/>
  <c r="T102" i="1"/>
  <c r="CP138" i="1"/>
  <c r="O138" i="1" s="1"/>
  <c r="Q95" i="1"/>
  <c r="CP95" i="1" s="1"/>
  <c r="O95" i="1" s="1"/>
  <c r="R140" i="1"/>
  <c r="AX67" i="1"/>
  <c r="F109" i="1"/>
  <c r="S93" i="1"/>
  <c r="DJ81" i="3"/>
  <c r="P140" i="1"/>
  <c r="CY200" i="1"/>
  <c r="X200" i="1" s="1"/>
  <c r="AO22" i="1"/>
  <c r="F242" i="1"/>
  <c r="AO268" i="1"/>
  <c r="R93" i="1"/>
  <c r="S140" i="1"/>
  <c r="DJ131" i="3"/>
  <c r="DJ56" i="3"/>
  <c r="S79" i="1"/>
  <c r="CP79" i="1" s="1"/>
  <c r="O79" i="1" s="1"/>
  <c r="AI150" i="1"/>
  <c r="CP184" i="1"/>
  <c r="O184" i="1" s="1"/>
  <c r="Q186" i="1"/>
  <c r="CP186" i="1" s="1"/>
  <c r="O186" i="1" s="1"/>
  <c r="GM186" i="1" s="1"/>
  <c r="GN186" i="1" s="1"/>
  <c r="Q98" i="1"/>
  <c r="P189" i="1"/>
  <c r="P77" i="1"/>
  <c r="DJ170" i="3"/>
  <c r="Q185" i="1"/>
  <c r="DJ41" i="3"/>
  <c r="S73" i="1"/>
  <c r="DJ114" i="3"/>
  <c r="F160" i="1"/>
  <c r="AQ134" i="1"/>
  <c r="F219" i="1"/>
  <c r="AZ182" i="1"/>
  <c r="U182" i="1"/>
  <c r="F230" i="1"/>
  <c r="G886" i="7" s="1"/>
  <c r="K362" i="7" l="1"/>
  <c r="I362" i="7" s="1"/>
  <c r="AN362" i="7"/>
  <c r="L930" i="7"/>
  <c r="L282" i="7"/>
  <c r="L51" i="7"/>
  <c r="L52" i="7"/>
  <c r="L925" i="7"/>
  <c r="L923" i="7" s="1"/>
  <c r="L914" i="7" s="1"/>
  <c r="L434" i="7"/>
  <c r="L432" i="7" s="1"/>
  <c r="L976" i="7"/>
  <c r="L974" i="7" s="1"/>
  <c r="L965" i="7" s="1"/>
  <c r="K760" i="7"/>
  <c r="I760" i="7" s="1"/>
  <c r="L423" i="7"/>
  <c r="AN806" i="7"/>
  <c r="K806" i="7"/>
  <c r="I806" i="7" s="1"/>
  <c r="L627" i="7"/>
  <c r="AN300" i="7"/>
  <c r="K300" i="7"/>
  <c r="I300" i="7" s="1"/>
  <c r="L628" i="7"/>
  <c r="AN856" i="7"/>
  <c r="K856" i="7"/>
  <c r="I856" i="7" s="1"/>
  <c r="K407" i="7"/>
  <c r="I407" i="7" s="1"/>
  <c r="AN407" i="7"/>
  <c r="K265" i="7"/>
  <c r="I265" i="7" s="1"/>
  <c r="AN265" i="7"/>
  <c r="AI67" i="1"/>
  <c r="K742" i="7"/>
  <c r="I742" i="7" s="1"/>
  <c r="AN742" i="7"/>
  <c r="K669" i="7"/>
  <c r="I669" i="7" s="1"/>
  <c r="AN669" i="7"/>
  <c r="K421" i="7"/>
  <c r="I421" i="7" s="1"/>
  <c r="AN421" i="7"/>
  <c r="CP93" i="1"/>
  <c r="O93" i="1" s="1"/>
  <c r="K500" i="7"/>
  <c r="I500" i="7" s="1"/>
  <c r="AN500" i="7"/>
  <c r="AI182" i="1"/>
  <c r="L929" i="7"/>
  <c r="L281" i="7"/>
  <c r="AN841" i="7"/>
  <c r="K841" i="7"/>
  <c r="I841" i="7" s="1"/>
  <c r="AN640" i="7"/>
  <c r="K640" i="7"/>
  <c r="I640" i="7" s="1"/>
  <c r="GM200" i="1"/>
  <c r="GO200" i="1" s="1"/>
  <c r="CC208" i="1" s="1"/>
  <c r="AT208" i="1" s="1"/>
  <c r="AZ822" i="7"/>
  <c r="L820" i="7" s="1"/>
  <c r="GM194" i="1"/>
  <c r="GN194" i="1" s="1"/>
  <c r="BA760" i="7"/>
  <c r="L759" i="7" s="1"/>
  <c r="AN760" i="7" s="1"/>
  <c r="AE150" i="1"/>
  <c r="R150" i="1" s="1"/>
  <c r="AD208" i="1"/>
  <c r="Q208" i="1" s="1"/>
  <c r="AF35" i="1"/>
  <c r="S35" i="1" s="1"/>
  <c r="AC208" i="1"/>
  <c r="AC182" i="1" s="1"/>
  <c r="AF208" i="1"/>
  <c r="S208" i="1" s="1"/>
  <c r="GM87" i="1"/>
  <c r="GO87" i="1" s="1"/>
  <c r="CP189" i="1"/>
  <c r="O189" i="1" s="1"/>
  <c r="GM198" i="1"/>
  <c r="GN198" i="1" s="1"/>
  <c r="CP98" i="1"/>
  <c r="O98" i="1" s="1"/>
  <c r="GM95" i="1"/>
  <c r="GN95" i="1" s="1"/>
  <c r="CP185" i="1"/>
  <c r="O185" i="1" s="1"/>
  <c r="GM185" i="1" s="1"/>
  <c r="GN185" i="1" s="1"/>
  <c r="CP143" i="1"/>
  <c r="O143" i="1" s="1"/>
  <c r="GM203" i="1"/>
  <c r="GN203" i="1" s="1"/>
  <c r="AE208" i="1"/>
  <c r="AE182" i="1" s="1"/>
  <c r="CP71" i="1"/>
  <c r="O71" i="1" s="1"/>
  <c r="CP140" i="1"/>
  <c r="O140" i="1" s="1"/>
  <c r="AE26" i="1"/>
  <c r="R35" i="1"/>
  <c r="CC182" i="1"/>
  <c r="F258" i="1"/>
  <c r="BA22" i="1"/>
  <c r="BA268" i="1"/>
  <c r="AZ134" i="1"/>
  <c r="F161" i="1"/>
  <c r="CP196" i="1"/>
  <c r="O196" i="1" s="1"/>
  <c r="CP146" i="1"/>
  <c r="O146" i="1" s="1"/>
  <c r="AU22" i="1"/>
  <c r="AU268" i="1"/>
  <c r="F257" i="1"/>
  <c r="C34" i="7" s="1"/>
  <c r="CP77" i="1"/>
  <c r="O77" i="1" s="1"/>
  <c r="CP73" i="1"/>
  <c r="O73" i="1" s="1"/>
  <c r="BD18" i="1"/>
  <c r="F293" i="1"/>
  <c r="CZ190" i="1"/>
  <c r="Y190" i="1" s="1"/>
  <c r="BA718" i="7" s="1"/>
  <c r="L717" i="7" s="1"/>
  <c r="CY190" i="1"/>
  <c r="X190" i="1" s="1"/>
  <c r="AZ718" i="7" s="1"/>
  <c r="L716" i="7" s="1"/>
  <c r="CZ69" i="1"/>
  <c r="Y69" i="1" s="1"/>
  <c r="BA160" i="7" s="1"/>
  <c r="CY69" i="1"/>
  <c r="X69" i="1" s="1"/>
  <c r="AZ160" i="7" s="1"/>
  <c r="AF102" i="1"/>
  <c r="V150" i="1"/>
  <c r="AI134" i="1"/>
  <c r="T67" i="1"/>
  <c r="F123" i="1"/>
  <c r="F122" i="1"/>
  <c r="BA67" i="1"/>
  <c r="AP18" i="1"/>
  <c r="F277" i="1"/>
  <c r="CY29" i="1"/>
  <c r="X29" i="1" s="1"/>
  <c r="CZ29" i="1"/>
  <c r="Y29" i="1" s="1"/>
  <c r="BA62" i="7" s="1"/>
  <c r="L61" i="7" s="1"/>
  <c r="GM100" i="1"/>
  <c r="GN100" i="1" s="1"/>
  <c r="CZ79" i="1"/>
  <c r="Y79" i="1" s="1"/>
  <c r="BA248" i="7" s="1"/>
  <c r="L247" i="7" s="1"/>
  <c r="CY79" i="1"/>
  <c r="X79" i="1" s="1"/>
  <c r="AZ248" i="7" s="1"/>
  <c r="L246" i="7" s="1"/>
  <c r="BB18" i="1"/>
  <c r="F281" i="1"/>
  <c r="AC102" i="1"/>
  <c r="CP69" i="1"/>
  <c r="O69" i="1" s="1"/>
  <c r="CP190" i="1"/>
  <c r="O190" i="1" s="1"/>
  <c r="CY30" i="1"/>
  <c r="X30" i="1" s="1"/>
  <c r="AZ76" i="7" s="1"/>
  <c r="L74" i="7" s="1"/>
  <c r="CZ30" i="1"/>
  <c r="Y30" i="1" s="1"/>
  <c r="BA76" i="7" s="1"/>
  <c r="L75" i="7" s="1"/>
  <c r="CY98" i="1"/>
  <c r="X98" i="1" s="1"/>
  <c r="AZ390" i="7" s="1"/>
  <c r="L388" i="7" s="1"/>
  <c r="CZ98" i="1"/>
  <c r="Y98" i="1" s="1"/>
  <c r="BA390" i="7" s="1"/>
  <c r="L389" i="7" s="1"/>
  <c r="CY90" i="1"/>
  <c r="X90" i="1" s="1"/>
  <c r="AZ318" i="7" s="1"/>
  <c r="L316" i="7" s="1"/>
  <c r="CZ90" i="1"/>
  <c r="Y90" i="1" s="1"/>
  <c r="BA318" i="7" s="1"/>
  <c r="L317" i="7" s="1"/>
  <c r="AD102" i="1"/>
  <c r="CP30" i="1"/>
  <c r="O30" i="1" s="1"/>
  <c r="GM30" i="1" s="1"/>
  <c r="GN30" i="1" s="1"/>
  <c r="GM192" i="1"/>
  <c r="GN192" i="1" s="1"/>
  <c r="AQ18" i="1"/>
  <c r="F278" i="1"/>
  <c r="CZ196" i="1"/>
  <c r="Y196" i="1" s="1"/>
  <c r="BA787" i="7" s="1"/>
  <c r="L786" i="7" s="1"/>
  <c r="CY196" i="1"/>
  <c r="X196" i="1" s="1"/>
  <c r="AZ787" i="7" s="1"/>
  <c r="L785" i="7" s="1"/>
  <c r="GM84" i="1"/>
  <c r="GO84" i="1" s="1"/>
  <c r="AC150" i="1"/>
  <c r="CP136" i="1"/>
  <c r="O136" i="1" s="1"/>
  <c r="AD35" i="1"/>
  <c r="U67" i="1"/>
  <c r="F124" i="1"/>
  <c r="G451" i="7" s="1"/>
  <c r="CZ71" i="1"/>
  <c r="Y71" i="1" s="1"/>
  <c r="BA186" i="7" s="1"/>
  <c r="L185" i="7" s="1"/>
  <c r="CY71" i="1"/>
  <c r="X71" i="1" s="1"/>
  <c r="GM81" i="1"/>
  <c r="GN81" i="1" s="1"/>
  <c r="AF150" i="1"/>
  <c r="CY136" i="1"/>
  <c r="X136" i="1" s="1"/>
  <c r="AZ482" i="7" s="1"/>
  <c r="CZ136" i="1"/>
  <c r="Y136" i="1" s="1"/>
  <c r="BA482" i="7" s="1"/>
  <c r="F58" i="1"/>
  <c r="G129" i="7" s="1"/>
  <c r="V26" i="1"/>
  <c r="GM138" i="1"/>
  <c r="GN138" i="1" s="1"/>
  <c r="CY143" i="1"/>
  <c r="X143" i="1" s="1"/>
  <c r="AZ555" i="7" s="1"/>
  <c r="L553" i="7" s="1"/>
  <c r="CZ143" i="1"/>
  <c r="Y143" i="1" s="1"/>
  <c r="BA555" i="7" s="1"/>
  <c r="L554" i="7" s="1"/>
  <c r="F126" i="1"/>
  <c r="W67" i="1"/>
  <c r="W238" i="1"/>
  <c r="AE102" i="1"/>
  <c r="CP28" i="1"/>
  <c r="O28" i="1" s="1"/>
  <c r="CZ146" i="1"/>
  <c r="Y146" i="1" s="1"/>
  <c r="BA584" i="7" s="1"/>
  <c r="L583" i="7" s="1"/>
  <c r="CY146" i="1"/>
  <c r="X146" i="1" s="1"/>
  <c r="AZ584" i="7" s="1"/>
  <c r="L582" i="7" s="1"/>
  <c r="CY77" i="1"/>
  <c r="X77" i="1" s="1"/>
  <c r="AZ229" i="7" s="1"/>
  <c r="L227" i="7" s="1"/>
  <c r="CZ77" i="1"/>
  <c r="Y77" i="1" s="1"/>
  <c r="BA229" i="7" s="1"/>
  <c r="L228" i="7" s="1"/>
  <c r="T22" i="1"/>
  <c r="F259" i="1"/>
  <c r="T268" i="1"/>
  <c r="CP90" i="1"/>
  <c r="O90" i="1" s="1"/>
  <c r="CY187" i="1"/>
  <c r="X187" i="1" s="1"/>
  <c r="AZ684" i="7" s="1"/>
  <c r="L682" i="7" s="1"/>
  <c r="CZ187" i="1"/>
  <c r="Y187" i="1" s="1"/>
  <c r="BA684" i="7" s="1"/>
  <c r="L683" i="7" s="1"/>
  <c r="CP187" i="1"/>
  <c r="O187" i="1" s="1"/>
  <c r="AZ238" i="1"/>
  <c r="AC35" i="1"/>
  <c r="V182" i="1"/>
  <c r="F231" i="1"/>
  <c r="G887" i="7" s="1"/>
  <c r="V67" i="1"/>
  <c r="F125" i="1"/>
  <c r="G452" i="7" s="1"/>
  <c r="AX134" i="1"/>
  <c r="F157" i="1"/>
  <c r="AD150" i="1"/>
  <c r="CP97" i="1"/>
  <c r="O97" i="1" s="1"/>
  <c r="CY97" i="1"/>
  <c r="X97" i="1" s="1"/>
  <c r="AZ375" i="7" s="1"/>
  <c r="L373" i="7" s="1"/>
  <c r="CZ97" i="1"/>
  <c r="Y97" i="1" s="1"/>
  <c r="BA375" i="7" s="1"/>
  <c r="L374" i="7" s="1"/>
  <c r="U268" i="1"/>
  <c r="U22" i="1"/>
  <c r="F260" i="1"/>
  <c r="GM74" i="1"/>
  <c r="GN74" i="1" s="1"/>
  <c r="CY32" i="1"/>
  <c r="X32" i="1" s="1"/>
  <c r="AZ89" i="7" s="1"/>
  <c r="L87" i="7" s="1"/>
  <c r="CZ32" i="1"/>
  <c r="Y32" i="1" s="1"/>
  <c r="BA89" i="7" s="1"/>
  <c r="L88" i="7" s="1"/>
  <c r="CZ73" i="1"/>
  <c r="Y73" i="1" s="1"/>
  <c r="BA203" i="7" s="1"/>
  <c r="L202" i="7" s="1"/>
  <c r="CY73" i="1"/>
  <c r="X73" i="1" s="1"/>
  <c r="AZ203" i="7" s="1"/>
  <c r="L201" i="7" s="1"/>
  <c r="AX22" i="1"/>
  <c r="AX268" i="1"/>
  <c r="F245" i="1"/>
  <c r="CY93" i="1"/>
  <c r="X93" i="1" s="1"/>
  <c r="AZ344" i="7" s="1"/>
  <c r="L342" i="7" s="1"/>
  <c r="CZ93" i="1"/>
  <c r="Y93" i="1" s="1"/>
  <c r="BA344" i="7" s="1"/>
  <c r="L343" i="7" s="1"/>
  <c r="CY33" i="1"/>
  <c r="X33" i="1" s="1"/>
  <c r="AZ98" i="7" s="1"/>
  <c r="L96" i="7" s="1"/>
  <c r="CZ33" i="1"/>
  <c r="Y33" i="1" s="1"/>
  <c r="BA98" i="7" s="1"/>
  <c r="L97" i="7" s="1"/>
  <c r="GM184" i="1"/>
  <c r="CZ140" i="1"/>
  <c r="Y140" i="1" s="1"/>
  <c r="BA518" i="7" s="1"/>
  <c r="L517" i="7" s="1"/>
  <c r="CY140" i="1"/>
  <c r="X140" i="1" s="1"/>
  <c r="AZ518" i="7" s="1"/>
  <c r="L516" i="7" s="1"/>
  <c r="AO18" i="1"/>
  <c r="F272" i="1"/>
  <c r="CY189" i="1"/>
  <c r="X189" i="1" s="1"/>
  <c r="AZ702" i="7" s="1"/>
  <c r="L700" i="7" s="1"/>
  <c r="CZ189" i="1"/>
  <c r="Y189" i="1" s="1"/>
  <c r="BA702" i="7" s="1"/>
  <c r="L701" i="7" s="1"/>
  <c r="L912" i="7" l="1"/>
  <c r="AF182" i="1"/>
  <c r="R208" i="1"/>
  <c r="K822" i="7"/>
  <c r="I822" i="7" s="1"/>
  <c r="AN822" i="7"/>
  <c r="K98" i="7"/>
  <c r="I98" i="7" s="1"/>
  <c r="AN98" i="7"/>
  <c r="AN248" i="7"/>
  <c r="K248" i="7"/>
  <c r="I248" i="7" s="1"/>
  <c r="AD182" i="1"/>
  <c r="L481" i="7"/>
  <c r="L602" i="7"/>
  <c r="K318" i="7"/>
  <c r="I318" i="7" s="1"/>
  <c r="AN318" i="7"/>
  <c r="L981" i="7"/>
  <c r="AN684" i="7"/>
  <c r="K684" i="7"/>
  <c r="I684" i="7" s="1"/>
  <c r="L480" i="7"/>
  <c r="L601" i="7"/>
  <c r="L610" i="7" s="1"/>
  <c r="K390" i="7"/>
  <c r="I390" i="7" s="1"/>
  <c r="AN390" i="7"/>
  <c r="AN53" i="7"/>
  <c r="K53" i="7"/>
  <c r="I53" i="7" s="1"/>
  <c r="L116" i="7"/>
  <c r="K89" i="7"/>
  <c r="I89" i="7" s="1"/>
  <c r="AN89" i="7"/>
  <c r="K702" i="7"/>
  <c r="I702" i="7" s="1"/>
  <c r="AN702" i="7"/>
  <c r="AN283" i="7"/>
  <c r="K283" i="7"/>
  <c r="I283" i="7" s="1"/>
  <c r="L874" i="7"/>
  <c r="AF26" i="1"/>
  <c r="GM33" i="1"/>
  <c r="GN33" i="1" s="1"/>
  <c r="K203" i="7"/>
  <c r="I203" i="7" s="1"/>
  <c r="AN203" i="7"/>
  <c r="GM71" i="1"/>
  <c r="GN71" i="1" s="1"/>
  <c r="AZ186" i="7"/>
  <c r="L184" i="7" s="1"/>
  <c r="AN555" i="7"/>
  <c r="K555" i="7"/>
  <c r="I555" i="7" s="1"/>
  <c r="K31" i="7"/>
  <c r="AN76" i="7"/>
  <c r="K76" i="7"/>
  <c r="I76" i="7" s="1"/>
  <c r="CH208" i="1"/>
  <c r="AE134" i="1"/>
  <c r="CF208" i="1"/>
  <c r="AN344" i="7"/>
  <c r="K344" i="7"/>
  <c r="I344" i="7" s="1"/>
  <c r="L910" i="7"/>
  <c r="L158" i="7"/>
  <c r="AN629" i="7"/>
  <c r="K629" i="7"/>
  <c r="I629" i="7" s="1"/>
  <c r="K518" i="7"/>
  <c r="I518" i="7" s="1"/>
  <c r="AN518" i="7"/>
  <c r="CE208" i="1"/>
  <c r="AV208" i="1" s="1"/>
  <c r="AN229" i="7"/>
  <c r="K229" i="7"/>
  <c r="I229" i="7" s="1"/>
  <c r="L439" i="7"/>
  <c r="L159" i="7"/>
  <c r="P208" i="1"/>
  <c r="F211" i="1" s="1"/>
  <c r="L873" i="7"/>
  <c r="K787" i="7"/>
  <c r="I787" i="7" s="1"/>
  <c r="AN787" i="7"/>
  <c r="AK35" i="1"/>
  <c r="AK26" i="1" s="1"/>
  <c r="AZ62" i="7"/>
  <c r="K375" i="7"/>
  <c r="I375" i="7" s="1"/>
  <c r="AN375" i="7"/>
  <c r="K584" i="7"/>
  <c r="I584" i="7" s="1"/>
  <c r="AN584" i="7"/>
  <c r="AN718" i="7"/>
  <c r="K718" i="7"/>
  <c r="I718" i="7" s="1"/>
  <c r="GM187" i="1"/>
  <c r="GN187" i="1" s="1"/>
  <c r="GM32" i="1"/>
  <c r="GN32" i="1" s="1"/>
  <c r="CC102" i="1"/>
  <c r="CC67" i="1" s="1"/>
  <c r="GM29" i="1"/>
  <c r="GN29" i="1" s="1"/>
  <c r="AK208" i="1"/>
  <c r="AK182" i="1" s="1"/>
  <c r="GM73" i="1"/>
  <c r="GN73" i="1" s="1"/>
  <c r="AL208" i="1"/>
  <c r="AL182" i="1" s="1"/>
  <c r="GM93" i="1"/>
  <c r="GN93" i="1" s="1"/>
  <c r="GM77" i="1"/>
  <c r="GN77" i="1" s="1"/>
  <c r="GM79" i="1"/>
  <c r="GN79" i="1" s="1"/>
  <c r="GM143" i="1"/>
  <c r="GN143" i="1" s="1"/>
  <c r="AL35" i="1"/>
  <c r="Y35" i="1" s="1"/>
  <c r="GM98" i="1"/>
  <c r="GN98" i="1" s="1"/>
  <c r="GM90" i="1"/>
  <c r="GN90" i="1" s="1"/>
  <c r="GM140" i="1"/>
  <c r="GN140" i="1" s="1"/>
  <c r="AL102" i="1"/>
  <c r="AL67" i="1" s="1"/>
  <c r="GM189" i="1"/>
  <c r="GN189" i="1" s="1"/>
  <c r="GM190" i="1"/>
  <c r="GN190" i="1" s="1"/>
  <c r="AD26" i="1"/>
  <c r="Q35" i="1"/>
  <c r="F275" i="1"/>
  <c r="AX18" i="1"/>
  <c r="AB102" i="1"/>
  <c r="GM69" i="1"/>
  <c r="R134" i="1"/>
  <c r="F164" i="1"/>
  <c r="CF150" i="1"/>
  <c r="P150" i="1"/>
  <c r="AC134" i="1"/>
  <c r="CE150" i="1"/>
  <c r="CH150" i="1"/>
  <c r="AU18" i="1"/>
  <c r="F287" i="1"/>
  <c r="S26" i="1"/>
  <c r="F50" i="1"/>
  <c r="AY208" i="1"/>
  <c r="CH182" i="1"/>
  <c r="AT182" i="1"/>
  <c r="F226" i="1"/>
  <c r="Q102" i="1"/>
  <c r="AD67" i="1"/>
  <c r="AB35" i="1"/>
  <c r="GM28" i="1"/>
  <c r="AW208" i="1"/>
  <c r="CF182" i="1"/>
  <c r="AL150" i="1"/>
  <c r="GM146" i="1"/>
  <c r="GN146" i="1" s="1"/>
  <c r="F220" i="1"/>
  <c r="Q182" i="1"/>
  <c r="F173" i="1"/>
  <c r="G615" i="7" s="1"/>
  <c r="V134" i="1"/>
  <c r="GM136" i="1"/>
  <c r="AB150" i="1"/>
  <c r="U18" i="1"/>
  <c r="F290" i="1"/>
  <c r="F289" i="1"/>
  <c r="T18" i="1"/>
  <c r="AK150" i="1"/>
  <c r="GM196" i="1"/>
  <c r="GN196" i="1" s="1"/>
  <c r="R102" i="1"/>
  <c r="R238" i="1" s="1"/>
  <c r="AE67" i="1"/>
  <c r="W22" i="1"/>
  <c r="F262" i="1"/>
  <c r="W268" i="1"/>
  <c r="AF134" i="1"/>
  <c r="S150" i="1"/>
  <c r="R182" i="1"/>
  <c r="F222" i="1"/>
  <c r="V238" i="1"/>
  <c r="F223" i="1"/>
  <c r="S182" i="1"/>
  <c r="F49" i="1"/>
  <c r="R26" i="1"/>
  <c r="AK102" i="1"/>
  <c r="AZ22" i="1"/>
  <c r="AZ268" i="1"/>
  <c r="F249" i="1"/>
  <c r="BA18" i="1"/>
  <c r="F288" i="1"/>
  <c r="Q150" i="1"/>
  <c r="AD134" i="1"/>
  <c r="S102" i="1"/>
  <c r="AF67" i="1"/>
  <c r="CF102" i="1"/>
  <c r="P102" i="1"/>
  <c r="AC67" i="1"/>
  <c r="CE102" i="1"/>
  <c r="CH102" i="1"/>
  <c r="CH35" i="1"/>
  <c r="P35" i="1"/>
  <c r="CE35" i="1"/>
  <c r="AC26" i="1"/>
  <c r="CF35" i="1"/>
  <c r="H16" i="2"/>
  <c r="GN184" i="1"/>
  <c r="AB208" i="1"/>
  <c r="GM97" i="1"/>
  <c r="GN97" i="1" s="1"/>
  <c r="AT102" i="1" l="1"/>
  <c r="AL26" i="1"/>
  <c r="X35" i="1"/>
  <c r="X208" i="1"/>
  <c r="L882" i="7"/>
  <c r="AN186" i="7"/>
  <c r="K186" i="7"/>
  <c r="I186" i="7" s="1"/>
  <c r="CE182" i="1"/>
  <c r="P182" i="1"/>
  <c r="S238" i="1"/>
  <c r="S268" i="1" s="1"/>
  <c r="L60" i="7"/>
  <c r="L980" i="7"/>
  <c r="L115" i="7"/>
  <c r="L124" i="7" s="1"/>
  <c r="L909" i="7"/>
  <c r="L892" i="7" s="1"/>
  <c r="L963" i="7" s="1"/>
  <c r="AN482" i="7"/>
  <c r="K482" i="7"/>
  <c r="I482" i="7" s="1"/>
  <c r="L438" i="7"/>
  <c r="L447" i="7" s="1"/>
  <c r="K160" i="7"/>
  <c r="I160" i="7" s="1"/>
  <c r="AN160" i="7"/>
  <c r="Y208" i="1"/>
  <c r="Y182" i="1" s="1"/>
  <c r="Y102" i="1"/>
  <c r="Y67" i="1" s="1"/>
  <c r="CB208" i="1"/>
  <c r="AS208" i="1" s="1"/>
  <c r="CA208" i="1"/>
  <c r="AR208" i="1" s="1"/>
  <c r="R22" i="1"/>
  <c r="R268" i="1"/>
  <c r="F252" i="1"/>
  <c r="Q134" i="1"/>
  <c r="F162" i="1"/>
  <c r="AB182" i="1"/>
  <c r="O208" i="1"/>
  <c r="AZ18" i="1"/>
  <c r="F279" i="1"/>
  <c r="X182" i="1"/>
  <c r="F234" i="1"/>
  <c r="AB26" i="1"/>
  <c r="O35" i="1"/>
  <c r="Q67" i="1"/>
  <c r="F114" i="1"/>
  <c r="AT67" i="1"/>
  <c r="F120" i="1"/>
  <c r="AT238" i="1"/>
  <c r="AY102" i="1"/>
  <c r="CH67" i="1"/>
  <c r="GN69" i="1"/>
  <c r="CB102" i="1" s="1"/>
  <c r="CA102" i="1"/>
  <c r="AW35" i="1"/>
  <c r="CF26" i="1"/>
  <c r="X150" i="1"/>
  <c r="AK134" i="1"/>
  <c r="CE67" i="1"/>
  <c r="AV102" i="1"/>
  <c r="AK67" i="1"/>
  <c r="X102" i="1"/>
  <c r="X238" i="1" s="1"/>
  <c r="R67" i="1"/>
  <c r="F116" i="1"/>
  <c r="AB67" i="1"/>
  <c r="O102" i="1"/>
  <c r="W18" i="1"/>
  <c r="F292" i="1"/>
  <c r="CH26" i="1"/>
  <c r="AY35" i="1"/>
  <c r="F105" i="1"/>
  <c r="P67" i="1"/>
  <c r="F216" i="1"/>
  <c r="AY182" i="1"/>
  <c r="AW150" i="1"/>
  <c r="CF134" i="1"/>
  <c r="F38" i="1"/>
  <c r="P26" i="1"/>
  <c r="P238" i="1"/>
  <c r="AW102" i="1"/>
  <c r="CF67" i="1"/>
  <c r="F261" i="1"/>
  <c r="V22" i="1"/>
  <c r="V268" i="1"/>
  <c r="F47" i="1"/>
  <c r="Q26" i="1"/>
  <c r="Q238" i="1"/>
  <c r="AV150" i="1"/>
  <c r="CE134" i="1"/>
  <c r="F153" i="1"/>
  <c r="P134" i="1"/>
  <c r="CA35" i="1"/>
  <c r="GN28" i="1"/>
  <c r="CB35" i="1" s="1"/>
  <c r="CE26" i="1"/>
  <c r="AV35" i="1"/>
  <c r="X26" i="1"/>
  <c r="F61" i="1"/>
  <c r="AV182" i="1"/>
  <c r="F213" i="1"/>
  <c r="AY150" i="1"/>
  <c r="CH134" i="1"/>
  <c r="S134" i="1"/>
  <c r="F165" i="1"/>
  <c r="F214" i="1"/>
  <c r="AW182" i="1"/>
  <c r="S67" i="1"/>
  <c r="F117" i="1"/>
  <c r="O150" i="1"/>
  <c r="AB134" i="1"/>
  <c r="AL134" i="1"/>
  <c r="Y150" i="1"/>
  <c r="GN136" i="1"/>
  <c r="CB150" i="1" s="1"/>
  <c r="CA150" i="1"/>
  <c r="F62" i="1"/>
  <c r="Y26" i="1"/>
  <c r="F253" i="1" l="1"/>
  <c r="S22" i="1"/>
  <c r="K32" i="7"/>
  <c r="CB182" i="1"/>
  <c r="K62" i="7"/>
  <c r="I62" i="7" s="1"/>
  <c r="AN62" i="7"/>
  <c r="CA182" i="1"/>
  <c r="Y238" i="1"/>
  <c r="F265" i="1" s="1"/>
  <c r="F235" i="1"/>
  <c r="F129" i="1"/>
  <c r="X22" i="1"/>
  <c r="F264" i="1"/>
  <c r="X268" i="1"/>
  <c r="F158" i="1"/>
  <c r="AY134" i="1"/>
  <c r="F225" i="1"/>
  <c r="AS182" i="1"/>
  <c r="P22" i="1"/>
  <c r="F241" i="1"/>
  <c r="P268" i="1"/>
  <c r="CA26" i="1"/>
  <c r="AR35" i="1"/>
  <c r="AW26" i="1"/>
  <c r="AW238" i="1"/>
  <c r="F41" i="1"/>
  <c r="F37" i="1"/>
  <c r="O26" i="1"/>
  <c r="O238" i="1"/>
  <c r="AV67" i="1"/>
  <c r="F107" i="1"/>
  <c r="AV238" i="1"/>
  <c r="F40" i="1"/>
  <c r="AV26" i="1"/>
  <c r="O134" i="1"/>
  <c r="F152" i="1"/>
  <c r="F236" i="1"/>
  <c r="AR182" i="1"/>
  <c r="AW67" i="1"/>
  <c r="F108" i="1"/>
  <c r="F156" i="1"/>
  <c r="AW134" i="1"/>
  <c r="AR102" i="1"/>
  <c r="CA67" i="1"/>
  <c r="F282" i="1"/>
  <c r="R18" i="1"/>
  <c r="AR150" i="1"/>
  <c r="CA134" i="1"/>
  <c r="AS102" i="1"/>
  <c r="CB67" i="1"/>
  <c r="X67" i="1"/>
  <c r="F128" i="1"/>
  <c r="AS35" i="1"/>
  <c r="CB26" i="1"/>
  <c r="F177" i="1"/>
  <c r="Y134" i="1"/>
  <c r="S18" i="1"/>
  <c r="F283" i="1"/>
  <c r="Y22" i="1"/>
  <c r="Y268" i="1"/>
  <c r="F176" i="1"/>
  <c r="X134" i="1"/>
  <c r="F110" i="1"/>
  <c r="AY67" i="1"/>
  <c r="J16" i="2"/>
  <c r="AS150" i="1"/>
  <c r="CB134" i="1"/>
  <c r="F210" i="1"/>
  <c r="O182" i="1"/>
  <c r="F155" i="1"/>
  <c r="AV134" i="1"/>
  <c r="AY238" i="1"/>
  <c r="AY26" i="1"/>
  <c r="F43" i="1"/>
  <c r="Q22" i="1"/>
  <c r="Q268" i="1"/>
  <c r="F250" i="1"/>
  <c r="V18" i="1"/>
  <c r="F291" i="1"/>
  <c r="O67" i="1"/>
  <c r="F104" i="1"/>
  <c r="AT22" i="1"/>
  <c r="AT268" i="1"/>
  <c r="F256" i="1"/>
  <c r="F16" i="2" l="1"/>
  <c r="C32" i="7"/>
  <c r="AW22" i="1"/>
  <c r="AW268" i="1"/>
  <c r="F244" i="1"/>
  <c r="AT18" i="1"/>
  <c r="F286" i="1"/>
  <c r="Y18" i="1"/>
  <c r="F295" i="1"/>
  <c r="F299" i="1" s="1"/>
  <c r="F178" i="1"/>
  <c r="AR134" i="1"/>
  <c r="O22" i="1"/>
  <c r="F240" i="1"/>
  <c r="O268" i="1"/>
  <c r="F271" i="1"/>
  <c r="P18" i="1"/>
  <c r="X18" i="1"/>
  <c r="F294" i="1"/>
  <c r="F298" i="1" s="1"/>
  <c r="AS134" i="1"/>
  <c r="F167" i="1"/>
  <c r="AR67" i="1"/>
  <c r="F130" i="1"/>
  <c r="AS26" i="1"/>
  <c r="F52" i="1"/>
  <c r="AS238" i="1"/>
  <c r="AS67" i="1"/>
  <c r="F119" i="1"/>
  <c r="AR26" i="1"/>
  <c r="F63" i="1"/>
  <c r="AR238" i="1"/>
  <c r="Q18" i="1"/>
  <c r="F280" i="1"/>
  <c r="F246" i="1"/>
  <c r="AY22" i="1"/>
  <c r="AY268" i="1"/>
  <c r="AV22" i="1"/>
  <c r="AV268" i="1"/>
  <c r="F243" i="1"/>
  <c r="AV18" i="1" l="1"/>
  <c r="F273" i="1"/>
  <c r="AY18" i="1"/>
  <c r="F276" i="1"/>
  <c r="AS22" i="1"/>
  <c r="AS268" i="1"/>
  <c r="F255" i="1"/>
  <c r="O18" i="1"/>
  <c r="F270" i="1"/>
  <c r="F297" i="1" s="1"/>
  <c r="F300" i="1" s="1"/>
  <c r="AR22" i="1"/>
  <c r="AR268" i="1"/>
  <c r="F266" i="1"/>
  <c r="AW18" i="1"/>
  <c r="F274" i="1"/>
  <c r="E16" i="2" l="1"/>
  <c r="I16" i="2" s="1"/>
  <c r="N16" i="2" s="1"/>
  <c r="C31" i="7"/>
  <c r="C28" i="7" s="1"/>
  <c r="AR18" i="1"/>
  <c r="F296" i="1"/>
  <c r="F301" i="1"/>
  <c r="F302" i="1" s="1"/>
  <c r="AS18" i="1"/>
  <c r="F285" i="1"/>
  <c r="F303" i="1" l="1"/>
  <c r="F304" i="1" s="1"/>
</calcChain>
</file>

<file path=xl/sharedStrings.xml><?xml version="1.0" encoding="utf-8"?>
<sst xmlns="http://schemas.openxmlformats.org/spreadsheetml/2006/main" count="10682" uniqueCount="1049">
  <si>
    <t>Smeta.RU  (495) 974-1589</t>
  </si>
  <si>
    <t>_PS_</t>
  </si>
  <si>
    <t>Smeta.RU</t>
  </si>
  <si>
    <t/>
  </si>
  <si>
    <t>Новый объект_(Копия)_(Копия)_(Копия)_(Копия)_(Копия)</t>
  </si>
  <si>
    <t>Газопровод низкого давления к нежилому помещению,расположенному по адресу: Пензенская область,г.Кузнецк,ул.Кирова,155А/1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</si>
  <si>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</si>
  <si>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</si>
  <si>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</si>
  <si>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</si>
  <si>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</si>
  <si>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</si>
  <si>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</si>
  <si>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</si>
  <si>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</si>
  <si>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 низкого давления</t>
  </si>
  <si>
    <t>Новый 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</si>
  <si>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</si>
  <si>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</si>
  <si>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</si>
  <si>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</si>
  <si>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</si>
  <si>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</si>
  <si>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</si>
  <si>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</si>
  <si>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</si>
  <si>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</si>
  <si>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</si>
  <si>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</si>
  <si>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</si>
  <si>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Разработка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</si>
  <si>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</si>
  <si>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</si>
  <si>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</si>
  <si>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</si>
  <si>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</si>
  <si>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</si>
  <si>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23-01-001-01</t>
  </si>
  <si>
    <t>Устройство основания под трубопроводы: песчаного</t>
  </si>
  <si>
    <t>10 м3</t>
  </si>
  <si>
    <t>ГЭСН-2022 доп.18, 23-01-001-01, приказ Минстроя России от 15.05.2026 г. № 301/пр</t>
  </si>
  <si>
    <t>Наружные сети водопровода, канализации, теплоснабжения, газопроводы</t>
  </si>
  <si>
    <t>ФЕР-23</t>
  </si>
  <si>
    <t>Пр/812-018.0-1</t>
  </si>
  <si>
    <t>Пр/774-018.0</t>
  </si>
  <si>
    <t>4</t>
  </si>
  <si>
    <t>02.1.01.02-0003</t>
  </si>
  <si>
    <t>Грунт песчаный (пескогрунт)</t>
  </si>
  <si>
    <t>м3</t>
  </si>
  <si>
    <t>ФСБЦ-2022, 02.1.01.02-0003, приказ Минстроя России от 18.05.2022 г. № 378/пр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</si>
  <si>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</si>
  <si>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</si>
  <si>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</si>
  <si>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5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</si>
  <si>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</si>
  <si>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</si>
  <si>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</si>
  <si>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6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</si>
  <si>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</si>
  <si>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</si>
  <si>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</si>
  <si>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</si>
  <si>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</si>
  <si>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</si>
  <si>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</si>
  <si>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</si>
  <si>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</si>
  <si>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</si>
  <si>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</si>
  <si>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</si>
  <si>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</si>
  <si>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</si>
  <si>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</si>
  <si>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</si>
  <si>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</si>
  <si>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</si>
  <si>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</si>
  <si>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</si>
  <si>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</si>
  <si>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</si>
  <si>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</si>
  <si>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</si>
  <si>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</si>
  <si>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</si>
  <si>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</si>
  <si>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</si>
  <si>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</si>
  <si>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</si>
  <si>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</si>
  <si>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</si>
  <si>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</si>
  <si>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</si>
  <si>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</si>
  <si>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</si>
  <si>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</si>
  <si>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</si>
  <si>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</si>
  <si>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</si>
  <si>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</si>
  <si>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</si>
  <si>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</si>
  <si>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</si>
  <si>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</si>
  <si>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</si>
  <si>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</si>
  <si>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</si>
  <si>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</si>
  <si>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</si>
  <si>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</si>
  <si>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</si>
  <si>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</si>
  <si>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</si>
  <si>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</si>
  <si>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</si>
  <si>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</si>
  <si>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 трубы</t>
  </si>
  <si>
    <t>7</t>
  </si>
  <si>
    <t>24-02-041-01</t>
  </si>
  <si>
    <t>Надземная прокладка стальных газопроводов, диаметр газопровода: 50 мм</t>
  </si>
  <si>
    <t>100 м</t>
  </si>
  <si>
    <t>ГЭСН-2022 доп.4, 24-02-041-01, приказ Минстроя России от 27.12.2022 г. № 1133/пр</t>
  </si>
  <si>
    <t>ФЕР-24</t>
  </si>
  <si>
    <t>7,1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</si>
  <si>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</si>
  <si>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</si>
  <si>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м</t>
  </si>
  <si>
    <t>ФСБЦ-2022, 23.5.02.02-0033, приказ Минстроя России от 18.05.2022 г. № 378/пр</t>
  </si>
  <si>
    <t>8</t>
  </si>
  <si>
    <t>24-02-051-01</t>
  </si>
  <si>
    <t>Монтаж крана стального фланцевого для надземной установки на стальных газопроводах диаметром: 50 мм</t>
  </si>
  <si>
    <t>ШТ</t>
  </si>
  <si>
    <t>ГЭСН-2022 доп.12, 24-02-051-01, приказ Минстроя России от 07.11.2024 г. № 747/пр</t>
  </si>
  <si>
    <t>9</t>
  </si>
  <si>
    <t>18.1.09.04-0001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</si>
  <si>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t>
  </si>
  <si>
    <t>ФСБЦ-2022 доп.3, 18.1.09.04-0001, приказ Минстроя России от 26.10.2022 г. № 905/пр</t>
  </si>
  <si>
    <t>10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</si>
  <si>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</si>
  <si>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</si>
  <si>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ГЭСН-2022, 24-02-031-01, приказ Минстроя России от 18.05.2022 г. № 378/пр</t>
  </si>
  <si>
    <t>10,1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</si>
  <si>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</si>
  <si>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</si>
  <si>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ФСБЦ-2022, 24.3.03.11-0071, приказ Минстроя России от 18.05.2022 г. № 378/пр</t>
  </si>
  <si>
    <t>11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</si>
  <si>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</si>
  <si>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</si>
  <si>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ФСБЦ-2022, 24.3.03.11-0024, приказ Минстроя России от 18.05.2022 г. № 378/пр</t>
  </si>
  <si>
    <t>12</t>
  </si>
  <si>
    <t>24.3.05.02-0133</t>
  </si>
  <si>
    <t>Заглушка полиэтиленовая электросварная для газо- и водоснабжения, ПЭ100, стандартное размерное отношение SDR11, диаметр 63 мм</t>
  </si>
  <si>
    <t>ФСБЦ-2022, 24.3.05.02-0133, приказ Минстроя России от 18.05.2022 г. № 378/пр</t>
  </si>
  <si>
    <t>13</t>
  </si>
  <si>
    <t>24-02-063-03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</si>
  <si>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63 мм</t>
  </si>
  <si>
    <t>10 узлов</t>
  </si>
  <si>
    <t>ГЭСН-2022 доп.7, 24-02-063-03, приказ Минстроя России от 02.08.2023 г. № 551/пр</t>
  </si>
  <si>
    <t>14</t>
  </si>
  <si>
    <t>18.4.01.09-0116</t>
  </si>
  <si>
    <t>ФСБЦ-2022 доп.17, 18.4.01.09-0116, приказ Минстроя России от 17.02.2026 г. № 91/пр</t>
  </si>
  <si>
    <t>15</t>
  </si>
  <si>
    <t>24-02-002-02</t>
  </si>
  <si>
    <t>Сварка полиэтиленовых труб при помощи соединительных деталей с закладными электронагревателями, диаметр труб: свыше 32 до 63 мм</t>
  </si>
  <si>
    <t>соединение</t>
  </si>
  <si>
    <t>ГЭСН-2022, 24-02-002-02, приказ Минстроя России от 18.05.2022 г. № 378/пр</t>
  </si>
  <si>
    <t>15,1</t>
  </si>
  <si>
    <t>24.3.05.07-0603</t>
  </si>
  <si>
    <t>Муфта полиэтиленовая электросварная, ПЭ100, SDR11, диаметр 63 мм</t>
  </si>
  <si>
    <t>ФСБЦ-2022, 24.3.05.07-0603, приказ Минстроя России от 18.05.2022 г. № 378/пр</t>
  </si>
  <si>
    <t>16</t>
  </si>
  <si>
    <t>24-02-005-09</t>
  </si>
  <si>
    <t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32 до 63 мм</t>
  </si>
  <si>
    <t>ГЭСН-2022, 24-02-005-09, приказ Минстроя России от 18.05.2022 г. № 378/пр</t>
  </si>
  <si>
    <t>17</t>
  </si>
  <si>
    <t>24.3.05.08-0223</t>
  </si>
  <si>
    <t>Отвод 90° полиэтиленовый литой, электросварной, диаметр 63 мм</t>
  </si>
  <si>
    <t>ФСБЦ-2022, 24.3.05.08-0223, приказ Минстроя России от 18.05.2022 г. № 378/пр</t>
  </si>
  <si>
    <t>18</t>
  </si>
  <si>
    <t>24.3.05.08-0212</t>
  </si>
  <si>
    <t>Отвод 45° полиэтиленовый литой, электросварной, диаметр 63 мм</t>
  </si>
  <si>
    <t>ФСБЦ-2022, 24.3.05.08-0212, приказ Минстроя России от 18.05.2022 г. № 378/пр</t>
  </si>
  <si>
    <t>19</t>
  </si>
  <si>
    <t>м10-06-003-01</t>
  </si>
  <si>
    <t>Кабель, прокладываемый в траншее, масса 1м кабеля: до 0,6 кг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</si>
  <si>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</si>
  <si>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</si>
  <si>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</si>
  <si>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</si>
  <si>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</si>
  <si>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</si>
  <si>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</si>
  <si>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19,1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</si>
  <si>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</si>
  <si>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</si>
  <si>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</si>
  <si>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20</t>
  </si>
  <si>
    <t>21.2.03.05-0002</t>
  </si>
  <si>
    <t>Провод установочный АПуВ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</si>
  <si>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</si>
  <si>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</si>
  <si>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</si>
  <si>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</si>
  <si>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</si>
  <si>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</si>
  <si>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21</t>
  </si>
  <si>
    <t>Прокладка ленты сигнальной желтого цвета в траншее</t>
  </si>
  <si>
    <t>21,1</t>
  </si>
  <si>
    <t>22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</si>
  <si>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</si>
  <si>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</si>
  <si>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</si>
  <si>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23</t>
  </si>
  <si>
    <t>27-09-004-02</t>
  </si>
  <si>
    <t>Установка столбиков сигнальных</t>
  </si>
  <si>
    <t>100 ШТ</t>
  </si>
  <si>
    <t>ГЭСН-2022 доп.19, 27-09-004-02, приказ Минстроя России от 12.08.2026 г. № 527/пр</t>
  </si>
  <si>
    <t>Автомобильные дороги</t>
  </si>
  <si>
    <t>ФЕР-27</t>
  </si>
  <si>
    <t>Пр/812-021.0-1</t>
  </si>
  <si>
    <t>Пр/774-021.0</t>
  </si>
  <si>
    <t>24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</si>
  <si>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</si>
  <si>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</si>
  <si>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</si>
  <si>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25</t>
  </si>
  <si>
    <t>22.2.02.23-0302</t>
  </si>
  <si>
    <t>Таблички-указатели кабельных трасс пластиковые односторонние, размеры 300х400х5 мм</t>
  </si>
  <si>
    <t>ФСБЦ-2022, 22.2.02.23-0302, приказ Минстроя России от 18.05.2022 г. № 378/пр</t>
  </si>
  <si>
    <t>26</t>
  </si>
  <si>
    <t>06-01-001-01</t>
  </si>
  <si>
    <t>Устройство бетонной подготовки</t>
  </si>
  <si>
    <t>ГЭСН-2022 доп.18, 06-01-001-01, приказ Минстроя России от 15.05.2026 г. № 301/пр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</si>
  <si>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</si>
  <si>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</si>
  <si>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</si>
  <si>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</si>
  <si>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26,1</t>
  </si>
  <si>
    <t>04.1.02.05-0264</t>
  </si>
  <si>
    <t>Смеси бетонные тяжелого бетона (БСТ) на щебне из гравия, класс В15, F(1)200, W6</t>
  </si>
  <si>
    <t>ФСБЦ-2022 доп.14, 04.1.02.05-0264, приказ Минстроя России от 19.05.2025 г. № 299/пр</t>
  </si>
  <si>
    <t>27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</si>
  <si>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</si>
  <si>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</si>
  <si>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</si>
  <si>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</si>
  <si>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27,1</t>
  </si>
  <si>
    <t>08.4.01.01-0028</t>
  </si>
  <si>
    <t>Болты анкерные фундаментные стальные в комплекте с двумя гайками М24 и шайбами М24, тип 1, диаметр М24</t>
  </si>
  <si>
    <t>ФСБЦ-2022 доп.2, 08.4.01.01-0028, приказ Минстроя России от 26.08.2022 г. № 703/пр</t>
  </si>
  <si>
    <t>28</t>
  </si>
  <si>
    <t>24-02-120-01</t>
  </si>
  <si>
    <t>Очистка полости трубопровода продувкой воздухом, номинальный диаметр газопровода: 50 мм</t>
  </si>
  <si>
    <t>ГЭСН-2022, 24-02-120-01, приказ Минстроя России от 18.05.2022 г. № 378/пр</t>
  </si>
  <si>
    <t>29</t>
  </si>
  <si>
    <t>24-02-122-01</t>
  </si>
  <si>
    <t>Подъем давления при испытании воздухом газопроводов низкого и среднего давления (до 0,3 МПа) номинальным диаметром: 50 мм</t>
  </si>
  <si>
    <t>ГЭСН-2022, 24-02-122-01, приказ Минстроя России от 18.05.2022 г. № 378/пр</t>
  </si>
  <si>
    <t>30</t>
  </si>
  <si>
    <t>24-02-035-03</t>
  </si>
  <si>
    <t>Опрессовка газопровода из полиэтиленовых труб, диаметром: 63 мм</t>
  </si>
  <si>
    <t>км</t>
  </si>
  <si>
    <t>ГЭСН-2022 доп.7, 24-02-035-03, приказ Минстроя России от 02.08.2023 г. № 551/пр</t>
  </si>
  <si>
    <t>31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</si>
  <si>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</si>
  <si>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</si>
  <si>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</si>
  <si>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</si>
  <si>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Вывод провода-спутника под КИК-3шт</t>
  </si>
  <si>
    <t>32</t>
  </si>
  <si>
    <t>33</t>
  </si>
  <si>
    <t>23.3.06.01-0004</t>
  </si>
  <si>
    <t>Трубы стальные сварные оцинкованные водогазопроводные с резьбой, легкие, номинальный диаметр 32 мм, толщина стенки 2,8 мм</t>
  </si>
  <si>
    <t>ФСБЦ-2022, 23.3.06.01-0004, приказ Минстроя России от 18.05.2022 г. № 378/пр</t>
  </si>
  <si>
    <t>34</t>
  </si>
  <si>
    <t>22-03-014-01</t>
  </si>
  <si>
    <t>Приварка фланцев к стальным трубопроводам диаметром:  до  50 мм</t>
  </si>
  <si>
    <t>ГЭСН-2022, 22-03-014-01, приказ Минстроя России от 18.05.2022 г. № 378/пр</t>
  </si>
  <si>
    <t>ФЕР-22</t>
  </si>
  <si>
    <t>34,1</t>
  </si>
  <si>
    <t>23.8.03.11-0004</t>
  </si>
  <si>
    <t>Фланец приварной встык, марка стали 20, номинальное давление 1,6 МПа, номинальный диаметр 32 мм</t>
  </si>
  <si>
    <t>ФСБЦ-2022, 23.8.03.11-0004, приказ Минстроя России от 18.05.2022 г. № 378/пр</t>
  </si>
  <si>
    <t>35</t>
  </si>
  <si>
    <t>24-02-030-01</t>
  </si>
  <si>
    <t>Укладка  стальных газопроводов диаметром: 50 мм</t>
  </si>
  <si>
    <t>ГЭСН-2022, 24-02-030-01, приказ Минстроя России от 18.05.2022 г. № 378/пр</t>
  </si>
  <si>
    <t>36</t>
  </si>
  <si>
    <t>37</t>
  </si>
  <si>
    <t>23.8.03.01-0011</t>
  </si>
  <si>
    <t>Заглушка стальная бесшовная приварная, номинальный диаметр 50 мм</t>
  </si>
  <si>
    <t>ФСБЦ-2022, 23.8.03.01-0011, приказ Минстроя России от 18.05.2022 г. № 378/пр</t>
  </si>
  <si>
    <t>38</t>
  </si>
  <si>
    <t>06-01-005-01</t>
  </si>
  <si>
    <t>Устройство бетонных фундаментов общего назначения объемом: до 5 м3</t>
  </si>
  <si>
    <t>ГЭСН-2022 доп.17, 06-01-005-01, приказ Минстроя России от 17.02.2026 г. № 91/пр</t>
  </si>
  <si>
    <t>39</t>
  </si>
  <si>
    <t>05.1.08.09-0001</t>
  </si>
  <si>
    <t>Подушки опорные железобетонные, объем от 0,003 до 0,006 м3, бетон В15, расход арматуры от 150 до 200 кг/м3</t>
  </si>
  <si>
    <t>ФСБЦ-2022 доп.19, 05.1.08.09-0001, приказ Минстроя России от 12.08.2026 г. № 527/пр</t>
  </si>
  <si>
    <t>40</t>
  </si>
  <si>
    <t>04.1.02.05-0262</t>
  </si>
  <si>
    <t>Смеси бетонные тяжелого бетона (БСТ) на щебне из гравия, класс В15, F(1)200, W4</t>
  </si>
  <si>
    <t>ФСБЦ-2022 доп.14, 04.1.02.05-0262, приказ Минстроя России от 19.05.2025 г. № 299/пр</t>
  </si>
  <si>
    <t>41</t>
  </si>
  <si>
    <t>22-02-003-01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</si>
  <si>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</si>
  <si>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ГЭСН-2022 доп.16, 22-02-003-01, приказ Минстроя России от 12.11.2025 г. № 696/пр</t>
  </si>
  <si>
    <t>41,1</t>
  </si>
  <si>
    <t>01.2.03.02-0005</t>
  </si>
  <si>
    <t>Грунтовка (праймер) битумно-полимерная для нанесения на наружную поверхность подземных стальных трубопроводов, расход 0,1 кг/м2</t>
  </si>
  <si>
    <t>ФСБЦ-2022 доп.9, 01.2.03.02-0005, приказ Минстроя России от 16.02.2024 г. № 102/пр</t>
  </si>
  <si>
    <t>41,2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</si>
  <si>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</si>
  <si>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</si>
  <si>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</si>
  <si>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ФСБЦ-2022 доп.19, 01.2.03.03-0103, приказ Минстроя России от 12.08.2026 г. № 527/пр</t>
  </si>
  <si>
    <t>Прокладка газопровода ПЭ100 ГАЗ SDR 11 д.63*5,8мм в футляре ПЭ100 SDR 11  д.110*10мм совместно с проводом-спутником П-274М методом наклонно-направленного бурения длиной 21м</t>
  </si>
  <si>
    <t>42</t>
  </si>
  <si>
    <t>43</t>
  </si>
  <si>
    <t>44</t>
  </si>
  <si>
    <t>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</si>
  <si>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  до 110 мм длиной до 400 м</t>
  </si>
  <si>
    <t>ГЭСН-2022 доп.18, 04-01-085-01, приказ Минстроя России от 15.05.2026 г. № 301/пр</t>
  </si>
  <si>
    <t>*0,5</t>
  </si>
  <si>
    <t>Скважины</t>
  </si>
  <si>
    <t>ФЕР-04</t>
  </si>
  <si>
    <t>Пр/812-004.0-1</t>
  </si>
  <si>
    <t>Пр/774-004.0</t>
  </si>
  <si>
    <t>45</t>
  </si>
  <si>
    <t>24-02-034-02</t>
  </si>
  <si>
    <t>Укладка футляра из  полиэтиленовых труб газопроводов в траншею, диаметр газопровода: свыше 110 до 225 мм</t>
  </si>
  <si>
    <t>ГЭСН-2022, 24-02-034-02, приказ Минстроя России от 18.05.2022 г. № 378/пр</t>
  </si>
  <si>
    <t>45,1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</si>
  <si>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</si>
  <si>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</si>
  <si>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ФСБЦ-2022, 24.3.03.11-0027, приказ Минстроя России от 18.05.2022 г. № 378/пр</t>
  </si>
  <si>
    <t>46</t>
  </si>
  <si>
    <t>22-05-005-01</t>
  </si>
  <si>
    <t>Протаскивание в футляр полиэтиленовых труб диаметром: до 110 мм</t>
  </si>
  <si>
    <t>100 м трубы, уложенной в футляр</t>
  </si>
  <si>
    <t>ГЭСН-2022 доп.9, 22-05-005-01, приказ Минстроя России от 16.02.2024 г. № 102/пр</t>
  </si>
  <si>
    <t>47</t>
  </si>
  <si>
    <t>47,1</t>
  </si>
  <si>
    <t>48</t>
  </si>
  <si>
    <t>24-02-081-01</t>
  </si>
  <si>
    <t>Устройство контрольной трубки на кожухе перехода газопровода</t>
  </si>
  <si>
    <t>установка</t>
  </si>
  <si>
    <t>ГЭСН-2022 доп.14, 24-02-081-01, приказ Минстроя России от 19.05.2025 г. № 299/пр</t>
  </si>
  <si>
    <t>49</t>
  </si>
  <si>
    <t>50</t>
  </si>
  <si>
    <t>50,1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</si>
  <si>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</si>
  <si>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</si>
  <si>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ФСБЦ-2022, 24.3.03.11-0021, приказ Минстроя России от 18.05.2022 г. № 378/пр</t>
  </si>
  <si>
    <t>51</t>
  </si>
  <si>
    <t>22-01-012-03</t>
  </si>
  <si>
    <t>Укладка футляра из стальных водопроводных труб  диаметром: до 100 мм(для контрольной трубки)</t>
  </si>
  <si>
    <t>ГЭСН-2022 доп.10, 22-01-012-03, приказ Минстроя России от 13.05.2024 г. № 323/пр</t>
  </si>
  <si>
    <t>51,1</t>
  </si>
  <si>
    <t>23.5.02.02-0050</t>
  </si>
  <si>
    <t>Трубы стальные электросварные прямошовные из стали марок Ст2, 10, наружный диаметр 89 мм, толщина стенки 4,5 мм</t>
  </si>
  <si>
    <t>ФСБЦ-2022, 23.5.02.02-0050, приказ Минстроя России от 18.05.2022 г. № 378/пр</t>
  </si>
  <si>
    <t>52</t>
  </si>
  <si>
    <t>24-02-010-01</t>
  </si>
  <si>
    <t>Установка неразъемного соединения "полиэтилен-сталь" на газопроводе, диаметр газопровода: до 32 мм</t>
  </si>
  <si>
    <t>ГЭСН-2022, 24-02-010-01, приказ Минстроя России от 18.05.2022 г. № 378/пр</t>
  </si>
  <si>
    <t>53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</si>
  <si>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</si>
  <si>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</si>
  <si>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ФСБЦ-2022 доп.7, 23.8.04.08-0011, приказ Минстроя России от 02.08.2023 г. № 551/пр</t>
  </si>
  <si>
    <t>54</t>
  </si>
  <si>
    <t>54,1</t>
  </si>
  <si>
    <t>55</t>
  </si>
  <si>
    <t>ТЦ_21.00.00.00_64_6454104668_30.09.2026_01_5.1</t>
  </si>
  <si>
    <t>Провод-спутник медно-стальной  П-274М</t>
  </si>
  <si>
    <t>Материалы, отсутствующие в СНБ (Строительные)</t>
  </si>
  <si>
    <t>МР КА Строительные</t>
  </si>
  <si>
    <t>56</t>
  </si>
  <si>
    <t>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</si>
  <si>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</si>
  <si>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ГЭСН-2022, 24-02-002-01, приказ Минстроя России от 18.05.2022 г. № 378/пр</t>
  </si>
  <si>
    <t>56,1</t>
  </si>
  <si>
    <t>24.3.05.07-0512</t>
  </si>
  <si>
    <t>Муфта полиэтиленовая электросварная, ПЭ100, SDR11, диаметр 32 мм</t>
  </si>
  <si>
    <t>ФСБЦ-2022, 24.3.05.07-0512, приказ Минстроя России от 18.05.2022 г. № 378/пр</t>
  </si>
  <si>
    <t>57</t>
  </si>
  <si>
    <t>24-02-007-02</t>
  </si>
  <si>
    <t>Установка седловых отводов полиэтиленовых с закладными нагревателями на газопроводе из полиэтиленовых труб диаметром: свыше 63 до 110 мм</t>
  </si>
  <si>
    <t>ГЭСН-2022, 24-02-007-02, приказ Минстроя России от 18.05.2022 г. № 378/пр</t>
  </si>
  <si>
    <t>57,1</t>
  </si>
  <si>
    <t>24.3.05.13-0002</t>
  </si>
  <si>
    <t>Седелка крановая полиэтиленовая электросварная, стандартное размерное отношение SDR11, номинальный наружный диаметр 110х32 мм</t>
  </si>
  <si>
    <t>ФСБЦ-2022, 24.3.05.13-0002, приказ Минстроя России от 18.05.2022 г. № 378/пр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</si>
  <si>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</si>
  <si>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</si>
  <si>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</si>
  <si>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</si>
  <si>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</si>
  <si>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</si>
  <si>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</si>
  <si>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</si>
  <si>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</si>
  <si>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</si>
  <si>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</si>
  <si>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</si>
  <si>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</si>
  <si>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</si>
  <si>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</si>
  <si>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</si>
  <si>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</si>
  <si>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</si>
  <si>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</si>
  <si>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</si>
  <si>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</si>
  <si>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</si>
  <si>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</si>
  <si>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</si>
  <si>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</si>
  <si>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</si>
  <si>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</si>
  <si>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</si>
  <si>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</si>
  <si>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</si>
  <si>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</si>
  <si>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</si>
  <si>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</si>
  <si>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</si>
  <si>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</si>
  <si>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</si>
  <si>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</si>
  <si>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</si>
  <si>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</si>
  <si>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</si>
  <si>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</si>
  <si>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</si>
  <si>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</si>
  <si>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</si>
  <si>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</si>
  <si>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</si>
  <si>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</si>
  <si>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</si>
  <si>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</si>
  <si>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</si>
  <si>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</si>
  <si>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</si>
  <si>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</si>
  <si>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</si>
  <si>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</si>
  <si>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</si>
  <si>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</si>
  <si>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</si>
  <si>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</si>
  <si>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</si>
  <si>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</si>
  <si>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</si>
  <si>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</si>
  <si>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</si>
  <si>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</si>
  <si>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</si>
  <si>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</si>
  <si>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</si>
  <si>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</si>
  <si>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</si>
  <si>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</si>
  <si>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</si>
  <si>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</si>
  <si>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</si>
  <si>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</si>
  <si>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</si>
  <si>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</si>
  <si>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</si>
  <si>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</si>
  <si>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</si>
  <si>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3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</si>
  <si>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</si>
  <si>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</si>
  <si>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</si>
  <si>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Справочная информация</t>
  </si>
  <si>
    <t>Письмо Минстроя России от 24.08.2026 № 52419-ИФ/09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</si>
  <si>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</si>
  <si>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</si>
  <si>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</si>
  <si>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</si>
  <si>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</si>
  <si>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</si>
  <si>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</si>
  <si>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</si>
  <si>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</si>
  <si>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</si>
  <si>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</si>
  <si>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</si>
  <si>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</si>
  <si>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1-100-25</t>
  </si>
  <si>
    <t>Средний разряд работы 2,5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</si>
  <si>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</si>
  <si>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</si>
  <si>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</si>
  <si>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</si>
  <si>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</si>
  <si>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</si>
  <si>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</si>
  <si>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1-100-15</t>
  </si>
  <si>
    <t>Средний разряд работы 1,5</t>
  </si>
  <si>
    <t>1-100-34</t>
  </si>
  <si>
    <t>Средний разряд работы 3,4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</si>
  <si>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</si>
  <si>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</si>
  <si>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</si>
  <si>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</si>
  <si>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</si>
  <si>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</si>
  <si>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</si>
  <si>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</si>
  <si>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</si>
  <si>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</si>
  <si>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</si>
  <si>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</si>
  <si>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</si>
  <si>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</si>
  <si>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</si>
  <si>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</si>
  <si>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</si>
  <si>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</si>
  <si>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</si>
  <si>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</si>
  <si>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</si>
  <si>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</si>
  <si>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</si>
  <si>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</si>
  <si>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</si>
  <si>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</si>
  <si>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</si>
  <si>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</si>
  <si>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</si>
  <si>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</si>
  <si>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</si>
  <si>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</si>
  <si>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</si>
  <si>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</si>
  <si>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</si>
  <si>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</si>
  <si>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</si>
  <si>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</si>
  <si>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1-100-45</t>
  </si>
  <si>
    <t>Средний разряд работы 4,5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</si>
  <si>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</si>
  <si>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</si>
  <si>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</si>
  <si>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</si>
  <si>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</si>
  <si>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</si>
  <si>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</si>
  <si>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</si>
  <si>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</si>
  <si>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</si>
  <si>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</si>
  <si>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</si>
  <si>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</si>
  <si>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</si>
  <si>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</si>
  <si>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</si>
  <si>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</si>
  <si>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</si>
  <si>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</si>
  <si>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</si>
  <si>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</si>
  <si>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23.8.03.11-0197</t>
  </si>
  <si>
    <t>ФСБЦ-2022, 23.8.03.11-0197,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</si>
  <si>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50 мм</t>
  </si>
  <si>
    <t>23.8.04.06-0063</t>
  </si>
  <si>
    <t>ФСБЦ-2022, 23.8.04.06-0063, приказ Минстроя России от 18.05.2022 г. № 378/пр</t>
  </si>
  <si>
    <t>Отвод 90° с радиусом кривизны R=1,5 Ду на давление до 16 МПа, номинальный диаметр 50 мм, наружный диаметр 57 мм, толщина стенки 3 мм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</si>
  <si>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</si>
  <si>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</si>
  <si>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</si>
  <si>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</si>
  <si>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</si>
  <si>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</si>
  <si>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</si>
  <si>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</si>
  <si>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</si>
  <si>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</si>
  <si>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</si>
  <si>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2-100-02</t>
  </si>
  <si>
    <t>Рабочий 2 разряда</t>
  </si>
  <si>
    <t>чел.-ч</t>
  </si>
  <si>
    <t>2-100-04</t>
  </si>
  <si>
    <t>Рабочий 4 разряда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</si>
  <si>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</si>
  <si>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</si>
  <si>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</si>
  <si>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</si>
  <si>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</si>
  <si>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</si>
  <si>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</si>
  <si>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</si>
  <si>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</si>
  <si>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14.5.09.11-0102</t>
  </si>
  <si>
    <t>ФСБЦ-2022, 14.5.09.11-0102, приказ Минстроя России от 18.05.2022 г. № 378/пр</t>
  </si>
  <si>
    <t>Уайт-спирит</t>
  </si>
  <si>
    <t>1-100-37</t>
  </si>
  <si>
    <t>Средний разряд работы 3,7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</si>
  <si>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</si>
  <si>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</si>
  <si>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</si>
  <si>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1-100-35</t>
  </si>
  <si>
    <t>Средний разряд работы 3,5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</si>
  <si>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</si>
  <si>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</si>
  <si>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</si>
  <si>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</si>
  <si>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</si>
  <si>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</si>
  <si>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</si>
  <si>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</si>
  <si>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</si>
  <si>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</si>
  <si>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</si>
  <si>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</si>
  <si>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</si>
  <si>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</si>
  <si>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</si>
  <si>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</si>
  <si>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</si>
  <si>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</si>
  <si>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</si>
  <si>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</si>
  <si>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</si>
  <si>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</si>
  <si>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</si>
  <si>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</si>
  <si>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</si>
  <si>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</si>
  <si>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</si>
  <si>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</si>
  <si>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</si>
  <si>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</si>
  <si>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</si>
  <si>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</si>
  <si>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</si>
  <si>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</si>
  <si>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</si>
  <si>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</si>
  <si>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</si>
  <si>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</si>
  <si>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</si>
  <si>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</si>
  <si>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</si>
  <si>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</si>
  <si>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</si>
  <si>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</si>
  <si>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</si>
  <si>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</si>
  <si>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</si>
  <si>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</si>
  <si>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1-100-50</t>
  </si>
  <si>
    <t>Средний разряд работы 5,0</t>
  </si>
  <si>
    <t>91.17.04-033</t>
  </si>
  <si>
    <t>ФСЭМ-2022 доп.11, 91.17.04-033, приказ Минстроя России от 07.11.2024 г. № 747/пр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</si>
  <si>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</si>
  <si>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1-100-29</t>
  </si>
  <si>
    <t>Средний разряд работы 2,9</t>
  </si>
  <si>
    <t>91.05.06-007</t>
  </si>
  <si>
    <t>ФСЭМ-2022, 91.05.06-007, приказ Минстроя России от 18.05.2022 г. № 378/пр</t>
  </si>
  <si>
    <t>Краны на гусеничном ходу, грузоподъемность 25 т</t>
  </si>
  <si>
    <t>91.07.04-001</t>
  </si>
  <si>
    <t>ФСЭМ-2022 доп.4, 91.07.04-001, приказ Минстроя России от 27.12.2022 г. № 1133/пр</t>
  </si>
  <si>
    <t>Вибраторы глубинные</t>
  </si>
  <si>
    <t>01.7.15.06-0111</t>
  </si>
  <si>
    <t>ФСБЦ-2022, 01.7.15.06-0111, приказ Минстроя России от 18.05.2022 г. № 378/пр</t>
  </si>
  <si>
    <t>Гвозди строительные</t>
  </si>
  <si>
    <t>03.1.02.03-0011</t>
  </si>
  <si>
    <t>ФСБЦ-2022, 03.1.02.03-0011, приказ Минстроя России от 18.05.2022 г. № 378/пр</t>
  </si>
  <si>
    <t>Известь строительная негашеная комовая, сорт I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</si>
  <si>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</si>
  <si>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</si>
  <si>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</si>
  <si>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11.1.02.04-0031</t>
  </si>
  <si>
    <t>ФСБЦ-2022, 11.1.02.04-0031, приказ Минстроя России от 18.05.2022 г. № 378/пр</t>
  </si>
  <si>
    <t>Лесоматериалы круглые хвойных пород неокоренные, длина 3-6,5 м, диаметр 14-24 см, сорт II-III</t>
  </si>
  <si>
    <t>11.1.03.01-0063</t>
  </si>
  <si>
    <t>ФСБЦ-2022 доп.2, 11.1.03.01-0063, приказ Минстроя России от 26.08.2022 г. № 703/пр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</si>
  <si>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</si>
  <si>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</si>
  <si>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ФСБЦ-2022 доп.4, 11.1.03.06-0071, приказ Минстроя России от 27.12.2022 г. № 1133/пр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</si>
  <si>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</si>
  <si>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</si>
  <si>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ФСБЦ-2022 доп.4, 11.1.03.06-0079,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</si>
  <si>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III</t>
  </si>
  <si>
    <t>1-100-38</t>
  </si>
  <si>
    <t>Средний разряд работы 3,8</t>
  </si>
  <si>
    <t>91.06.03-045</t>
  </si>
  <si>
    <t>ФСЭМ-2022, 91.06.03-045, приказ Минстроя России от 18.05.2022 г. № 378/пр</t>
  </si>
  <si>
    <t>Лебедки ручные и рычажные тяговым усилием 14,72 кН (1,5 т)</t>
  </si>
  <si>
    <t>91.08.04-022</t>
  </si>
  <si>
    <t>ФСЭМ-2022, 91.08.04-022, приказ Минстроя России от 18.05.2022 г. № 378/пр</t>
  </si>
  <si>
    <t>Котлы битумные передвижные электрические с центробежной мешалкой, объем загрузочной емкости 1000 л</t>
  </si>
  <si>
    <t>01.7.02.02-0021</t>
  </si>
  <si>
    <t>ФСБЦ-2022, 01.7.02.02-0021, приказ Минстроя России от 18.05.2022 г. № 378/пр</t>
  </si>
  <si>
    <t>Бумага оберточная листовая</t>
  </si>
  <si>
    <t>1000 м2</t>
  </si>
  <si>
    <t>01.7.20.08-0021</t>
  </si>
  <si>
    <t>ФСБЦ-2022, 01.7.20.08-0021, приказ Минстроя России от 18.05.2022 г. № 378/пр</t>
  </si>
  <si>
    <t>Брезент с огнеупорной пропиткой</t>
  </si>
  <si>
    <t>01.7.20.08-0162</t>
  </si>
  <si>
    <t>ФСБЦ-2022, 01.7.20.08-0162, приказ Минстроя России от 18.05.2022 г. № 378/пр</t>
  </si>
  <si>
    <t>Ткань мешочная, ширина 950 мм, поверхностная плотность 190 г/м2</t>
  </si>
  <si>
    <t>10 м2</t>
  </si>
  <si>
    <t>12.2.03.11-0054</t>
  </si>
  <si>
    <t>ФСБЦ-2022 доп.16, 12.2.03.11-0054, приказ Минстроя России от 12.11.2025 г. № 696/пр</t>
  </si>
  <si>
    <t>Холсты стеклянные, плотность 100 г/м2, толщина 0,8 мм, максимальная температура применения 165 °C</t>
  </si>
  <si>
    <t>1-100-49</t>
  </si>
  <si>
    <t>Средний разряд работы 4,9</t>
  </si>
  <si>
    <t>91.04.02-031</t>
  </si>
  <si>
    <t>ФСЭМ-2022 доп.18, 91.04.02-031, приказ Минстроя России от 15.05.2026 г. № 301/пр</t>
  </si>
  <si>
    <t>Установки направленного бурения для бестраншейной прокладки, тяговое усилие 200 кН</t>
  </si>
  <si>
    <t>91.07.06-001</t>
  </si>
  <si>
    <t>ФСЭМ-2022, 91.07.06-001, приказ Минстроя России от 18.05.2022 г. № 378/пр</t>
  </si>
  <si>
    <t>Комплексы бентонито-смесительные на базе автомобиля, объем бункера 14,5 м3</t>
  </si>
  <si>
    <t>91.13.03-041</t>
  </si>
  <si>
    <t>ФСЭМ-2022 доп.4, 91.13.03-041, приказ Минстроя России от 27.12.2022 г. № 1133/пр</t>
  </si>
  <si>
    <t>Автоцистерны, объем 8 м3</t>
  </si>
  <si>
    <t>91.19.01-001</t>
  </si>
  <si>
    <t>ФСЭМ-2022 доп.2, 91.19.01-001, приказ Минстроя России от 26.08.2022 г. № 703/пр</t>
  </si>
  <si>
    <t>Машины илососные, объем цистерны для ила до 7 м3</t>
  </si>
  <si>
    <t>91.19.12-081</t>
  </si>
  <si>
    <t>ФСЭМ-2022 доп.9, 91.19.12-081, приказ Минстроя России от 16.02.2024 г. № 102/пр</t>
  </si>
  <si>
    <t>Мотопомпы бензиновые, производительность 54 м3/ч, высота подъема 26 м, глубина всасывания 8 м</t>
  </si>
  <si>
    <t>01.3.01.06-0034</t>
  </si>
  <si>
    <t>ФСБЦ-2022 доп.6, 01.3.01.06-0034, приказ Минстроя России от 11.05.2023 г. № 335/пр</t>
  </si>
  <si>
    <t>Смазка медно-графитовая</t>
  </si>
  <si>
    <t>01.3.05.23-0171</t>
  </si>
  <si>
    <t>ФСБЦ-2022, 01.3.05.23-0171, приказ Минстроя России от 18.05.2022 г. № 378/пр</t>
  </si>
  <si>
    <t>Сода кальцинированная (натрий углекислый) техническая</t>
  </si>
  <si>
    <t>91.06.03-061</t>
  </si>
  <si>
    <t>ФСЭМ-2022, 91.06.03-061, приказ Минстроя России от 18.05.2022 г. № 378/пр</t>
  </si>
  <si>
    <t>Лебедки электрические тяговым усилием до 12,26 кН (1,25 т)</t>
  </si>
  <si>
    <t>01.7.19.04-0024</t>
  </si>
  <si>
    <t>ФСБЦ-2022, 01.7.19.04-0024, приказ Минстроя России от 18.05.2022 г. № 378/пр</t>
  </si>
  <si>
    <t>Пластины резиновые технические ТМКЩ, толщина 2-40 мм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</si>
  <si>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</si>
  <si>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</si>
  <si>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</si>
  <si>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</si>
  <si>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</si>
  <si>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</si>
  <si>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</si>
  <si>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</si>
  <si>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</si>
  <si>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2-100-03</t>
  </si>
  <si>
    <t>Рабочий 3 разряда</t>
  </si>
  <si>
    <t>2-100-06</t>
  </si>
  <si>
    <t>Рабочий 6 разряда</t>
  </si>
  <si>
    <t>01.7.17.07-0054</t>
  </si>
  <si>
    <t>ФСБЦ-2022, 01.7.17.07-0054, приказ Минстроя России от 18.05.2022 г. № 378/пр</t>
  </si>
  <si>
    <t>Круг шлифовальный прямого профиля, размеры 230х5х22 мм</t>
  </si>
  <si>
    <t>11.1.03.01-0067</t>
  </si>
  <si>
    <t>ФСБЦ-2022, 11.1.03.01-0067, приказ Минстроя России от 18.05.2022 г. № 378/пр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</si>
  <si>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</si>
  <si>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1-100-41</t>
  </si>
  <si>
    <t>Средний разряд работы 4,1</t>
  </si>
  <si>
    <t>91.17.04-034</t>
  </si>
  <si>
    <t>ФСЭМ-2022, 91.17.04-034, приказ Минстроя России от 18.05.2022 г. № 378/пр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</si>
  <si>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</si>
  <si>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01.7.11.07-0182</t>
  </si>
  <si>
    <t>ФСБЦ-2022, 01.7.11.07-0182, приказ Минстроя России от 18.05.2022 г. № 378/пр</t>
  </si>
  <si>
    <t>Электроды сварочные для сварки низколегированных и углеродистых сталей УОНИ 13/45, Э42А, диаметр 3 мм</t>
  </si>
  <si>
    <t>02.3.01.02</t>
  </si>
  <si>
    <t>Песок для строительных работ природный</t>
  </si>
  <si>
    <t>23.5.02.02</t>
  </si>
  <si>
    <t>Трубы стальные электросварные прямошовные</t>
  </si>
  <si>
    <t>18.1.02.01</t>
  </si>
  <si>
    <t>Задвижки стальные клиновые для газа и нефтепродуктов фланцевые на давление Ру=1,6 МПа</t>
  </si>
  <si>
    <t>24.3.03.11</t>
  </si>
  <si>
    <t>Трубы полиэтиленовые для газопроводов</t>
  </si>
  <si>
    <t>23.3.06.05</t>
  </si>
  <si>
    <t>Трубы стальные</t>
  </si>
  <si>
    <t>23.8.04.08</t>
  </si>
  <si>
    <t>Переходы</t>
  </si>
  <si>
    <t>24.3.03.05</t>
  </si>
  <si>
    <t>Трубы гофрированные из ПНД</t>
  </si>
  <si>
    <t>Трубы напорные из полиэтилена</t>
  </si>
  <si>
    <t>24.3.05.07</t>
  </si>
  <si>
    <t>Муфта полиэтиленовая с закладными нагревателями</t>
  </si>
  <si>
    <t>24.3.05.08</t>
  </si>
  <si>
    <t>Отводы полиэтиленовые</t>
  </si>
  <si>
    <t>Муфты полиэтиленовые с закладными электронагревателями</t>
  </si>
  <si>
    <t>Фасонные и соединительные части к трубам полимерным</t>
  </si>
  <si>
    <t>01.5.03.06</t>
  </si>
  <si>
    <t>Столбик сигнальный дорожный пластиковый</t>
  </si>
  <si>
    <t>04.1.02.05</t>
  </si>
  <si>
    <t>Смеси бетонные тяжелого бетона</t>
  </si>
  <si>
    <t>08.4.01.01</t>
  </si>
  <si>
    <t>Анкеры стальные фундаментные</t>
  </si>
  <si>
    <t>24.3.05.02</t>
  </si>
  <si>
    <t>Заглушки полиэтиленовые</t>
  </si>
  <si>
    <t>23.8.03.11</t>
  </si>
  <si>
    <t>Фланцы стальные плоские</t>
  </si>
  <si>
    <t>23.4.01.04</t>
  </si>
  <si>
    <t>Трубы стальные изолированные</t>
  </si>
  <si>
    <t>11.1.03.06</t>
  </si>
  <si>
    <t>Щиты из досок</t>
  </si>
  <si>
    <t>01.2.03.02</t>
  </si>
  <si>
    <t>Грунтовка битумная</t>
  </si>
  <si>
    <t>01.2.03.03</t>
  </si>
  <si>
    <t>Мастика</t>
  </si>
  <si>
    <t>01.4.03.01</t>
  </si>
  <si>
    <t>Порошки бентонитовые</t>
  </si>
  <si>
    <t>01.4.03.03</t>
  </si>
  <si>
    <t>Материалы для стабилизации буровых скважин</t>
  </si>
  <si>
    <t>24.3.03.13</t>
  </si>
  <si>
    <t>Трубы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</si>
  <si>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</si>
  <si>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</si>
  <si>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</si>
  <si>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</si>
  <si>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</si>
  <si>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</si>
  <si>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</si>
  <si>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23.8.03.07</t>
  </si>
  <si>
    <t>Соединительный элемент «сталь-полиэтилен»</t>
  </si>
  <si>
    <t>24.3.05.13</t>
  </si>
  <si>
    <t>Седелка крановая полиэтиленовая с закладными электронагревателями</t>
  </si>
  <si>
    <t>Конъюнктурный анализ</t>
  </si>
  <si>
    <t>5.1</t>
  </si>
  <si>
    <t>Провод П-274М</t>
  </si>
  <si>
    <t>21.00.00.00</t>
  </si>
  <si>
    <t>ООО "ГК ГАЗГАРАНТ"</t>
  </si>
  <si>
    <t>г.Саратов</t>
  </si>
  <si>
    <t>6454104668</t>
  </si>
  <si>
    <t>645401001</t>
  </si>
  <si>
    <t>счет на оплату "263 от 13.07.2026г</t>
  </si>
  <si>
    <t>64</t>
  </si>
  <si>
    <t>Россия</t>
  </si>
  <si>
    <t>5.2</t>
  </si>
  <si>
    <t>ТЦ_21.00.00.00_64_6453135060_30.09.2026_01_5.2</t>
  </si>
  <si>
    <t>ПТК "ГАЗГАРАНТ"</t>
  </si>
  <si>
    <t>6453135060</t>
  </si>
  <si>
    <t>коммерческое предложение б/н от 13.07.2026г</t>
  </si>
  <si>
    <t>5.3</t>
  </si>
  <si>
    <t>ТЦ_21.00.00.00_64_6455068074_30.09.2026_01_5.3</t>
  </si>
  <si>
    <t>ООО "Континент-Газ"</t>
  </si>
  <si>
    <t>г.саратов</t>
  </si>
  <si>
    <t>6455068074</t>
  </si>
  <si>
    <t>645501001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</si>
  <si>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</si>
  <si>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</si>
  <si>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</si>
  <si>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</si>
  <si>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</si>
  <si>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</si>
  <si>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</si>
  <si>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</si>
  <si>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</si>
  <si>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</si>
  <si>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</si>
  <si>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</si>
  <si>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</si>
  <si>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</si>
  <si>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</si>
  <si>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</si>
  <si>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</si>
  <si>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</si>
  <si>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</si>
  <si>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</si>
  <si>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</si>
  <si>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</si>
  <si>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</si>
  <si>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</si>
  <si>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</si>
  <si>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</si>
  <si>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</si>
  <si>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</si>
  <si>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</si>
  <si>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</si>
  <si>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</si>
  <si>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</si>
  <si>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</si>
  <si>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</si>
  <si>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</si>
  <si>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</si>
  <si>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</si>
  <si>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</si>
  <si>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</si>
  <si>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</si>
  <si>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</si>
  <si>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</si>
  <si>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сентябрь 2026 года</t>
  </si>
  <si>
    <t>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</si>
  <si>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</si>
  <si>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</si>
  <si>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</si>
  <si>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</si>
  <si>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</si>
  <si>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</si>
  <si>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</si>
  <si>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</si>
  <si>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</si>
  <si>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</si>
  <si>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</si>
  <si>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</si>
  <si>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</si>
  <si>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23-01-001-01</t>
  </si>
  <si>
    <t>ОТм(ЗТм) Средний разряд машинистов 5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</si>
  <si>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</si>
  <si>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</si>
  <si>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01-01-033-02</t>
  </si>
  <si>
    <t>ГЭСН 01-02-061-02</t>
  </si>
  <si>
    <t>Итого прямые затраты по 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</si>
  <si>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</si>
  <si>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</si>
  <si>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</si>
  <si>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</si>
  <si>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</si>
  <si>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</si>
  <si>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</si>
  <si>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</si>
  <si>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</si>
  <si>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</si>
  <si>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</si>
  <si>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</si>
  <si>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</si>
  <si>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</si>
  <si>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</si>
  <si>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</si>
  <si>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</si>
  <si>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</si>
  <si>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</si>
  <si>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</si>
  <si>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</si>
  <si>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</si>
  <si>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</si>
  <si>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</si>
  <si>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</si>
  <si>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Раздел: Укладка  трубы</t>
  </si>
  <si>
    <t>ГЭСН 24-02-041-01</t>
  </si>
  <si>
    <t>ОТм(ЗТм) Средний разряд машинистов 4</t>
  </si>
  <si>
    <t>М</t>
  </si>
  <si>
    <t>7.1</t>
  </si>
  <si>
    <t>ГЭСН 24-02-051-01</t>
  </si>
  <si>
    <t>ГЭСН 24-02-031-01</t>
  </si>
  <si>
    <t>ГЭСН 24-02-063-03</t>
  </si>
  <si>
    <t>ГЭСН 24-02-002-02</t>
  </si>
  <si>
    <t>15.1</t>
  </si>
  <si>
    <t>ГЭСН 24-02-005-09</t>
  </si>
  <si>
    <t>ГЭСНм 10-06-003-01</t>
  </si>
  <si>
    <t>19.1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</si>
  <si>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</si>
  <si>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</si>
  <si>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21.1</t>
  </si>
  <si>
    <t>ГЭСН 27-09-004-02</t>
  </si>
  <si>
    <t>НР Автомобильные дороги</t>
  </si>
  <si>
    <t>СП Автомобильные дороги</t>
  </si>
  <si>
    <t>ГЭСН 06-01-001-01</t>
  </si>
  <si>
    <t>26.1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</si>
  <si>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</si>
  <si>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</si>
  <si>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</si>
  <si>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27.1</t>
  </si>
  <si>
    <t>ГЭСН 24-02-120-01</t>
  </si>
  <si>
    <t>ГЭСН 24-02-122-01</t>
  </si>
  <si>
    <t>ГЭСН 24-02-035-03</t>
  </si>
  <si>
    <t>ГЭСН 24-02-124-01</t>
  </si>
  <si>
    <t>Раздел: Вывод провода-спутника под КИК-3шт</t>
  </si>
  <si>
    <t>ГЭСН 22-03-014-01</t>
  </si>
  <si>
    <t>34.1</t>
  </si>
  <si>
    <t>ГЭСН 24-02-030-01</t>
  </si>
  <si>
    <t>ГЭСН 06-01-005-01</t>
  </si>
  <si>
    <t>ГЭСН 22-02-003-01</t>
  </si>
  <si>
    <t>41.1</t>
  </si>
  <si>
    <t>41.2</t>
  </si>
  <si>
    <t>Раздел: Прокладка газопровода ПЭ100 ГАЗ SDR 11 д.63*5,8мм в футляре ПЭ100 SDR 11  д.110*10мм совместно с проводом-спутником П-274М методом наклонно-направленного бурения длиной 21м</t>
  </si>
  <si>
    <t>ГЭСН 04-01-085-01</t>
  </si>
  <si>
    <t>НР Скважины</t>
  </si>
  <si>
    <t>СП Скважины</t>
  </si>
  <si>
    <t>ГЭСН 24-02-034-02</t>
  </si>
  <si>
    <t>45.1</t>
  </si>
  <si>
    <t>ГЭСН 22-05-005-01</t>
  </si>
  <si>
    <t>47.1</t>
  </si>
  <si>
    <t>ГЭСН 24-02-081-01</t>
  </si>
  <si>
    <t>50.1</t>
  </si>
  <si>
    <t>ГЭСН 22-01-012-03</t>
  </si>
  <si>
    <t>51.1</t>
  </si>
  <si>
    <t>ГЭСН 24-02-010-01</t>
  </si>
  <si>
    <t>54.1</t>
  </si>
  <si>
    <t>ГЭСН 24-02-002-01</t>
  </si>
  <si>
    <t>56.1</t>
  </si>
  <si>
    <t>ГЭСН 24-02-007-02</t>
  </si>
  <si>
    <t>57.1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</si>
  <si>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</si>
  <si>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</si>
  <si>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</si>
  <si>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</si>
  <si>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</si>
  <si>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</si>
  <si>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</si>
  <si>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</si>
  <si>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</si>
  <si>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</si>
  <si>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</si>
  <si>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</si>
  <si>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</si>
  <si>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</si>
  <si>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</si>
  <si>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</si>
  <si>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</si>
  <si>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</si>
  <si>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</si>
  <si>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</si>
  <si>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Сводная таблица результатов конъюнктурного анализа</t>
  </si>
  <si>
    <t>Уровень цен составления сметной документации</t>
  </si>
  <si>
    <t>Ценовая зона субъекта Российской Федерации</t>
  </si>
  <si>
    <t>Отраслевая организация</t>
  </si>
  <si>
    <t>Номер по порядку</t>
  </si>
  <si>
    <t>Код строительного ресурса</t>
  </si>
  <si>
    <t>Наименование ресурса, затрат в соответствии с проектной документацией</t>
  </si>
  <si>
    <t>Полное наименование ресурса, затрат в обосновывающем документе</t>
  </si>
  <si>
    <t>Единица измерения ресурса, затрат в соответствии с проектной документацией</t>
  </si>
  <si>
    <t>Единица измерения ресурса, затрат в обосновывающем документе</t>
  </si>
  <si>
    <t>Текущая отпускная цена за единицу измерения в обосновывающем документе с учетом НДС, рублей</t>
  </si>
  <si>
    <t xml:space="preserve">Текущая отпускная цена за единицу измерения в обосновывающем документе без учета НДС, рублей / Сметная цена строительного ресурса в базисном или в текущем уровне цен, размещенная в ФГИС ЦС, применяемая при РИМ, рублей
</t>
  </si>
  <si>
    <t xml:space="preserve">Месяц и год составления обосновывающего документа / Квартал (для сметных цен строительных ресурсов в текущем уровне цен и индексов по ГОСР, размещенных в ФГИС, приметяемых при РИМ)
</t>
  </si>
  <si>
    <t>Индекс фактической инфляции / Индекс по ГОСР</t>
  </si>
  <si>
    <t>Коэффициент пересчета в единицу измерения в соответствии с графой 5</t>
  </si>
  <si>
    <t>Текущая отпускная цена за единицу измерения без учета НДС, рублей в соответствии с графой 5 в уровне цен составления сметной документации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</si>
  <si>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</si>
  <si>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</si>
  <si>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</si>
  <si>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Сметная цена без учета НДС, рублей за единицу измерения в соответствии с графой 5</t>
  </si>
  <si>
    <t>Полное и (или) сокращенное (при наличии) наименования производителя (поставщика)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</si>
  <si>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</si>
  <si>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</si>
  <si>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</si>
  <si>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Населенный пункт расположения склада производителя (поставщика)</t>
  </si>
  <si>
    <t>Статус организации (Производитель (1) ; Поставщик (2)</t>
  </si>
  <si>
    <t>Наименование обосновывающего документа</t>
  </si>
  <si>
    <t>Номер страницы</t>
  </si>
  <si>
    <t>рублей за единицу измерения в соответствии с графой 5 без учета НДС</t>
  </si>
  <si>
    <t>рублей</t>
  </si>
  <si>
    <t>Наименование затрат</t>
  </si>
  <si>
    <t>По объекту: Газопровод низкого давления к нежилому помещению,расположенному по адресу: Пензенская область,г.Кузнецк,ул.Кирова,155А/1</t>
  </si>
  <si>
    <t>30.09.2026</t>
  </si>
  <si>
    <t>ЛОКАЛЬНАЯ СМЕТА № ЛС-01-01-01</t>
  </si>
  <si>
    <t>проект шифр 2139-26-П-ГСН.С</t>
  </si>
  <si>
    <t>Пензенская область</t>
  </si>
  <si>
    <r>
      <t xml:space="preserve"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  до 110 мм длиной до 400 м
</t>
    </r>
    <r>
      <rPr>
        <i/>
        <sz val="9"/>
        <rFont val="Arial"/>
        <family val="2"/>
        <charset val="204"/>
      </rPr>
      <t>Поправки к: 
М *0,5;   
ЭМ *0,5;   
ЗТ *0,5;   
ЗТм *0,5</t>
    </r>
  </si>
  <si>
    <t>конъюктурный анализ п.1,1  ООО "ГК ГАЗГАРАНТ"  счет №391 от 30.09.2026</t>
  </si>
  <si>
    <t xml:space="preserve"> Счет №391 от 30.09.2026</t>
  </si>
  <si>
    <t>коммерческое предложение б/н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</si>
</sst>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;[Red]\-\ #,##0.00"/>
    <numFmt numFmtId="166" formatCode="#,##0.00#####;[Red]\-\ #,##0.00#####"/>
  </numFmts>
  <fonts count="28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3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9"/>
      <name val="Arial"/>
      <family val="2"/>
      <charset val="204"/>
    </font>
    <font>
      <i/>
      <sz val="10"/>
      <color rgb="FF000000"/>
      <name val="Arial Cyr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i/>
      <sz val="9"/>
      <color rgb="FF000000"/>
      <name val="Arial Cyr"/>
      <charset val="204"/>
    </font>
    <font>
      <b/>
      <sz val="1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1" fillId="0" borderId="0" xfId="0" applyNumberFormat="1" applyFont="1" applyAlignment="1"/>
    <xf numFmtId="0" fontId="8" fillId="0" borderId="0" xfId="0" applyNumberFormat="1" applyFont="1" applyAlignment="1"/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"/>
    </xf>
    <xf numFmtId="0" fontId="12" fillId="0" borderId="0" xfId="0" applyNumberFormat="1" applyFont="1" applyAlignment="1"/>
    <xf numFmtId="0" fontId="11" fillId="0" borderId="1" xfId="0" applyNumberFormat="1" applyFont="1" applyBorder="1" applyAlignment="1"/>
    <xf numFmtId="0" fontId="11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center" wrapText="1"/>
    </xf>
    <xf numFmtId="165" fontId="0" fillId="0" borderId="0" xfId="0" applyNumberFormat="1"/>
    <xf numFmtId="0" fontId="9" fillId="0" borderId="0" xfId="0" applyNumberFormat="1" applyFont="1" applyAlignment="1">
      <alignment horizontal="left" vertical="top" wrapText="1"/>
    </xf>
    <xf numFmtId="0" fontId="18" fillId="0" borderId="0" xfId="0" applyNumberFormat="1" applyFont="1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19" fillId="0" borderId="0" xfId="0" applyNumberFormat="1" applyFont="1" applyAlignment="1">
      <alignment vertical="top" wrapText="1"/>
    </xf>
    <xf numFmtId="0" fontId="12" fillId="0" borderId="0" xfId="0" applyNumberFormat="1" applyFont="1" applyAlignment="1">
      <alignment vertical="top" wrapText="1"/>
    </xf>
    <xf numFmtId="0" fontId="8" fillId="0" borderId="0" xfId="0" applyNumberFormat="1" applyFont="1" applyAlignment="1">
      <alignment horizontal="right" vertical="top"/>
    </xf>
    <xf numFmtId="0" fontId="8" fillId="0" borderId="1" xfId="0" applyNumberFormat="1" applyFont="1" applyBorder="1" applyAlignment="1"/>
    <xf numFmtId="0" fontId="11" fillId="0" borderId="7" xfId="0" applyNumberFormat="1" applyFont="1" applyBorder="1" applyAlignment="1">
      <alignment horizontal="center" vertical="center"/>
    </xf>
    <xf numFmtId="0" fontId="16" fillId="0" borderId="7" xfId="0" quotePrefix="1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165" fontId="16" fillId="0" borderId="7" xfId="0" applyNumberFormat="1" applyFont="1" applyBorder="1" applyAlignment="1">
      <alignment horizontal="right" vertical="top" wrapText="1"/>
    </xf>
    <xf numFmtId="0" fontId="16" fillId="0" borderId="7" xfId="0" applyFont="1" applyBorder="1" applyAlignment="1">
      <alignment horizontal="right" vertical="top" wrapText="1"/>
    </xf>
    <xf numFmtId="0" fontId="15" fillId="0" borderId="7" xfId="0" quotePrefix="1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center" vertical="top" wrapText="1"/>
    </xf>
    <xf numFmtId="165" fontId="15" fillId="0" borderId="7" xfId="0" applyNumberFormat="1" applyFont="1" applyBorder="1" applyAlignment="1">
      <alignment horizontal="right" vertical="top" wrapText="1"/>
    </xf>
    <xf numFmtId="0" fontId="15" fillId="0" borderId="7" xfId="0" applyFont="1" applyBorder="1" applyAlignment="1">
      <alignment horizontal="right" vertical="top" wrapText="1"/>
    </xf>
    <xf numFmtId="0" fontId="11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17" fillId="0" borderId="0" xfId="0" applyFont="1"/>
    <xf numFmtId="0" fontId="21" fillId="0" borderId="0" xfId="0" applyNumberFormat="1" applyFont="1" applyAlignment="1"/>
    <xf numFmtId="0" fontId="12" fillId="0" borderId="2" xfId="0" applyNumberFormat="1" applyFont="1" applyBorder="1" applyAlignment="1">
      <alignment vertical="top"/>
    </xf>
    <xf numFmtId="0" fontId="12" fillId="0" borderId="0" xfId="0" applyNumberFormat="1" applyFont="1" applyAlignment="1">
      <alignment horizontal="left" vertical="top" wrapText="1"/>
    </xf>
    <xf numFmtId="0" fontId="12" fillId="0" borderId="2" xfId="0" applyNumberFormat="1" applyFont="1" applyBorder="1" applyAlignment="1">
      <alignment horizontal="left" vertical="top" wrapText="1"/>
    </xf>
    <xf numFmtId="0" fontId="21" fillId="0" borderId="2" xfId="0" applyNumberFormat="1" applyFont="1" applyBorder="1" applyAlignment="1"/>
    <xf numFmtId="0" fontId="12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/>
    <xf numFmtId="0" fontId="12" fillId="0" borderId="0" xfId="0" applyNumberFormat="1" applyFont="1" applyAlignment="1">
      <alignment horizontal="left" wrapText="1"/>
    </xf>
    <xf numFmtId="0" fontId="12" fillId="0" borderId="0" xfId="0" applyNumberFormat="1" applyFont="1" applyAlignment="1">
      <alignment wrapText="1"/>
    </xf>
    <xf numFmtId="0" fontId="23" fillId="0" borderId="0" xfId="0" applyNumberFormat="1" applyFont="1" applyAlignment="1"/>
    <xf numFmtId="165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165" fontId="12" fillId="0" borderId="0" xfId="0" applyNumberFormat="1" applyFont="1" applyAlignment="1"/>
    <xf numFmtId="0" fontId="12" fillId="0" borderId="7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vertical="top" wrapText="1"/>
    </xf>
    <xf numFmtId="0" fontId="24" fillId="0" borderId="2" xfId="0" applyFont="1" applyBorder="1" applyAlignment="1">
      <alignment horizontal="left" vertical="top" wrapText="1"/>
    </xf>
    <xf numFmtId="0" fontId="21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 vertical="center"/>
    </xf>
    <xf numFmtId="0" fontId="12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left"/>
    </xf>
    <xf numFmtId="14" fontId="12" fillId="0" borderId="0" xfId="0" applyNumberFormat="1" applyFont="1" applyAlignment="1"/>
    <xf numFmtId="0" fontId="12" fillId="0" borderId="1" xfId="0" applyNumberFormat="1" applyFont="1" applyBorder="1" applyAlignment="1"/>
    <xf numFmtId="0" fontId="17" fillId="0" borderId="0" xfId="0" quotePrefix="1" applyFont="1" applyAlignment="1">
      <alignment horizontal="left" vertical="top" wrapText="1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left" vertical="top"/>
    </xf>
    <xf numFmtId="166" fontId="17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horizontal="right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/>
    </xf>
    <xf numFmtId="165" fontId="17" fillId="0" borderId="1" xfId="0" applyNumberFormat="1" applyFont="1" applyBorder="1" applyAlignment="1">
      <alignment horizontal="right" vertical="top"/>
    </xf>
    <xf numFmtId="0" fontId="17" fillId="0" borderId="1" xfId="0" quotePrefix="1" applyFont="1" applyBorder="1" applyAlignment="1">
      <alignment horizontal="left" vertical="top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horizontal="right" vertical="top"/>
    </xf>
    <xf numFmtId="0" fontId="17" fillId="0" borderId="0" xfId="0" applyFont="1" applyAlignment="1">
      <alignment vertical="top"/>
    </xf>
    <xf numFmtId="0" fontId="24" fillId="0" borderId="2" xfId="0" applyFont="1" applyBorder="1" applyAlignment="1">
      <alignment vertical="top"/>
    </xf>
    <xf numFmtId="165" fontId="24" fillId="0" borderId="2" xfId="0" applyNumberFormat="1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2" fillId="0" borderId="1" xfId="0" applyNumberFormat="1" applyFont="1" applyBorder="1" applyAlignment="1">
      <alignment horizontal="left"/>
    </xf>
    <xf numFmtId="0" fontId="13" fillId="0" borderId="0" xfId="0" applyNumberFormat="1" applyFont="1" applyAlignment="1"/>
    <xf numFmtId="165" fontId="25" fillId="0" borderId="0" xfId="0" applyNumberFormat="1" applyFont="1" applyAlignment="1"/>
    <xf numFmtId="0" fontId="13" fillId="0" borderId="0" xfId="0" applyNumberFormat="1" applyFont="1" applyAlignment="1">
      <alignment horizontal="right"/>
    </xf>
    <xf numFmtId="166" fontId="25" fillId="0" borderId="0" xfId="0" applyNumberFormat="1" applyFont="1" applyAlignment="1"/>
    <xf numFmtId="164" fontId="13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left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23" fillId="0" borderId="1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>
      <alignment horizontal="left" vertical="top" wrapText="1"/>
    </xf>
    <xf numFmtId="0" fontId="13" fillId="0" borderId="2" xfId="0" applyNumberFormat="1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wrapText="1"/>
    </xf>
    <xf numFmtId="0" fontId="12" fillId="0" borderId="2" xfId="0" applyNumberFormat="1" applyFont="1" applyBorder="1" applyAlignment="1">
      <alignment horizontal="center" vertical="top" wrapText="1"/>
    </xf>
    <xf numFmtId="165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0" fontId="12" fillId="0" borderId="1" xfId="0" applyNumberFormat="1" applyFont="1" applyBorder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165" fontId="24" fillId="0" borderId="0" xfId="0" applyNumberFormat="1" applyFont="1" applyAlignment="1">
      <alignment horizontal="left" vertical="top"/>
    </xf>
    <xf numFmtId="165" fontId="24" fillId="0" borderId="2" xfId="0" applyNumberFormat="1" applyFont="1" applyBorder="1" applyAlignment="1">
      <alignment horizontal="right" vertical="top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right" vertical="top" wrapText="1"/>
    </xf>
    <xf numFmtId="0" fontId="24" fillId="0" borderId="2" xfId="0" applyFont="1" applyBorder="1" applyAlignment="1">
      <alignment horizontal="left" vertical="top" wrapText="1"/>
    </xf>
    <xf numFmtId="0" fontId="12" fillId="0" borderId="2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top" wrapText="1"/>
    </xf>
    <xf numFmtId="0" fontId="27" fillId="0" borderId="0" xfId="0" applyNumberFormat="1" applyFont="1" applyAlignment="1">
      <alignment horizontal="center" vertical="top" wrapText="1"/>
    </xf>
    <xf numFmtId="0" fontId="26" fillId="0" borderId="1" xfId="0" applyNumberFormat="1" applyFont="1" applyBorder="1" applyAlignment="1">
      <alignment horizontal="center" vertical="top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top" wrapText="1"/>
    </xf>
    <xf numFmtId="0" fontId="11" fillId="0" borderId="6" xfId="0" applyNumberFormat="1" applyFont="1" applyBorder="1" applyAlignment="1">
      <alignment horizontal="center" vertical="top" wrapText="1"/>
    </xf>
    <xf numFmtId="0" fontId="11" fillId="0" borderId="7" xfId="0" applyNumberFormat="1" applyFont="1" applyBorder="1" applyAlignment="1">
      <alignment horizontal="center" vertical="top" wrapText="1"/>
    </xf>
    <xf numFmtId="0" fontId="14" fillId="0" borderId="7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center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010"/>
  <sheetViews>
    <sheetView tabSelected="1" topLeftCell="A896" zoomScaleNormal="100" workbookViewId="0">
      <selection activeCell="C1011" sqref="C1011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94" width="0" hidden="1" customWidth="1"/>
    <col min="95" max="95" width="198.7109375" hidden="1" customWidth="1"/>
    <col min="96" max="101" width="0" hidden="1" customWidth="1"/>
  </cols>
  <sheetData>
    <row r="1" spans="1:93" ht="25.5" x14ac:dyDescent="0.2">
      <c r="A1" s="96" t="s">
        <v>847</v>
      </c>
      <c r="B1" s="96"/>
      <c r="C1" s="96"/>
      <c r="D1" s="96"/>
      <c r="E1" s="96"/>
      <c r="F1" s="97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97"/>
      <c r="H1" s="97"/>
      <c r="I1" s="97"/>
      <c r="J1" s="97"/>
      <c r="K1" s="97"/>
      <c r="L1" s="97"/>
      <c r="CO1" s="20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27"/>
      <c r="B2" s="27"/>
      <c r="C2" s="27"/>
      <c r="D2" s="27"/>
      <c r="E2" s="27"/>
      <c r="F2" s="45"/>
      <c r="G2" s="45"/>
      <c r="H2" s="45"/>
      <c r="I2" s="45"/>
      <c r="J2" s="45"/>
      <c r="K2" s="45"/>
      <c r="L2" s="45"/>
    </row>
    <row r="3" spans="1:93" ht="134.25" customHeight="1" x14ac:dyDescent="0.2">
      <c r="A3" s="96" t="s">
        <v>848</v>
      </c>
      <c r="B3" s="96"/>
      <c r="C3" s="96"/>
      <c r="D3" s="96"/>
      <c r="E3" s="96"/>
      <c r="F3" s="99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99"/>
      <c r="H3" s="99"/>
      <c r="I3" s="99"/>
      <c r="J3" s="99"/>
      <c r="K3" s="99"/>
      <c r="L3" s="99"/>
      <c r="CO3" s="20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27"/>
      <c r="B4" s="27"/>
      <c r="C4" s="27"/>
      <c r="D4" s="27"/>
      <c r="E4" s="27"/>
      <c r="F4" s="45"/>
      <c r="G4" s="45"/>
      <c r="H4" s="45"/>
      <c r="I4" s="45"/>
      <c r="J4" s="45"/>
      <c r="K4" s="45"/>
      <c r="L4" s="45"/>
    </row>
    <row r="5" spans="1:93" ht="76.5" customHeight="1" x14ac:dyDescent="0.2">
      <c r="A5" s="96" t="s">
        <v>849</v>
      </c>
      <c r="B5" s="96"/>
      <c r="C5" s="96"/>
      <c r="D5" s="96"/>
      <c r="E5" s="96"/>
      <c r="F5" s="97" t="s">
        <v>478</v>
      </c>
      <c r="G5" s="97"/>
      <c r="H5" s="97"/>
      <c r="I5" s="97"/>
      <c r="J5" s="97"/>
      <c r="K5" s="97"/>
      <c r="L5" s="97"/>
    </row>
    <row r="6" spans="1:93" ht="12.75" customHeight="1" x14ac:dyDescent="0.2">
      <c r="A6" s="27"/>
      <c r="B6" s="27"/>
      <c r="C6" s="27"/>
      <c r="D6" s="27"/>
      <c r="E6" s="27"/>
      <c r="F6" s="45"/>
      <c r="G6" s="45"/>
      <c r="H6" s="45"/>
      <c r="I6" s="45"/>
      <c r="J6" s="45"/>
      <c r="K6" s="45"/>
      <c r="L6" s="45"/>
    </row>
    <row r="7" spans="1:93" ht="38.25" customHeight="1" x14ac:dyDescent="0.2">
      <c r="A7" s="96" t="s">
        <v>850</v>
      </c>
      <c r="B7" s="96"/>
      <c r="C7" s="96"/>
      <c r="D7" s="96"/>
      <c r="E7" s="96"/>
      <c r="F7" s="97" t="s">
        <v>480</v>
      </c>
      <c r="G7" s="97"/>
      <c r="H7" s="97"/>
      <c r="I7" s="97"/>
      <c r="J7" s="97"/>
      <c r="K7" s="97"/>
      <c r="L7" s="97"/>
    </row>
    <row r="8" spans="1:93" ht="12.75" customHeight="1" x14ac:dyDescent="0.2">
      <c r="A8" s="46"/>
      <c r="B8" s="46"/>
      <c r="C8" s="46"/>
      <c r="D8" s="46"/>
      <c r="E8" s="46"/>
      <c r="F8" s="47"/>
      <c r="G8" s="47"/>
      <c r="H8" s="47"/>
      <c r="I8" s="47"/>
      <c r="J8" s="47"/>
      <c r="K8" s="47"/>
      <c r="L8" s="47"/>
    </row>
    <row r="9" spans="1:93" ht="12.75" customHeight="1" x14ac:dyDescent="0.2">
      <c r="A9" s="96" t="s">
        <v>851</v>
      </c>
      <c r="B9" s="96"/>
      <c r="C9" s="96"/>
      <c r="D9" s="96"/>
      <c r="E9" s="96"/>
      <c r="F9" s="97" t="s">
        <v>885</v>
      </c>
      <c r="G9" s="97"/>
      <c r="H9" s="97"/>
      <c r="I9" s="97"/>
      <c r="J9" s="97"/>
      <c r="K9" s="97"/>
      <c r="L9" s="97"/>
    </row>
    <row r="10" spans="1:93" ht="12.75" customHeight="1" x14ac:dyDescent="0.2">
      <c r="A10" s="46"/>
      <c r="B10" s="46"/>
      <c r="C10" s="46"/>
      <c r="D10" s="46"/>
      <c r="E10" s="46"/>
      <c r="F10" s="47"/>
      <c r="G10" s="47"/>
      <c r="H10" s="47"/>
      <c r="I10" s="47"/>
      <c r="J10" s="47"/>
      <c r="K10" s="47"/>
      <c r="L10" s="47"/>
    </row>
    <row r="11" spans="1:93" ht="12.75" customHeight="1" x14ac:dyDescent="0.2">
      <c r="A11" s="96" t="s">
        <v>852</v>
      </c>
      <c r="B11" s="96"/>
      <c r="C11" s="96"/>
      <c r="D11" s="96"/>
      <c r="E11" s="96"/>
      <c r="F11" s="97" t="s">
        <v>1044</v>
      </c>
      <c r="G11" s="97"/>
      <c r="H11" s="97"/>
      <c r="I11" s="97"/>
      <c r="J11" s="97"/>
      <c r="K11" s="97"/>
      <c r="L11" s="97"/>
    </row>
    <row r="12" spans="1:93" ht="12.75" customHeight="1" x14ac:dyDescent="0.2">
      <c r="A12" s="96" t="s">
        <v>853</v>
      </c>
      <c r="B12" s="96"/>
      <c r="C12" s="96"/>
      <c r="D12" s="96"/>
      <c r="E12" s="96"/>
      <c r="F12" s="97" t="s">
        <v>1044</v>
      </c>
      <c r="G12" s="97"/>
      <c r="H12" s="97"/>
      <c r="I12" s="97"/>
      <c r="J12" s="97"/>
      <c r="K12" s="97"/>
      <c r="L12" s="97"/>
    </row>
    <row r="13" spans="1:93" ht="12.75" customHeight="1" x14ac:dyDescent="0.2">
      <c r="A13" s="44"/>
      <c r="B13" s="44"/>
      <c r="C13" s="44"/>
      <c r="D13" s="44"/>
      <c r="E13" s="44"/>
      <c r="F13" s="48"/>
      <c r="G13" s="48"/>
      <c r="H13" s="48"/>
      <c r="I13" s="48"/>
      <c r="J13" s="48"/>
      <c r="K13" s="48"/>
      <c r="L13" s="48"/>
    </row>
    <row r="14" spans="1:93" ht="18" customHeight="1" x14ac:dyDescent="0.2">
      <c r="A14" s="98" t="s">
        <v>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</row>
    <row r="15" spans="1:93" ht="14.25" customHeight="1" x14ac:dyDescent="0.2">
      <c r="A15" s="100" t="s">
        <v>854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</row>
    <row r="16" spans="1:93" ht="14.2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92" ht="15.75" x14ac:dyDescent="0.25">
      <c r="A17" s="107" t="str">
        <f>IF(Source!G12&lt;&gt;"Новый объект", Source!G12, "")</f>
        <v>Газопровод низкого давления к нежилому помещению,расположенному по адресу: Пензенская область,г.Кузнецк,ул.Кирова,155А/1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CN17" s="21" t="str">
        <f>IF(Source!G12&lt;&gt;"Новый объект", Source!G12, "")</f>
        <v>Газопровод низкого давления к нежилому помещению,расположенному по адресу: Пензенская область,г.Кузнецк,ул.Кирова,155А/1</v>
      </c>
    </row>
    <row r="18" spans="1:92" ht="14.25" customHeight="1" x14ac:dyDescent="0.2">
      <c r="A18" s="102" t="s">
        <v>855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92" ht="14.25" customHeight="1" x14ac:dyDescent="0.2">
      <c r="A19" s="17"/>
      <c r="B19" s="17"/>
      <c r="C19" s="17"/>
      <c r="D19" s="17"/>
      <c r="E19" s="17"/>
      <c r="F19" s="52"/>
      <c r="G19" s="52"/>
      <c r="H19" s="52"/>
      <c r="I19" s="52"/>
      <c r="J19" s="52"/>
      <c r="K19" s="52"/>
      <c r="L19" s="52"/>
    </row>
    <row r="20" spans="1:92" ht="15.75" customHeight="1" x14ac:dyDescent="0.2">
      <c r="A20" s="108" t="s">
        <v>1042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</row>
    <row r="21" spans="1:92" ht="18" customHeight="1" x14ac:dyDescent="0.2">
      <c r="A21" s="98" t="str">
        <f>IF(Source!G20&lt;&gt;"Новая локальная смета", Source!G20, "")</f>
        <v>Газопровод  низкого давления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</row>
    <row r="22" spans="1:92" ht="14.25" customHeight="1" x14ac:dyDescent="0.2">
      <c r="A22" s="100" t="s">
        <v>856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</row>
    <row r="23" spans="1:92" ht="12.75" customHeight="1" x14ac:dyDescent="0.2">
      <c r="A23" s="17" t="s">
        <v>857</v>
      </c>
      <c r="B23" s="17"/>
      <c r="C23" s="49" t="s">
        <v>886</v>
      </c>
      <c r="D23" s="17" t="s">
        <v>858</v>
      </c>
      <c r="E23" s="17"/>
      <c r="F23" s="17"/>
      <c r="G23" s="17"/>
      <c r="H23" s="17"/>
      <c r="I23" s="17"/>
      <c r="J23" s="17"/>
      <c r="K23" s="17"/>
      <c r="L23" s="17"/>
    </row>
    <row r="24" spans="1:92" ht="12.75" customHeight="1" x14ac:dyDescent="0.2">
      <c r="A24" s="17"/>
      <c r="B24" s="17"/>
      <c r="C24" s="50"/>
      <c r="D24" s="17"/>
      <c r="E24" s="17"/>
      <c r="F24" s="17"/>
      <c r="G24" s="17"/>
      <c r="H24" s="17"/>
      <c r="I24" s="17"/>
      <c r="J24" s="17"/>
      <c r="K24" s="17"/>
      <c r="L24" s="17"/>
    </row>
    <row r="25" spans="1:92" ht="12.75" customHeight="1" x14ac:dyDescent="0.2">
      <c r="A25" s="17" t="s">
        <v>859</v>
      </c>
      <c r="B25" s="17"/>
      <c r="C25" s="101" t="s">
        <v>1043</v>
      </c>
      <c r="D25" s="101"/>
      <c r="E25" s="101"/>
      <c r="F25" s="101"/>
      <c r="G25" s="101"/>
      <c r="H25" s="101"/>
      <c r="I25" s="101"/>
      <c r="J25" s="101"/>
      <c r="K25" s="101"/>
      <c r="L25" s="101"/>
    </row>
    <row r="26" spans="1:92" ht="12.75" customHeight="1" x14ac:dyDescent="0.2">
      <c r="A26" s="51"/>
      <c r="B26" s="52"/>
      <c r="C26" s="102" t="s">
        <v>860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92" ht="14.25" customHeight="1" x14ac:dyDescent="0.2">
      <c r="A27" s="53" t="s">
        <v>887</v>
      </c>
      <c r="B27" s="17"/>
      <c r="C27" s="17"/>
      <c r="D27" s="70"/>
      <c r="E27" s="17"/>
      <c r="F27" s="17"/>
      <c r="G27" s="17"/>
      <c r="H27" s="17"/>
      <c r="I27" s="17"/>
      <c r="J27" s="17"/>
      <c r="K27" s="17"/>
      <c r="L27" s="17"/>
    </row>
    <row r="28" spans="1:92" ht="14.25" customHeight="1" x14ac:dyDescent="0.2">
      <c r="A28" s="53" t="s">
        <v>861</v>
      </c>
      <c r="B28" s="17"/>
      <c r="C28" s="103">
        <f>C31+C32+C33+C34</f>
        <v>328.52</v>
      </c>
      <c r="D28" s="104"/>
      <c r="E28" s="53" t="s">
        <v>862</v>
      </c>
      <c r="F28" s="44"/>
      <c r="G28" s="44"/>
      <c r="H28" s="44"/>
      <c r="I28" s="44"/>
      <c r="J28" s="44"/>
      <c r="K28" s="44"/>
      <c r="L28" s="17"/>
    </row>
    <row r="29" spans="1:92" ht="14.25" customHeight="1" x14ac:dyDescent="0.2">
      <c r="A29" s="53"/>
      <c r="B29" s="17"/>
      <c r="C29" s="54"/>
      <c r="D29" s="55"/>
      <c r="E29" s="17"/>
      <c r="F29" s="44"/>
      <c r="G29" s="91" t="s">
        <v>863</v>
      </c>
      <c r="H29" s="91"/>
      <c r="I29" s="91"/>
      <c r="J29" s="91"/>
      <c r="K29" s="92">
        <f>ROUND(SUM(AR41:AR987)/1000, 2)</f>
        <v>55.94</v>
      </c>
      <c r="L29" s="91" t="s">
        <v>862</v>
      </c>
    </row>
    <row r="30" spans="1:92" ht="14.25" customHeight="1" x14ac:dyDescent="0.2">
      <c r="A30" s="17"/>
      <c r="B30" s="17" t="s">
        <v>864</v>
      </c>
      <c r="C30" s="56"/>
      <c r="D30" s="17"/>
      <c r="E30" s="17"/>
      <c r="F30" s="44"/>
      <c r="G30" s="91" t="s">
        <v>865</v>
      </c>
      <c r="H30" s="91"/>
      <c r="I30" s="91"/>
      <c r="J30" s="91"/>
      <c r="K30" s="92">
        <f>ROUND(SUM(AT41:AT987)/1000, 2)</f>
        <v>14.7</v>
      </c>
      <c r="L30" s="91" t="s">
        <v>862</v>
      </c>
    </row>
    <row r="31" spans="1:92" ht="14.25" customHeight="1" x14ac:dyDescent="0.2">
      <c r="A31" s="17"/>
      <c r="B31" s="91" t="s">
        <v>866</v>
      </c>
      <c r="C31" s="105">
        <f>ROUND((Source!F255)/1000, 2)</f>
        <v>314.27999999999997</v>
      </c>
      <c r="D31" s="106"/>
      <c r="E31" s="91" t="s">
        <v>862</v>
      </c>
      <c r="F31" s="44"/>
      <c r="G31" s="91" t="s">
        <v>867</v>
      </c>
      <c r="H31" s="91"/>
      <c r="I31" s="91"/>
      <c r="J31" s="93"/>
      <c r="K31" s="94">
        <f>Source!F260</f>
        <v>150.46112500000001</v>
      </c>
      <c r="L31" s="91" t="s">
        <v>484</v>
      </c>
    </row>
    <row r="32" spans="1:92" ht="14.25" customHeight="1" x14ac:dyDescent="0.2">
      <c r="A32" s="17"/>
      <c r="B32" s="91" t="s">
        <v>868</v>
      </c>
      <c r="C32" s="105">
        <f>ROUND((Source!F256)/1000, 2)</f>
        <v>14.24</v>
      </c>
      <c r="D32" s="106"/>
      <c r="E32" s="91" t="s">
        <v>862</v>
      </c>
      <c r="F32" s="44"/>
      <c r="G32" s="91" t="s">
        <v>869</v>
      </c>
      <c r="H32" s="91"/>
      <c r="I32" s="91"/>
      <c r="J32" s="95"/>
      <c r="K32" s="94">
        <f>Source!F261</f>
        <v>30.978373600000001</v>
      </c>
      <c r="L32" s="91" t="s">
        <v>484</v>
      </c>
    </row>
    <row r="33" spans="1:83" ht="14.25" customHeight="1" x14ac:dyDescent="0.2">
      <c r="A33" s="17"/>
      <c r="B33" s="91" t="s">
        <v>870</v>
      </c>
      <c r="C33" s="105">
        <f>ROUND((Source!F247)/1000, 2)</f>
        <v>0</v>
      </c>
      <c r="D33" s="106"/>
      <c r="E33" s="91" t="s">
        <v>862</v>
      </c>
      <c r="F33" s="44"/>
      <c r="G33" s="17"/>
      <c r="H33" s="17"/>
      <c r="I33" s="17"/>
      <c r="J33" s="17"/>
      <c r="K33" s="44"/>
      <c r="L33" s="17"/>
    </row>
    <row r="34" spans="1:83" ht="14.25" customHeight="1" x14ac:dyDescent="0.2">
      <c r="A34" s="17"/>
      <c r="B34" s="91" t="s">
        <v>871</v>
      </c>
      <c r="C34" s="105">
        <f>ROUND((Source!F257)/1000, 2)</f>
        <v>0</v>
      </c>
      <c r="D34" s="106"/>
      <c r="E34" s="91" t="s">
        <v>862</v>
      </c>
      <c r="F34" s="44"/>
      <c r="G34" s="17"/>
      <c r="H34" s="17"/>
      <c r="I34" s="17"/>
      <c r="J34" s="17"/>
      <c r="K34" s="44"/>
      <c r="L34" s="17"/>
    </row>
    <row r="35" spans="1:83" ht="12.75" customHeight="1" x14ac:dyDescent="0.2">
      <c r="A35" s="121" t="s">
        <v>872</v>
      </c>
      <c r="B35" s="121" t="s">
        <v>873</v>
      </c>
      <c r="C35" s="121" t="s">
        <v>874</v>
      </c>
      <c r="D35" s="121" t="s">
        <v>875</v>
      </c>
      <c r="E35" s="109" t="s">
        <v>876</v>
      </c>
      <c r="F35" s="110"/>
      <c r="G35" s="111"/>
      <c r="H35" s="109" t="s">
        <v>877</v>
      </c>
      <c r="I35" s="110"/>
      <c r="J35" s="110"/>
      <c r="K35" s="110"/>
      <c r="L35" s="111"/>
    </row>
    <row r="36" spans="1:83" ht="12.75" customHeight="1" x14ac:dyDescent="0.2">
      <c r="A36" s="122"/>
      <c r="B36" s="122"/>
      <c r="C36" s="122"/>
      <c r="D36" s="122"/>
      <c r="E36" s="112"/>
      <c r="F36" s="113"/>
      <c r="G36" s="114"/>
      <c r="H36" s="112"/>
      <c r="I36" s="113"/>
      <c r="J36" s="113"/>
      <c r="K36" s="113"/>
      <c r="L36" s="114"/>
    </row>
    <row r="37" spans="1:83" ht="12.75" customHeight="1" x14ac:dyDescent="0.2">
      <c r="A37" s="122"/>
      <c r="B37" s="122"/>
      <c r="C37" s="122"/>
      <c r="D37" s="122"/>
      <c r="E37" s="112"/>
      <c r="F37" s="113"/>
      <c r="G37" s="114"/>
      <c r="H37" s="112"/>
      <c r="I37" s="113"/>
      <c r="J37" s="113"/>
      <c r="K37" s="113"/>
      <c r="L37" s="114"/>
    </row>
    <row r="38" spans="1:83" ht="12.75" customHeight="1" x14ac:dyDescent="0.2">
      <c r="A38" s="122"/>
      <c r="B38" s="122"/>
      <c r="C38" s="122"/>
      <c r="D38" s="122"/>
      <c r="E38" s="115"/>
      <c r="F38" s="116"/>
      <c r="G38" s="117"/>
      <c r="H38" s="115"/>
      <c r="I38" s="116"/>
      <c r="J38" s="116"/>
      <c r="K38" s="116"/>
      <c r="L38" s="117"/>
    </row>
    <row r="39" spans="1:83" ht="51" customHeight="1" x14ac:dyDescent="0.2">
      <c r="A39" s="123"/>
      <c r="B39" s="123"/>
      <c r="C39" s="123"/>
      <c r="D39" s="123"/>
      <c r="E39" s="57" t="s">
        <v>878</v>
      </c>
      <c r="F39" s="57" t="s">
        <v>879</v>
      </c>
      <c r="G39" s="58" t="s">
        <v>880</v>
      </c>
      <c r="H39" s="57" t="s">
        <v>881</v>
      </c>
      <c r="I39" s="57" t="s">
        <v>882</v>
      </c>
      <c r="J39" s="57" t="s">
        <v>883</v>
      </c>
      <c r="K39" s="57" t="s">
        <v>879</v>
      </c>
      <c r="L39" s="57" t="s">
        <v>884</v>
      </c>
    </row>
    <row r="40" spans="1:83" ht="14.25" customHeight="1" x14ac:dyDescent="0.2">
      <c r="A40" s="59">
        <v>1</v>
      </c>
      <c r="B40" s="59">
        <v>2</v>
      </c>
      <c r="C40" s="59">
        <v>3</v>
      </c>
      <c r="D40" s="59">
        <v>4</v>
      </c>
      <c r="E40" s="59">
        <v>5</v>
      </c>
      <c r="F40" s="59">
        <v>6</v>
      </c>
      <c r="G40" s="59">
        <v>7</v>
      </c>
      <c r="H40" s="59">
        <v>8</v>
      </c>
      <c r="I40" s="59">
        <v>9</v>
      </c>
      <c r="J40" s="59">
        <v>10</v>
      </c>
      <c r="K40" s="59">
        <v>11</v>
      </c>
      <c r="L40" s="59">
        <v>12</v>
      </c>
    </row>
    <row r="41" spans="1:83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</row>
    <row r="42" spans="1:83" x14ac:dyDescent="0.2">
      <c r="A42" s="118" t="s">
        <v>888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</row>
    <row r="43" spans="1:83" ht="51" x14ac:dyDescent="0.2">
      <c r="A43" s="72" t="s">
        <v>18</v>
      </c>
      <c r="B43" s="62" t="s">
        <v>889</v>
      </c>
      <c r="C43" s="62" t="str">
        <f>Source!G28</f>
        <v>Разработка грунта в траншеях экскаватором «обратная лопата» с ковшом вместимостью 0,5 (0,5-0,63) м3, в отвал группа грунтов: 2</v>
      </c>
      <c r="D43" s="73" t="str">
        <f>Source!H28</f>
        <v>1000 м3</v>
      </c>
      <c r="E43" s="74">
        <f>Source!K28</f>
        <v>0.113</v>
      </c>
      <c r="F43" s="74"/>
      <c r="G43" s="74">
        <f>Source!I28</f>
        <v>0.113</v>
      </c>
      <c r="H43" s="75"/>
      <c r="I43" s="73"/>
      <c r="J43" s="75"/>
      <c r="K43" s="73"/>
      <c r="L43" s="75"/>
    </row>
    <row r="44" spans="1:83" x14ac:dyDescent="0.2">
      <c r="A44" s="43"/>
      <c r="B44" s="43"/>
      <c r="C44" s="60" t="str">
        <f>"Объем: "&amp;Source!I28&amp;"=113/"&amp;"1000"</f>
        <v>Объем: 0,113=113/1000</v>
      </c>
      <c r="D44" s="43"/>
      <c r="E44" s="43"/>
      <c r="F44" s="43"/>
      <c r="G44" s="43"/>
      <c r="H44" s="43"/>
      <c r="I44" s="43"/>
      <c r="J44" s="43"/>
      <c r="K44" s="43"/>
      <c r="L44" s="43"/>
    </row>
    <row r="45" spans="1:83" x14ac:dyDescent="0.2">
      <c r="A45" s="76"/>
      <c r="B45" s="74">
        <v>2</v>
      </c>
      <c r="C45" s="76" t="s">
        <v>890</v>
      </c>
      <c r="D45" s="73"/>
      <c r="E45" s="77"/>
      <c r="F45" s="74"/>
      <c r="G45" s="74"/>
      <c r="H45" s="74"/>
      <c r="I45" s="74"/>
      <c r="J45" s="74"/>
      <c r="K45" s="74"/>
      <c r="L45" s="78">
        <f>SUM(L46:L48)-SUMIF(CE46:CE48, 1, L46:L48)</f>
        <v>4130.57</v>
      </c>
    </row>
    <row r="46" spans="1:83" x14ac:dyDescent="0.2">
      <c r="A46" s="76"/>
      <c r="B46" s="74"/>
      <c r="C46" s="76" t="s">
        <v>892</v>
      </c>
      <c r="D46" s="73" t="s">
        <v>484</v>
      </c>
      <c r="E46" s="77"/>
      <c r="F46" s="74"/>
      <c r="G46" s="74">
        <f>Source!V28</f>
        <v>2.8815</v>
      </c>
      <c r="H46" s="74"/>
      <c r="I46" s="74"/>
      <c r="J46" s="74"/>
      <c r="K46" s="74"/>
      <c r="L46" s="78">
        <f>SUMIF(CE47:CE48, 1, L47:L48)</f>
        <v>1549.21</v>
      </c>
      <c r="CE46">
        <v>1</v>
      </c>
    </row>
    <row r="47" spans="1:83" ht="25.5" x14ac:dyDescent="0.2">
      <c r="A47" s="62"/>
      <c r="B47" s="62" t="s">
        <v>485</v>
      </c>
      <c r="C47" s="62" t="s">
        <v>487</v>
      </c>
      <c r="D47" s="73" t="s">
        <v>488</v>
      </c>
      <c r="E47" s="74">
        <v>25.5</v>
      </c>
      <c r="F47" s="74"/>
      <c r="G47" s="74">
        <f>SmtRes!CX2</f>
        <v>2.8815</v>
      </c>
      <c r="H47" s="75">
        <f>SmtRes!CZ2</f>
        <v>1054.03</v>
      </c>
      <c r="I47" s="73">
        <f>SmtRes!AJ2</f>
        <v>1.36</v>
      </c>
      <c r="J47" s="75">
        <f>ROUND(H47*I47, 2)</f>
        <v>1433.48</v>
      </c>
      <c r="K47" s="73"/>
      <c r="L47" s="75">
        <f>SmtRes!DG2</f>
        <v>4130.57</v>
      </c>
    </row>
    <row r="48" spans="1:83" x14ac:dyDescent="0.2">
      <c r="A48" s="62"/>
      <c r="B48" s="62" t="s">
        <v>489</v>
      </c>
      <c r="C48" s="79" t="s">
        <v>891</v>
      </c>
      <c r="D48" s="80" t="s">
        <v>484</v>
      </c>
      <c r="E48" s="81">
        <f>SmtRes!DO2*SmtRes!AT2</f>
        <v>25.5</v>
      </c>
      <c r="F48" s="81"/>
      <c r="G48" s="81">
        <f>ROUND(E48*G43, 7)</f>
        <v>2.8815</v>
      </c>
      <c r="H48" s="82"/>
      <c r="I48" s="80"/>
      <c r="J48" s="82">
        <f>ROUND(SmtRes!AG2/SmtRes!DO2, 2)</f>
        <v>537.64</v>
      </c>
      <c r="K48" s="80"/>
      <c r="L48" s="82">
        <f>SmtRes!DH2</f>
        <v>1549.21</v>
      </c>
      <c r="CE48">
        <v>1</v>
      </c>
    </row>
    <row r="49" spans="1:82" x14ac:dyDescent="0.2">
      <c r="A49" s="62"/>
      <c r="B49" s="62"/>
      <c r="C49" s="61" t="s">
        <v>394</v>
      </c>
      <c r="D49" s="73"/>
      <c r="E49" s="74"/>
      <c r="F49" s="74"/>
      <c r="G49" s="74"/>
      <c r="H49" s="75"/>
      <c r="I49" s="73"/>
      <c r="J49" s="75"/>
      <c r="K49" s="73"/>
      <c r="L49" s="75">
        <f>L45+L46</f>
        <v>5679.78</v>
      </c>
    </row>
    <row r="50" spans="1:82" x14ac:dyDescent="0.2">
      <c r="A50" s="62"/>
      <c r="B50" s="62"/>
      <c r="C50" s="62" t="s">
        <v>893</v>
      </c>
      <c r="D50" s="73"/>
      <c r="E50" s="74"/>
      <c r="F50" s="74"/>
      <c r="G50" s="74"/>
      <c r="H50" s="75"/>
      <c r="I50" s="73"/>
      <c r="J50" s="75"/>
      <c r="K50" s="73"/>
      <c r="L50" s="75">
        <f>SUM(AR43:AR53)+SUM(AS43:AS53)+SUM(AT43:AT53)+SUM(AU43:AU53)+SUM(AV43:AV53)</f>
        <v>1549.21</v>
      </c>
    </row>
    <row r="51" spans="1:82" ht="25.5" x14ac:dyDescent="0.2">
      <c r="A51" s="62"/>
      <c r="B51" s="62" t="s">
        <v>26</v>
      </c>
      <c r="C51" s="62" t="s">
        <v>894</v>
      </c>
      <c r="D51" s="73" t="s">
        <v>194</v>
      </c>
      <c r="E51" s="74">
        <f>Source!BZ28</f>
        <v>92</v>
      </c>
      <c r="F51" s="74"/>
      <c r="G51" s="74">
        <f>Source!AT28</f>
        <v>92</v>
      </c>
      <c r="H51" s="75"/>
      <c r="I51" s="73"/>
      <c r="J51" s="75"/>
      <c r="K51" s="73"/>
      <c r="L51" s="75">
        <f>SUM(AZ43:AZ53)</f>
        <v>1425.27</v>
      </c>
    </row>
    <row r="52" spans="1:82" ht="25.5" x14ac:dyDescent="0.2">
      <c r="A52" s="79"/>
      <c r="B52" s="79" t="s">
        <v>27</v>
      </c>
      <c r="C52" s="79" t="s">
        <v>895</v>
      </c>
      <c r="D52" s="80" t="s">
        <v>194</v>
      </c>
      <c r="E52" s="81">
        <f>Source!CA28</f>
        <v>46</v>
      </c>
      <c r="F52" s="81"/>
      <c r="G52" s="81">
        <f>Source!AU28</f>
        <v>46</v>
      </c>
      <c r="H52" s="82"/>
      <c r="I52" s="80"/>
      <c r="J52" s="82"/>
      <c r="K52" s="80"/>
      <c r="L52" s="82">
        <f>SUM(BA43:BA53)</f>
        <v>712.64</v>
      </c>
    </row>
    <row r="53" spans="1:82" x14ac:dyDescent="0.2">
      <c r="A53" s="43"/>
      <c r="B53" s="43"/>
      <c r="C53" s="119" t="s">
        <v>896</v>
      </c>
      <c r="D53" s="119"/>
      <c r="E53" s="119"/>
      <c r="F53" s="119"/>
      <c r="G53" s="119"/>
      <c r="H53" s="119"/>
      <c r="I53" s="120">
        <f>IF(E43&lt;&gt;0,K53/E43, 0)</f>
        <v>69183.097345132745</v>
      </c>
      <c r="J53" s="120"/>
      <c r="K53" s="120">
        <f>L45+L51+L52+L46</f>
        <v>7817.6900000000005</v>
      </c>
      <c r="L53" s="120"/>
      <c r="AD53">
        <f>ROUND((Source!AT28/100)*((ROUND(SUMIF(SmtRes!AQ1:'SmtRes'!AQ2,"=1",SmtRes!AD1:'SmtRes'!AD2)*Source!I28, 2)+ROUND(SUMIF(SmtRes!AQ1:'SmtRes'!AQ2,"=1",SmtRes!AC1:'SmtRes'!AC2)*Source!I28, 2))), 2)</f>
        <v>55.89</v>
      </c>
      <c r="AE53">
        <f>ROUND((Source!AU28/100)*((ROUND(SUMIF(SmtRes!AQ1:'SmtRes'!AQ2,"=1",SmtRes!AD1:'SmtRes'!AD2)*Source!I28, 2)+ROUND(SUMIF(SmtRes!AQ1:'SmtRes'!AQ2,"=1",SmtRes!AC1:'SmtRes'!AC2)*Source!I28, 2))), 2)</f>
        <v>27.95</v>
      </c>
      <c r="AN53" s="22">
        <f>L45+L51+L52+L46</f>
        <v>7817.6900000000005</v>
      </c>
      <c r="AO53" s="22">
        <f>L45</f>
        <v>4130.57</v>
      </c>
      <c r="AQ53" t="s">
        <v>897</v>
      </c>
      <c r="AR53">
        <f>0</f>
        <v>0</v>
      </c>
      <c r="AT53" s="22">
        <f>L46</f>
        <v>1549.21</v>
      </c>
      <c r="AV53" t="s">
        <v>897</v>
      </c>
      <c r="AW53">
        <f>0</f>
        <v>0</v>
      </c>
      <c r="AZ53">
        <f>Source!X28</f>
        <v>1425.27</v>
      </c>
      <c r="BA53">
        <f>Source!Y28</f>
        <v>712.64</v>
      </c>
      <c r="CD53">
        <v>1</v>
      </c>
    </row>
    <row r="54" spans="1:82" ht="38.25" x14ac:dyDescent="0.2">
      <c r="A54" s="72" t="s">
        <v>28</v>
      </c>
      <c r="B54" s="62" t="s">
        <v>898</v>
      </c>
      <c r="C54" s="62" t="str">
        <f>Source!G29</f>
        <v>Разработка грунта вручную в траншеях глубиной до 2 м без креплений с откосами, группа грунтов: 2</v>
      </c>
      <c r="D54" s="73" t="str">
        <f>Source!H29</f>
        <v>100 м3</v>
      </c>
      <c r="E54" s="74">
        <f>Source!K29</f>
        <v>0.27</v>
      </c>
      <c r="F54" s="74"/>
      <c r="G54" s="74">
        <f>Source!I29</f>
        <v>0.27</v>
      </c>
      <c r="H54" s="75"/>
      <c r="I54" s="73"/>
      <c r="J54" s="75"/>
      <c r="K54" s="73"/>
      <c r="L54" s="75"/>
    </row>
    <row r="55" spans="1:82" x14ac:dyDescent="0.2">
      <c r="A55" s="43"/>
      <c r="B55" s="43"/>
      <c r="C55" s="60" t="str">
        <f>"Объем: "&amp;Source!I29&amp;"=27/"&amp;"100"</f>
        <v>Объем: 0,27=27/100</v>
      </c>
      <c r="D55" s="43"/>
      <c r="E55" s="43"/>
      <c r="F55" s="43"/>
      <c r="G55" s="43"/>
      <c r="H55" s="43"/>
      <c r="I55" s="43"/>
      <c r="J55" s="43"/>
      <c r="K55" s="43"/>
      <c r="L55" s="43"/>
    </row>
    <row r="56" spans="1:82" x14ac:dyDescent="0.2">
      <c r="A56" s="76"/>
      <c r="B56" s="74">
        <v>1</v>
      </c>
      <c r="C56" s="76" t="s">
        <v>899</v>
      </c>
      <c r="D56" s="73" t="s">
        <v>484</v>
      </c>
      <c r="E56" s="77"/>
      <c r="F56" s="74"/>
      <c r="G56" s="74">
        <f>Source!U29</f>
        <v>41.58</v>
      </c>
      <c r="H56" s="74"/>
      <c r="I56" s="74"/>
      <c r="J56" s="74"/>
      <c r="K56" s="74"/>
      <c r="L56" s="78">
        <f>SUM(L57:L57)-SUMIF(CE57:CE57, 1, L57:L57)</f>
        <v>13537.2</v>
      </c>
    </row>
    <row r="57" spans="1:82" x14ac:dyDescent="0.2">
      <c r="A57" s="62"/>
      <c r="B57" s="62" t="s">
        <v>490</v>
      </c>
      <c r="C57" s="79" t="s">
        <v>491</v>
      </c>
      <c r="D57" s="80" t="s">
        <v>484</v>
      </c>
      <c r="E57" s="81">
        <v>154</v>
      </c>
      <c r="F57" s="81"/>
      <c r="G57" s="81">
        <f>SmtRes!CX3</f>
        <v>41.58</v>
      </c>
      <c r="H57" s="82"/>
      <c r="I57" s="80"/>
      <c r="J57" s="82">
        <f>SmtRes!CZ3</f>
        <v>325.57</v>
      </c>
      <c r="K57" s="80"/>
      <c r="L57" s="82">
        <f>SmtRes!DI3</f>
        <v>13537.2</v>
      </c>
    </row>
    <row r="58" spans="1:82" x14ac:dyDescent="0.2">
      <c r="A58" s="62"/>
      <c r="B58" s="62"/>
      <c r="C58" s="61" t="s">
        <v>394</v>
      </c>
      <c r="D58" s="73"/>
      <c r="E58" s="74"/>
      <c r="F58" s="74"/>
      <c r="G58" s="74"/>
      <c r="H58" s="75"/>
      <c r="I58" s="73"/>
      <c r="J58" s="75"/>
      <c r="K58" s="73"/>
      <c r="L58" s="75">
        <f>L56</f>
        <v>13537.2</v>
      </c>
    </row>
    <row r="59" spans="1:82" x14ac:dyDescent="0.2">
      <c r="A59" s="62"/>
      <c r="B59" s="62"/>
      <c r="C59" s="62" t="s">
        <v>893</v>
      </c>
      <c r="D59" s="73"/>
      <c r="E59" s="74"/>
      <c r="F59" s="74"/>
      <c r="G59" s="74"/>
      <c r="H59" s="75"/>
      <c r="I59" s="73"/>
      <c r="J59" s="75"/>
      <c r="K59" s="73"/>
      <c r="L59" s="75">
        <f>SUM(AR54:AR62)+SUM(AS54:AS62)+SUM(AT54:AT62)+SUM(AU54:AU62)+SUM(AV54:AV62)</f>
        <v>13537.2</v>
      </c>
    </row>
    <row r="60" spans="1:82" ht="25.5" x14ac:dyDescent="0.2">
      <c r="A60" s="62"/>
      <c r="B60" s="62" t="s">
        <v>34</v>
      </c>
      <c r="C60" s="62" t="s">
        <v>900</v>
      </c>
      <c r="D60" s="73" t="s">
        <v>194</v>
      </c>
      <c r="E60" s="74">
        <f>Source!BZ29</f>
        <v>89</v>
      </c>
      <c r="F60" s="74"/>
      <c r="G60" s="74">
        <f>Source!AT29</f>
        <v>89</v>
      </c>
      <c r="H60" s="75"/>
      <c r="I60" s="73"/>
      <c r="J60" s="75"/>
      <c r="K60" s="73"/>
      <c r="L60" s="75">
        <f>SUM(AZ54:AZ62)</f>
        <v>12048.11</v>
      </c>
    </row>
    <row r="61" spans="1:82" ht="25.5" x14ac:dyDescent="0.2">
      <c r="A61" s="79"/>
      <c r="B61" s="79" t="s">
        <v>35</v>
      </c>
      <c r="C61" s="79" t="s">
        <v>901</v>
      </c>
      <c r="D61" s="80" t="s">
        <v>194</v>
      </c>
      <c r="E61" s="81">
        <f>Source!CA29</f>
        <v>40</v>
      </c>
      <c r="F61" s="81"/>
      <c r="G61" s="81">
        <f>Source!AU29</f>
        <v>40</v>
      </c>
      <c r="H61" s="82"/>
      <c r="I61" s="80"/>
      <c r="J61" s="82"/>
      <c r="K61" s="80"/>
      <c r="L61" s="82">
        <f>SUM(BA54:BA62)</f>
        <v>5414.88</v>
      </c>
    </row>
    <row r="62" spans="1:82" x14ac:dyDescent="0.2">
      <c r="A62" s="43"/>
      <c r="B62" s="43"/>
      <c r="C62" s="119" t="s">
        <v>896</v>
      </c>
      <c r="D62" s="119"/>
      <c r="E62" s="119"/>
      <c r="F62" s="119"/>
      <c r="G62" s="119"/>
      <c r="H62" s="119"/>
      <c r="I62" s="120">
        <f>IF(E54&lt;&gt;0,K62/E54, 0)</f>
        <v>114815.51851851853</v>
      </c>
      <c r="J62" s="120"/>
      <c r="K62" s="120">
        <f>L56+L60+L61</f>
        <v>31000.190000000002</v>
      </c>
      <c r="L62" s="120"/>
      <c r="AD62">
        <f>ROUND((Source!AT29/100)*((ROUND(SUMIF(SmtRes!AQ3:'SmtRes'!AQ3,"=1",SmtRes!AD3:'SmtRes'!AD3)*Source!I29, 2)+ROUND(SUMIF(SmtRes!AQ3:'SmtRes'!AQ3,"=1",SmtRes!AC3:'SmtRes'!AC3)*Source!I29, 2))), 2)</f>
        <v>78.23</v>
      </c>
      <c r="AE62">
        <f>ROUND((Source!AU29/100)*((ROUND(SUMIF(SmtRes!AQ3:'SmtRes'!AQ3,"=1",SmtRes!AD3:'SmtRes'!AD3)*Source!I29, 2)+ROUND(SUMIF(SmtRes!AQ3:'SmtRes'!AQ3,"=1",SmtRes!AC3:'SmtRes'!AC3)*Source!I29, 2))), 2)</f>
        <v>35.159999999999997</v>
      </c>
      <c r="AN62" s="22">
        <f>L56+L60+L61</f>
        <v>31000.190000000002</v>
      </c>
      <c r="AO62">
        <f>0</f>
        <v>0</v>
      </c>
      <c r="AQ62" t="s">
        <v>897</v>
      </c>
      <c r="AR62" s="22">
        <f>L56</f>
        <v>13537.2</v>
      </c>
      <c r="AT62">
        <f>0</f>
        <v>0</v>
      </c>
      <c r="AV62" t="s">
        <v>897</v>
      </c>
      <c r="AW62">
        <f>0</f>
        <v>0</v>
      </c>
      <c r="AZ62">
        <f>Source!X29</f>
        <v>12048.11</v>
      </c>
      <c r="BA62">
        <f>Source!Y29</f>
        <v>5414.88</v>
      </c>
      <c r="CD62">
        <v>1</v>
      </c>
    </row>
    <row r="63" spans="1:82" ht="25.5" x14ac:dyDescent="0.2">
      <c r="A63" s="72" t="s">
        <v>36</v>
      </c>
      <c r="B63" s="62" t="s">
        <v>902</v>
      </c>
      <c r="C63" s="62" t="str">
        <f>Source!G30</f>
        <v>Устройство основания под трубопроводы: песчаного</v>
      </c>
      <c r="D63" s="73" t="str">
        <f>Source!H30</f>
        <v>10 м3</v>
      </c>
      <c r="E63" s="74">
        <f>Source!K30</f>
        <v>2.0299999999999998</v>
      </c>
      <c r="F63" s="74"/>
      <c r="G63" s="74">
        <f>Source!I30</f>
        <v>2.0299999999999998</v>
      </c>
      <c r="H63" s="75"/>
      <c r="I63" s="73"/>
      <c r="J63" s="75"/>
      <c r="K63" s="73"/>
      <c r="L63" s="75"/>
    </row>
    <row r="64" spans="1:82" x14ac:dyDescent="0.2">
      <c r="A64" s="43"/>
      <c r="B64" s="43"/>
      <c r="C64" s="60" t="str">
        <f>"Объем: "&amp;Source!I30&amp;"=20,3/"&amp;"10"</f>
        <v>Объем: 2,03=20,3/10</v>
      </c>
      <c r="D64" s="43"/>
      <c r="E64" s="43"/>
      <c r="F64" s="43"/>
      <c r="G64" s="43"/>
      <c r="H64" s="43"/>
      <c r="I64" s="43"/>
      <c r="J64" s="43"/>
      <c r="K64" s="43"/>
      <c r="L64" s="43"/>
    </row>
    <row r="65" spans="1:83" x14ac:dyDescent="0.2">
      <c r="A65" s="76"/>
      <c r="B65" s="74">
        <v>1</v>
      </c>
      <c r="C65" s="76" t="s">
        <v>899</v>
      </c>
      <c r="D65" s="73" t="s">
        <v>484</v>
      </c>
      <c r="E65" s="77"/>
      <c r="F65" s="74"/>
      <c r="G65" s="74">
        <f>Source!U30</f>
        <v>20.706</v>
      </c>
      <c r="H65" s="74"/>
      <c r="I65" s="74"/>
      <c r="J65" s="74"/>
      <c r="K65" s="74"/>
      <c r="L65" s="78">
        <f>SUM(L66:L66)-SUMIF(CE66:CE66, 1, L66:L66)</f>
        <v>7050.6</v>
      </c>
    </row>
    <row r="66" spans="1:83" x14ac:dyDescent="0.2">
      <c r="A66" s="62"/>
      <c r="B66" s="62" t="s">
        <v>492</v>
      </c>
      <c r="C66" s="62" t="s">
        <v>493</v>
      </c>
      <c r="D66" s="73" t="s">
        <v>484</v>
      </c>
      <c r="E66" s="74">
        <v>10.199999999999999</v>
      </c>
      <c r="F66" s="74"/>
      <c r="G66" s="74">
        <f>SmtRes!CX4</f>
        <v>20.706</v>
      </c>
      <c r="H66" s="75"/>
      <c r="I66" s="73"/>
      <c r="J66" s="75">
        <f>SmtRes!CZ4</f>
        <v>340.51</v>
      </c>
      <c r="K66" s="73"/>
      <c r="L66" s="75">
        <f>SmtRes!DI4</f>
        <v>7050.6</v>
      </c>
    </row>
    <row r="67" spans="1:83" x14ac:dyDescent="0.2">
      <c r="A67" s="76"/>
      <c r="B67" s="74">
        <v>2</v>
      </c>
      <c r="C67" s="76" t="s">
        <v>890</v>
      </c>
      <c r="D67" s="73"/>
      <c r="E67" s="77"/>
      <c r="F67" s="74"/>
      <c r="G67" s="74"/>
      <c r="H67" s="74"/>
      <c r="I67" s="74"/>
      <c r="J67" s="74"/>
      <c r="K67" s="74"/>
      <c r="L67" s="78">
        <f>SUM(L68:L70)-SUMIF(CE68:CE70, 1, L68:L70)</f>
        <v>1092.5099999999998</v>
      </c>
    </row>
    <row r="68" spans="1:83" x14ac:dyDescent="0.2">
      <c r="A68" s="76"/>
      <c r="B68" s="74"/>
      <c r="C68" s="76" t="s">
        <v>892</v>
      </c>
      <c r="D68" s="73" t="s">
        <v>484</v>
      </c>
      <c r="E68" s="77"/>
      <c r="F68" s="74"/>
      <c r="G68" s="74">
        <f>Source!V30</f>
        <v>0.64959999999999996</v>
      </c>
      <c r="H68" s="74"/>
      <c r="I68" s="74"/>
      <c r="J68" s="74"/>
      <c r="K68" s="74"/>
      <c r="L68" s="78">
        <f>SUMIF(CE69:CE70, 1, L69:L70)</f>
        <v>298.8</v>
      </c>
      <c r="CE68">
        <v>1</v>
      </c>
    </row>
    <row r="69" spans="1:83" ht="51" x14ac:dyDescent="0.2">
      <c r="A69" s="62"/>
      <c r="B69" s="62" t="s">
        <v>494</v>
      </c>
      <c r="C69" s="62" t="s">
        <v>496</v>
      </c>
      <c r="D69" s="73" t="s">
        <v>488</v>
      </c>
      <c r="E69" s="74">
        <v>0.32</v>
      </c>
      <c r="F69" s="74"/>
      <c r="G69" s="74">
        <f>SmtRes!CX6</f>
        <v>0.64959999999999996</v>
      </c>
      <c r="H69" s="75"/>
      <c r="I69" s="73"/>
      <c r="J69" s="75">
        <f>SmtRes!CZ6</f>
        <v>1681.82</v>
      </c>
      <c r="K69" s="73"/>
      <c r="L69" s="75">
        <f>SmtRes!DG6</f>
        <v>1092.51</v>
      </c>
    </row>
    <row r="70" spans="1:83" x14ac:dyDescent="0.2">
      <c r="A70" s="62"/>
      <c r="B70" s="62" t="s">
        <v>497</v>
      </c>
      <c r="C70" s="62" t="s">
        <v>903</v>
      </c>
      <c r="D70" s="73" t="s">
        <v>484</v>
      </c>
      <c r="E70" s="74">
        <f>SmtRes!DO6*SmtRes!AT6</f>
        <v>0.32</v>
      </c>
      <c r="F70" s="74"/>
      <c r="G70" s="74">
        <f>ROUND(E70*G63, 7)</f>
        <v>0.64959999999999996</v>
      </c>
      <c r="H70" s="75"/>
      <c r="I70" s="73"/>
      <c r="J70" s="75">
        <f>ROUND(SmtRes!AG6/SmtRes!DO6, 2)</f>
        <v>459.98</v>
      </c>
      <c r="K70" s="73"/>
      <c r="L70" s="75">
        <f>SmtRes!DH6</f>
        <v>298.8</v>
      </c>
      <c r="CE70">
        <v>1</v>
      </c>
    </row>
    <row r="71" spans="1:83" x14ac:dyDescent="0.2">
      <c r="A71" s="62"/>
      <c r="B71" s="62"/>
      <c r="C71" s="79"/>
      <c r="D71" s="80"/>
      <c r="E71" s="81"/>
      <c r="F71" s="81"/>
      <c r="G71" s="81"/>
      <c r="H71" s="82"/>
      <c r="I71" s="80"/>
      <c r="J71" s="82"/>
      <c r="K71" s="80"/>
      <c r="L71" s="82"/>
    </row>
    <row r="72" spans="1:83" x14ac:dyDescent="0.2">
      <c r="A72" s="62"/>
      <c r="B72" s="62"/>
      <c r="C72" s="61" t="s">
        <v>394</v>
      </c>
      <c r="D72" s="73"/>
      <c r="E72" s="74"/>
      <c r="F72" s="74"/>
      <c r="G72" s="74"/>
      <c r="H72" s="75"/>
      <c r="I72" s="73"/>
      <c r="J72" s="75"/>
      <c r="K72" s="73"/>
      <c r="L72" s="75">
        <f>L65+L67+L68</f>
        <v>8441.91</v>
      </c>
    </row>
    <row r="73" spans="1:83" x14ac:dyDescent="0.2">
      <c r="A73" s="62"/>
      <c r="B73" s="62"/>
      <c r="C73" s="62" t="s">
        <v>893</v>
      </c>
      <c r="D73" s="73"/>
      <c r="E73" s="74"/>
      <c r="F73" s="74"/>
      <c r="G73" s="74"/>
      <c r="H73" s="75"/>
      <c r="I73" s="73"/>
      <c r="J73" s="75"/>
      <c r="K73" s="73"/>
      <c r="L73" s="75">
        <f>SUM(AR63:AR76)+SUM(AS63:AS76)+SUM(AT63:AT76)+SUM(AU63:AU76)+SUM(AV63:AV76)</f>
        <v>7349.4000000000005</v>
      </c>
    </row>
    <row r="74" spans="1:83" ht="38.25" x14ac:dyDescent="0.2">
      <c r="A74" s="62"/>
      <c r="B74" s="62" t="s">
        <v>43</v>
      </c>
      <c r="C74" s="62" t="s">
        <v>904</v>
      </c>
      <c r="D74" s="73" t="s">
        <v>194</v>
      </c>
      <c r="E74" s="74">
        <f>Source!BZ30</f>
        <v>117</v>
      </c>
      <c r="F74" s="74"/>
      <c r="G74" s="74">
        <f>Source!AT30</f>
        <v>117</v>
      </c>
      <c r="H74" s="75"/>
      <c r="I74" s="73"/>
      <c r="J74" s="75"/>
      <c r="K74" s="73"/>
      <c r="L74" s="75">
        <f>SUM(AZ63:AZ76)</f>
        <v>8598.7999999999993</v>
      </c>
    </row>
    <row r="75" spans="1:83" ht="38.25" x14ac:dyDescent="0.2">
      <c r="A75" s="79"/>
      <c r="B75" s="79" t="s">
        <v>44</v>
      </c>
      <c r="C75" s="79" t="s">
        <v>905</v>
      </c>
      <c r="D75" s="80" t="s">
        <v>194</v>
      </c>
      <c r="E75" s="81">
        <f>Source!CA30</f>
        <v>74</v>
      </c>
      <c r="F75" s="81"/>
      <c r="G75" s="81">
        <f>Source!AU30</f>
        <v>74</v>
      </c>
      <c r="H75" s="82"/>
      <c r="I75" s="80"/>
      <c r="J75" s="82"/>
      <c r="K75" s="80"/>
      <c r="L75" s="82">
        <f>SUM(BA63:BA76)</f>
        <v>5438.56</v>
      </c>
    </row>
    <row r="76" spans="1:83" x14ac:dyDescent="0.2">
      <c r="A76" s="43"/>
      <c r="B76" s="43"/>
      <c r="C76" s="119" t="s">
        <v>896</v>
      </c>
      <c r="D76" s="119"/>
      <c r="E76" s="119"/>
      <c r="F76" s="119"/>
      <c r="G76" s="119"/>
      <c r="H76" s="119"/>
      <c r="I76" s="120">
        <f>IF(E63&lt;&gt;0,K76/E63, 0)</f>
        <v>11073.532019704435</v>
      </c>
      <c r="J76" s="120"/>
      <c r="K76" s="120">
        <f>L65+L67+L74+L75+L68</f>
        <v>22479.27</v>
      </c>
      <c r="L76" s="120"/>
      <c r="AD76">
        <f>ROUND((Source!AT30/100)*((ROUND(SUMIF(SmtRes!AQ4:'SmtRes'!AQ6,"=1",SmtRes!AD4:'SmtRes'!AD6)*Source!I30, 2)+ROUND(SUMIF(SmtRes!AQ4:'SmtRes'!AQ6,"=1",SmtRes!AC4:'SmtRes'!AC6)*Source!I30, 2))), 2)</f>
        <v>1901.25</v>
      </c>
      <c r="AE76">
        <f>ROUND((Source!AU30/100)*((ROUND(SUMIF(SmtRes!AQ4:'SmtRes'!AQ6,"=1",SmtRes!AD4:'SmtRes'!AD6)*Source!I30, 2)+ROUND(SUMIF(SmtRes!AQ4:'SmtRes'!AQ6,"=1",SmtRes!AC4:'SmtRes'!AC6)*Source!I30, 2))), 2)</f>
        <v>1202.5</v>
      </c>
      <c r="AN76" s="22">
        <f>L65+L67+L74+L75+L68</f>
        <v>22479.27</v>
      </c>
      <c r="AO76" s="22">
        <f>L67</f>
        <v>1092.5099999999998</v>
      </c>
      <c r="AQ76" t="s">
        <v>897</v>
      </c>
      <c r="AR76" s="22">
        <f>L65</f>
        <v>7050.6</v>
      </c>
      <c r="AT76" s="22">
        <f>L68</f>
        <v>298.8</v>
      </c>
      <c r="AV76" t="s">
        <v>897</v>
      </c>
      <c r="AW76">
        <f>0</f>
        <v>0</v>
      </c>
      <c r="AZ76">
        <f>Source!X30</f>
        <v>8598.7999999999993</v>
      </c>
      <c r="BA76">
        <f>Source!Y30</f>
        <v>5438.56</v>
      </c>
      <c r="CD76">
        <v>1</v>
      </c>
    </row>
    <row r="77" spans="1:83" x14ac:dyDescent="0.2">
      <c r="A77" s="83" t="s">
        <v>45</v>
      </c>
      <c r="B77" s="79" t="str">
        <f>Source!F31</f>
        <v>02.1.01.02-0003</v>
      </c>
      <c r="C77" s="79" t="str">
        <f>Source!G31</f>
        <v>Грунт песчаный (пескогрунт)</v>
      </c>
      <c r="D77" s="80" t="str">
        <f>Source!H31</f>
        <v>м3</v>
      </c>
      <c r="E77" s="81">
        <f>Source!K31</f>
        <v>20.3</v>
      </c>
      <c r="F77" s="81"/>
      <c r="G77" s="81">
        <f>Source!I31</f>
        <v>20.3</v>
      </c>
      <c r="H77" s="82">
        <f>Source!AL31</f>
        <v>514.19000000000005</v>
      </c>
      <c r="I77" s="80">
        <f>IF(Source!BC31&lt;&gt; 0, Source!BC31, 1)</f>
        <v>1.06</v>
      </c>
      <c r="J77" s="82">
        <f>ROUND(H77*I77, 2)</f>
        <v>545.04</v>
      </c>
      <c r="K77" s="80"/>
      <c r="L77" s="82">
        <f>Source!P31</f>
        <v>11064.31</v>
      </c>
    </row>
    <row r="78" spans="1:83" x14ac:dyDescent="0.2">
      <c r="A78" s="43"/>
      <c r="B78" s="43"/>
      <c r="C78" s="119" t="s">
        <v>896</v>
      </c>
      <c r="D78" s="119"/>
      <c r="E78" s="119"/>
      <c r="F78" s="119"/>
      <c r="G78" s="119"/>
      <c r="H78" s="119"/>
      <c r="I78" s="120">
        <f>IF(E77&lt;&gt;0,K78/E77, 0)</f>
        <v>545.03990147783247</v>
      </c>
      <c r="J78" s="120"/>
      <c r="K78" s="120">
        <f>L77</f>
        <v>11064.31</v>
      </c>
      <c r="L78" s="120"/>
      <c r="AD78">
        <f>ROUND((Source!AT31/100)*((ROUND(ROUND(Source!AO31,2)*Source!I31, 2)+ROUND(ROUND(Source!AN31,2)*Source!I31, 2))), 2)</f>
        <v>0</v>
      </c>
      <c r="AE78">
        <f>ROUND((Source!AU31/100)*((ROUND(ROUND(Source!AO31,2)*Source!I31, 2)+ROUND(ROUND(Source!AN31,2)*Source!I31, 2))), 2)</f>
        <v>0</v>
      </c>
      <c r="AN78" s="22">
        <f>L77</f>
        <v>11064.31</v>
      </c>
      <c r="AO78">
        <f>0</f>
        <v>0</v>
      </c>
      <c r="AQ78" t="s">
        <v>897</v>
      </c>
      <c r="AR78">
        <f>0</f>
        <v>0</v>
      </c>
      <c r="AT78">
        <f>0</f>
        <v>0</v>
      </c>
      <c r="AV78" t="s">
        <v>897</v>
      </c>
      <c r="AW78" s="22">
        <f>L77</f>
        <v>11064.31</v>
      </c>
      <c r="AZ78">
        <f>Source!X31</f>
        <v>0</v>
      </c>
      <c r="BA78">
        <f>Source!Y31</f>
        <v>0</v>
      </c>
      <c r="CD78">
        <v>1</v>
      </c>
    </row>
    <row r="79" spans="1:83" ht="51" x14ac:dyDescent="0.2">
      <c r="A79" s="72" t="s">
        <v>53</v>
      </c>
      <c r="B79" s="62" t="s">
        <v>906</v>
      </c>
      <c r="C79" s="62" t="str">
        <f>Source!G32</f>
        <v>Засыпка траншей и котлованов с перемещением грунта до 5 м бульдозерами мощностью: 59 кВт (80 л.с.), группа грунтов 2</v>
      </c>
      <c r="D79" s="73" t="str">
        <f>Source!H32</f>
        <v>1000 м3</v>
      </c>
      <c r="E79" s="74">
        <f>Source!K32</f>
        <v>0.11600000000000001</v>
      </c>
      <c r="F79" s="74"/>
      <c r="G79" s="74">
        <f>Source!I32</f>
        <v>0.11600000000000001</v>
      </c>
      <c r="H79" s="75"/>
      <c r="I79" s="73"/>
      <c r="J79" s="75"/>
      <c r="K79" s="73"/>
      <c r="L79" s="75"/>
    </row>
    <row r="80" spans="1:83" x14ac:dyDescent="0.2">
      <c r="A80" s="43"/>
      <c r="B80" s="43"/>
      <c r="C80" s="60" t="str">
        <f>"Объем: "&amp;Source!I32&amp;"=116/"&amp;"1000"</f>
        <v>Объем: 0,116=116/1000</v>
      </c>
      <c r="D80" s="43"/>
      <c r="E80" s="43"/>
      <c r="F80" s="43"/>
      <c r="G80" s="43"/>
      <c r="H80" s="43"/>
      <c r="I80" s="43"/>
      <c r="J80" s="43"/>
      <c r="K80" s="43"/>
      <c r="L80" s="43"/>
    </row>
    <row r="81" spans="1:83" x14ac:dyDescent="0.2">
      <c r="A81" s="76"/>
      <c r="B81" s="74">
        <v>2</v>
      </c>
      <c r="C81" s="76" t="s">
        <v>890</v>
      </c>
      <c r="D81" s="73"/>
      <c r="E81" s="77"/>
      <c r="F81" s="74"/>
      <c r="G81" s="74"/>
      <c r="H81" s="74"/>
      <c r="I81" s="74"/>
      <c r="J81" s="74"/>
      <c r="K81" s="74"/>
      <c r="L81" s="78">
        <f>SUM(L82:L84)-SUMIF(CE82:CE84, 1, L82:L84)</f>
        <v>1091.7599999999998</v>
      </c>
    </row>
    <row r="82" spans="1:83" x14ac:dyDescent="0.2">
      <c r="A82" s="76"/>
      <c r="B82" s="74"/>
      <c r="C82" s="76" t="s">
        <v>892</v>
      </c>
      <c r="D82" s="73" t="s">
        <v>484</v>
      </c>
      <c r="E82" s="77"/>
      <c r="F82" s="74"/>
      <c r="G82" s="74">
        <f>Source!V32</f>
        <v>0.93496000000000001</v>
      </c>
      <c r="H82" s="74"/>
      <c r="I82" s="74"/>
      <c r="J82" s="74"/>
      <c r="K82" s="74"/>
      <c r="L82" s="78">
        <f>SUMIF(CE83:CE84, 1, L83:L84)</f>
        <v>430.06</v>
      </c>
      <c r="CE82">
        <v>1</v>
      </c>
    </row>
    <row r="83" spans="1:83" x14ac:dyDescent="0.2">
      <c r="A83" s="62"/>
      <c r="B83" s="62" t="s">
        <v>498</v>
      </c>
      <c r="C83" s="62" t="s">
        <v>500</v>
      </c>
      <c r="D83" s="73" t="s">
        <v>488</v>
      </c>
      <c r="E83" s="74">
        <v>8.06</v>
      </c>
      <c r="F83" s="74"/>
      <c r="G83" s="74">
        <f>SmtRes!CX8</f>
        <v>0.93496000000000001</v>
      </c>
      <c r="H83" s="75">
        <f>SmtRes!CZ8</f>
        <v>828.16</v>
      </c>
      <c r="I83" s="73">
        <f>SmtRes!AJ8</f>
        <v>1.41</v>
      </c>
      <c r="J83" s="75">
        <f>ROUND(H83*I83, 2)</f>
        <v>1167.71</v>
      </c>
      <c r="K83" s="73"/>
      <c r="L83" s="75">
        <f>SmtRes!DG8</f>
        <v>1091.76</v>
      </c>
    </row>
    <row r="84" spans="1:83" x14ac:dyDescent="0.2">
      <c r="A84" s="62"/>
      <c r="B84" s="62" t="s">
        <v>497</v>
      </c>
      <c r="C84" s="79" t="s">
        <v>903</v>
      </c>
      <c r="D84" s="80" t="s">
        <v>484</v>
      </c>
      <c r="E84" s="81">
        <f>SmtRes!DO8*SmtRes!AT8</f>
        <v>8.06</v>
      </c>
      <c r="F84" s="81"/>
      <c r="G84" s="81">
        <f>ROUND(E84*G79, 7)</f>
        <v>0.93496000000000001</v>
      </c>
      <c r="H84" s="82"/>
      <c r="I84" s="80"/>
      <c r="J84" s="82">
        <f>ROUND(SmtRes!AG8/SmtRes!DO8, 2)</f>
        <v>459.98</v>
      </c>
      <c r="K84" s="80"/>
      <c r="L84" s="82">
        <f>SmtRes!DH8</f>
        <v>430.06</v>
      </c>
      <c r="CE84">
        <v>1</v>
      </c>
    </row>
    <row r="85" spans="1:83" x14ac:dyDescent="0.2">
      <c r="A85" s="62"/>
      <c r="B85" s="62"/>
      <c r="C85" s="61" t="s">
        <v>394</v>
      </c>
      <c r="D85" s="73"/>
      <c r="E85" s="74"/>
      <c r="F85" s="74"/>
      <c r="G85" s="74"/>
      <c r="H85" s="75"/>
      <c r="I85" s="73"/>
      <c r="J85" s="75"/>
      <c r="K85" s="73"/>
      <c r="L85" s="75">
        <f>L81+L82</f>
        <v>1521.8199999999997</v>
      </c>
    </row>
    <row r="86" spans="1:83" x14ac:dyDescent="0.2">
      <c r="A86" s="62"/>
      <c r="B86" s="62"/>
      <c r="C86" s="62" t="s">
        <v>893</v>
      </c>
      <c r="D86" s="73"/>
      <c r="E86" s="74"/>
      <c r="F86" s="74"/>
      <c r="G86" s="74"/>
      <c r="H86" s="75"/>
      <c r="I86" s="73"/>
      <c r="J86" s="75"/>
      <c r="K86" s="73"/>
      <c r="L86" s="75">
        <f>SUM(AR79:AR89)+SUM(AS79:AS89)+SUM(AT79:AT89)+SUM(AU79:AU89)+SUM(AV79:AV89)</f>
        <v>430.06</v>
      </c>
    </row>
    <row r="87" spans="1:83" ht="25.5" x14ac:dyDescent="0.2">
      <c r="A87" s="62"/>
      <c r="B87" s="62" t="s">
        <v>26</v>
      </c>
      <c r="C87" s="62" t="s">
        <v>894</v>
      </c>
      <c r="D87" s="73" t="s">
        <v>194</v>
      </c>
      <c r="E87" s="74">
        <f>Source!BZ32</f>
        <v>92</v>
      </c>
      <c r="F87" s="74"/>
      <c r="G87" s="74">
        <f>Source!AT32</f>
        <v>92</v>
      </c>
      <c r="H87" s="75"/>
      <c r="I87" s="73"/>
      <c r="J87" s="75"/>
      <c r="K87" s="73"/>
      <c r="L87" s="75">
        <f>SUM(AZ79:AZ89)</f>
        <v>395.66</v>
      </c>
    </row>
    <row r="88" spans="1:83" ht="25.5" x14ac:dyDescent="0.2">
      <c r="A88" s="79"/>
      <c r="B88" s="79" t="s">
        <v>27</v>
      </c>
      <c r="C88" s="79" t="s">
        <v>895</v>
      </c>
      <c r="D88" s="80" t="s">
        <v>194</v>
      </c>
      <c r="E88" s="81">
        <f>Source!CA32</f>
        <v>46</v>
      </c>
      <c r="F88" s="81"/>
      <c r="G88" s="81">
        <f>Source!AU32</f>
        <v>46</v>
      </c>
      <c r="H88" s="82"/>
      <c r="I88" s="80"/>
      <c r="J88" s="82"/>
      <c r="K88" s="80"/>
      <c r="L88" s="82">
        <f>SUM(BA79:BA89)</f>
        <v>197.83</v>
      </c>
    </row>
    <row r="89" spans="1:83" x14ac:dyDescent="0.2">
      <c r="A89" s="43"/>
      <c r="B89" s="43"/>
      <c r="C89" s="119" t="s">
        <v>896</v>
      </c>
      <c r="D89" s="119"/>
      <c r="E89" s="119"/>
      <c r="F89" s="119"/>
      <c r="G89" s="119"/>
      <c r="H89" s="119"/>
      <c r="I89" s="120">
        <f>IF(E79&lt;&gt;0,K89/E79, 0)</f>
        <v>18235.431034482757</v>
      </c>
      <c r="J89" s="120"/>
      <c r="K89" s="120">
        <f>L81+L87+L88+L82</f>
        <v>2115.31</v>
      </c>
      <c r="L89" s="120"/>
      <c r="AD89">
        <f>ROUND((Source!AT32/100)*((ROUND(SUMIF(SmtRes!AQ7:'SmtRes'!AQ8,"=1",SmtRes!AD7:'SmtRes'!AD8)*Source!I32, 2)+ROUND(SUMIF(SmtRes!AQ7:'SmtRes'!AQ8,"=1",SmtRes!AC7:'SmtRes'!AC8)*Source!I32, 2))), 2)</f>
        <v>49.09</v>
      </c>
      <c r="AE89">
        <f>ROUND((Source!AU32/100)*((ROUND(SUMIF(SmtRes!AQ7:'SmtRes'!AQ8,"=1",SmtRes!AD7:'SmtRes'!AD8)*Source!I32, 2)+ROUND(SUMIF(SmtRes!AQ7:'SmtRes'!AQ8,"=1",SmtRes!AC7:'SmtRes'!AC8)*Source!I32, 2))), 2)</f>
        <v>24.55</v>
      </c>
      <c r="AN89" s="22">
        <f>L81+L87+L88+L82</f>
        <v>2115.31</v>
      </c>
      <c r="AO89" s="22">
        <f>L81</f>
        <v>1091.7599999999998</v>
      </c>
      <c r="AQ89" t="s">
        <v>897</v>
      </c>
      <c r="AR89">
        <f>0</f>
        <v>0</v>
      </c>
      <c r="AT89" s="22">
        <f>L82</f>
        <v>430.06</v>
      </c>
      <c r="AV89" t="s">
        <v>897</v>
      </c>
      <c r="AW89">
        <f>0</f>
        <v>0</v>
      </c>
      <c r="AZ89">
        <f>Source!X32</f>
        <v>395.66</v>
      </c>
      <c r="BA89">
        <f>Source!Y32</f>
        <v>197.83</v>
      </c>
      <c r="CD89">
        <v>1</v>
      </c>
    </row>
    <row r="90" spans="1:83" ht="25.5" x14ac:dyDescent="0.2">
      <c r="A90" s="72" t="s">
        <v>57</v>
      </c>
      <c r="B90" s="62" t="s">
        <v>907</v>
      </c>
      <c r="C90" s="62" t="str">
        <f>Source!G33</f>
        <v>Засыпка вручную траншей, пазух котлованов и ям, группа грунтов: 2</v>
      </c>
      <c r="D90" s="73" t="str">
        <f>Source!H33</f>
        <v>100 м3</v>
      </c>
      <c r="E90" s="74">
        <f>Source!K33</f>
        <v>0.1</v>
      </c>
      <c r="F90" s="74"/>
      <c r="G90" s="74">
        <f>Source!I33</f>
        <v>0.1</v>
      </c>
      <c r="H90" s="75"/>
      <c r="I90" s="73"/>
      <c r="J90" s="75"/>
      <c r="K90" s="73"/>
      <c r="L90" s="75"/>
    </row>
    <row r="91" spans="1:83" x14ac:dyDescent="0.2">
      <c r="A91" s="43"/>
      <c r="B91" s="43"/>
      <c r="C91" s="60" t="str">
        <f>"Объем: "&amp;Source!I33&amp;"=10/"&amp;"100"</f>
        <v>Объем: 0,1=10/100</v>
      </c>
      <c r="D91" s="43"/>
      <c r="E91" s="43"/>
      <c r="F91" s="43"/>
      <c r="G91" s="43"/>
      <c r="H91" s="43"/>
      <c r="I91" s="43"/>
      <c r="J91" s="43"/>
      <c r="K91" s="43"/>
      <c r="L91" s="43"/>
    </row>
    <row r="92" spans="1:83" x14ac:dyDescent="0.2">
      <c r="A92" s="76"/>
      <c r="B92" s="74">
        <v>1</v>
      </c>
      <c r="C92" s="76" t="s">
        <v>899</v>
      </c>
      <c r="D92" s="73" t="s">
        <v>484</v>
      </c>
      <c r="E92" s="77"/>
      <c r="F92" s="74"/>
      <c r="G92" s="74">
        <f>Source!U33</f>
        <v>9.7200000000000006</v>
      </c>
      <c r="H92" s="74"/>
      <c r="I92" s="74"/>
      <c r="J92" s="74"/>
      <c r="K92" s="74"/>
      <c r="L92" s="78">
        <f>SUM(L93:L93)-SUMIF(CE93:CE93, 1, L93:L93)</f>
        <v>3033.9</v>
      </c>
    </row>
    <row r="93" spans="1:83" x14ac:dyDescent="0.2">
      <c r="A93" s="62"/>
      <c r="B93" s="62" t="s">
        <v>501</v>
      </c>
      <c r="C93" s="79" t="s">
        <v>502</v>
      </c>
      <c r="D93" s="80" t="s">
        <v>484</v>
      </c>
      <c r="E93" s="81">
        <v>97.2</v>
      </c>
      <c r="F93" s="81"/>
      <c r="G93" s="81">
        <f>SmtRes!CX9</f>
        <v>9.7200000000000006</v>
      </c>
      <c r="H93" s="82"/>
      <c r="I93" s="80"/>
      <c r="J93" s="82">
        <f>SmtRes!CZ9</f>
        <v>312.13</v>
      </c>
      <c r="K93" s="80"/>
      <c r="L93" s="82">
        <f>SmtRes!DI9</f>
        <v>3033.9</v>
      </c>
    </row>
    <row r="94" spans="1:83" x14ac:dyDescent="0.2">
      <c r="A94" s="62"/>
      <c r="B94" s="62"/>
      <c r="C94" s="61" t="s">
        <v>394</v>
      </c>
      <c r="D94" s="73"/>
      <c r="E94" s="74"/>
      <c r="F94" s="74"/>
      <c r="G94" s="74"/>
      <c r="H94" s="75"/>
      <c r="I94" s="73"/>
      <c r="J94" s="75"/>
      <c r="K94" s="73"/>
      <c r="L94" s="75">
        <f>L92</f>
        <v>3033.9</v>
      </c>
    </row>
    <row r="95" spans="1:83" x14ac:dyDescent="0.2">
      <c r="A95" s="62"/>
      <c r="B95" s="62"/>
      <c r="C95" s="62" t="s">
        <v>893</v>
      </c>
      <c r="D95" s="73"/>
      <c r="E95" s="74"/>
      <c r="F95" s="74"/>
      <c r="G95" s="74"/>
      <c r="H95" s="75"/>
      <c r="I95" s="73"/>
      <c r="J95" s="75"/>
      <c r="K95" s="73"/>
      <c r="L95" s="75">
        <f>SUM(AR90:AR98)+SUM(AS90:AS98)+SUM(AT90:AT98)+SUM(AU90:AU98)+SUM(AV90:AV98)</f>
        <v>3033.9</v>
      </c>
    </row>
    <row r="96" spans="1:83" ht="25.5" x14ac:dyDescent="0.2">
      <c r="A96" s="62"/>
      <c r="B96" s="62" t="s">
        <v>34</v>
      </c>
      <c r="C96" s="62" t="s">
        <v>900</v>
      </c>
      <c r="D96" s="73" t="s">
        <v>194</v>
      </c>
      <c r="E96" s="74">
        <f>Source!BZ33</f>
        <v>89</v>
      </c>
      <c r="F96" s="74"/>
      <c r="G96" s="74">
        <f>Source!AT33</f>
        <v>89</v>
      </c>
      <c r="H96" s="75"/>
      <c r="I96" s="73"/>
      <c r="J96" s="75"/>
      <c r="K96" s="73"/>
      <c r="L96" s="75">
        <f>SUM(AZ90:AZ98)</f>
        <v>2700.17</v>
      </c>
    </row>
    <row r="97" spans="1:82" ht="25.5" x14ac:dyDescent="0.2">
      <c r="A97" s="79"/>
      <c r="B97" s="79" t="s">
        <v>35</v>
      </c>
      <c r="C97" s="79" t="s">
        <v>901</v>
      </c>
      <c r="D97" s="80" t="s">
        <v>194</v>
      </c>
      <c r="E97" s="81">
        <f>Source!CA33</f>
        <v>40</v>
      </c>
      <c r="F97" s="81"/>
      <c r="G97" s="81">
        <f>Source!AU33</f>
        <v>40</v>
      </c>
      <c r="H97" s="82"/>
      <c r="I97" s="80"/>
      <c r="J97" s="82"/>
      <c r="K97" s="80"/>
      <c r="L97" s="82">
        <f>SUM(BA90:BA98)</f>
        <v>1213.56</v>
      </c>
    </row>
    <row r="98" spans="1:82" x14ac:dyDescent="0.2">
      <c r="A98" s="43"/>
      <c r="B98" s="43"/>
      <c r="C98" s="119" t="s">
        <v>896</v>
      </c>
      <c r="D98" s="119"/>
      <c r="E98" s="119"/>
      <c r="F98" s="119"/>
      <c r="G98" s="119"/>
      <c r="H98" s="119"/>
      <c r="I98" s="120">
        <f>IF(E90&lt;&gt;0,K98/E90, 0)</f>
        <v>69476.299999999988</v>
      </c>
      <c r="J98" s="120"/>
      <c r="K98" s="120">
        <f>L92+L96+L97</f>
        <v>6947.6299999999992</v>
      </c>
      <c r="L98" s="120"/>
      <c r="AD98">
        <f>ROUND((Source!AT33/100)*((ROUND(SUMIF(SmtRes!AQ9:'SmtRes'!AQ9,"=1",SmtRes!AD9:'SmtRes'!AD9)*Source!I33, 2)+ROUND(SUMIF(SmtRes!AQ9:'SmtRes'!AQ9,"=1",SmtRes!AC9:'SmtRes'!AC9)*Source!I33, 2))), 2)</f>
        <v>27.78</v>
      </c>
      <c r="AE98">
        <f>ROUND((Source!AU33/100)*((ROUND(SUMIF(SmtRes!AQ9:'SmtRes'!AQ9,"=1",SmtRes!AD9:'SmtRes'!AD9)*Source!I33, 2)+ROUND(SUMIF(SmtRes!AQ9:'SmtRes'!AQ9,"=1",SmtRes!AC9:'SmtRes'!AC9)*Source!I33, 2))), 2)</f>
        <v>12.48</v>
      </c>
      <c r="AN98" s="22">
        <f>L92+L96+L97</f>
        <v>6947.6299999999992</v>
      </c>
      <c r="AO98">
        <f>0</f>
        <v>0</v>
      </c>
      <c r="AQ98" t="s">
        <v>897</v>
      </c>
      <c r="AR98" s="22">
        <f>L92</f>
        <v>3033.9</v>
      </c>
      <c r="AT98">
        <f>0</f>
        <v>0</v>
      </c>
      <c r="AV98" t="s">
        <v>897</v>
      </c>
      <c r="AW98">
        <f>0</f>
        <v>0</v>
      </c>
      <c r="AZ98">
        <f>Source!X33</f>
        <v>2700.17</v>
      </c>
      <c r="BA98">
        <f>Source!Y33</f>
        <v>1213.56</v>
      </c>
      <c r="CD98">
        <v>1</v>
      </c>
    </row>
    <row r="99" spans="1:82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</row>
    <row r="100" spans="1:82" x14ac:dyDescent="0.2">
      <c r="A100" s="84"/>
      <c r="B100" s="61"/>
      <c r="C100" s="118" t="s">
        <v>908</v>
      </c>
      <c r="D100" s="118"/>
      <c r="E100" s="118"/>
      <c r="F100" s="118"/>
      <c r="G100" s="118"/>
      <c r="H100" s="118"/>
      <c r="I100" s="78"/>
      <c r="J100" s="84"/>
      <c r="K100" s="85"/>
      <c r="L100" s="78">
        <f>L102+L103+L109+L113</f>
        <v>43278.920000000006</v>
      </c>
    </row>
    <row r="101" spans="1:82" x14ac:dyDescent="0.2">
      <c r="A101" s="86"/>
      <c r="B101" s="62"/>
      <c r="C101" s="124" t="s">
        <v>909</v>
      </c>
      <c r="D101" s="124"/>
      <c r="E101" s="124"/>
      <c r="F101" s="124"/>
      <c r="G101" s="124"/>
      <c r="H101" s="124"/>
      <c r="I101" s="75"/>
      <c r="J101" s="86"/>
      <c r="K101" s="74"/>
      <c r="L101" s="75"/>
    </row>
    <row r="102" spans="1:82" x14ac:dyDescent="0.2">
      <c r="A102" s="86"/>
      <c r="B102" s="62"/>
      <c r="C102" s="124" t="s">
        <v>910</v>
      </c>
      <c r="D102" s="124"/>
      <c r="E102" s="124"/>
      <c r="F102" s="124"/>
      <c r="G102" s="124"/>
      <c r="H102" s="124"/>
      <c r="I102" s="75"/>
      <c r="J102" s="86"/>
      <c r="K102" s="74"/>
      <c r="L102" s="75">
        <f>SUM(AR42:AR98)</f>
        <v>23621.700000000004</v>
      </c>
    </row>
    <row r="103" spans="1:82" hidden="1" x14ac:dyDescent="0.2">
      <c r="A103" s="86"/>
      <c r="B103" s="62"/>
      <c r="C103" s="124" t="s">
        <v>911</v>
      </c>
      <c r="D103" s="124"/>
      <c r="E103" s="124"/>
      <c r="F103" s="124"/>
      <c r="G103" s="124"/>
      <c r="H103" s="124"/>
      <c r="I103" s="75"/>
      <c r="J103" s="86"/>
      <c r="K103" s="74"/>
      <c r="L103" s="75">
        <f>L105+L108+L107</f>
        <v>8592.91</v>
      </c>
    </row>
    <row r="104" spans="1:82" hidden="1" x14ac:dyDescent="0.2">
      <c r="A104" s="86"/>
      <c r="B104" s="62"/>
      <c r="C104" s="124" t="s">
        <v>912</v>
      </c>
      <c r="D104" s="124"/>
      <c r="E104" s="124"/>
      <c r="F104" s="124"/>
      <c r="G104" s="124"/>
      <c r="H104" s="124"/>
      <c r="I104" s="75"/>
      <c r="J104" s="86"/>
      <c r="K104" s="74"/>
      <c r="L104" s="75"/>
    </row>
    <row r="105" spans="1:82" x14ac:dyDescent="0.2">
      <c r="A105" s="86"/>
      <c r="B105" s="62"/>
      <c r="C105" s="124" t="s">
        <v>911</v>
      </c>
      <c r="D105" s="124"/>
      <c r="E105" s="124"/>
      <c r="F105" s="124"/>
      <c r="G105" s="124"/>
      <c r="H105" s="124"/>
      <c r="I105" s="75"/>
      <c r="J105" s="86"/>
      <c r="K105" s="74"/>
      <c r="L105" s="75">
        <f>SUM(AO42:AO98)</f>
        <v>6314.84</v>
      </c>
    </row>
    <row r="106" spans="1:82" hidden="1" x14ac:dyDescent="0.2">
      <c r="A106" s="86"/>
      <c r="B106" s="62"/>
      <c r="C106" s="124" t="s">
        <v>913</v>
      </c>
      <c r="D106" s="124"/>
      <c r="E106" s="124"/>
      <c r="F106" s="124"/>
      <c r="G106" s="124"/>
      <c r="H106" s="124"/>
      <c r="I106" s="75"/>
      <c r="J106" s="86"/>
      <c r="K106" s="74"/>
      <c r="L106" s="75"/>
    </row>
    <row r="107" spans="1:82" x14ac:dyDescent="0.2">
      <c r="A107" s="86"/>
      <c r="B107" s="62"/>
      <c r="C107" s="124" t="s">
        <v>933</v>
      </c>
      <c r="D107" s="124"/>
      <c r="E107" s="124"/>
      <c r="F107" s="124"/>
      <c r="G107" s="124"/>
      <c r="H107" s="124"/>
      <c r="I107" s="75"/>
      <c r="J107" s="86"/>
      <c r="K107" s="74"/>
      <c r="L107" s="75">
        <f>SUM(AT42:AT98)</f>
        <v>2278.0700000000002</v>
      </c>
    </row>
    <row r="108" spans="1:82" hidden="1" x14ac:dyDescent="0.2">
      <c r="A108" s="86"/>
      <c r="B108" s="62"/>
      <c r="C108" s="124" t="s">
        <v>914</v>
      </c>
      <c r="D108" s="124"/>
      <c r="E108" s="124"/>
      <c r="F108" s="124"/>
      <c r="G108" s="124"/>
      <c r="H108" s="124"/>
      <c r="I108" s="75"/>
      <c r="J108" s="86"/>
      <c r="K108" s="74"/>
      <c r="L108" s="75">
        <f>SUM(AV42:AV98)</f>
        <v>0</v>
      </c>
    </row>
    <row r="109" spans="1:82" x14ac:dyDescent="0.2">
      <c r="A109" s="86"/>
      <c r="B109" s="62"/>
      <c r="C109" s="124" t="s">
        <v>915</v>
      </c>
      <c r="D109" s="124"/>
      <c r="E109" s="124"/>
      <c r="F109" s="124"/>
      <c r="G109" s="124"/>
      <c r="H109" s="124"/>
      <c r="I109" s="75"/>
      <c r="J109" s="86"/>
      <c r="K109" s="74"/>
      <c r="L109" s="75">
        <f>L111+L112</f>
        <v>11064.31</v>
      </c>
    </row>
    <row r="110" spans="1:82" x14ac:dyDescent="0.2">
      <c r="A110" s="86"/>
      <c r="B110" s="62"/>
      <c r="C110" s="124" t="s">
        <v>912</v>
      </c>
      <c r="D110" s="124"/>
      <c r="E110" s="124"/>
      <c r="F110" s="124"/>
      <c r="G110" s="124"/>
      <c r="H110" s="124"/>
      <c r="I110" s="75"/>
      <c r="J110" s="86"/>
      <c r="K110" s="74"/>
      <c r="L110" s="75"/>
    </row>
    <row r="111" spans="1:82" x14ac:dyDescent="0.2">
      <c r="A111" s="86"/>
      <c r="B111" s="62"/>
      <c r="C111" s="124" t="s">
        <v>916</v>
      </c>
      <c r="D111" s="124"/>
      <c r="E111" s="124"/>
      <c r="F111" s="124"/>
      <c r="G111" s="124"/>
      <c r="H111" s="124"/>
      <c r="I111" s="75"/>
      <c r="J111" s="86"/>
      <c r="K111" s="74"/>
      <c r="L111" s="75">
        <f>SUM(AW42:AW98)-SUM(BK42:BK98)</f>
        <v>11064.31</v>
      </c>
    </row>
    <row r="112" spans="1:82" hidden="1" x14ac:dyDescent="0.2">
      <c r="A112" s="86"/>
      <c r="B112" s="62"/>
      <c r="C112" s="124" t="s">
        <v>917</v>
      </c>
      <c r="D112" s="124"/>
      <c r="E112" s="124"/>
      <c r="F112" s="124"/>
      <c r="G112" s="124"/>
      <c r="H112" s="124"/>
      <c r="I112" s="75"/>
      <c r="J112" s="86"/>
      <c r="K112" s="74"/>
      <c r="L112" s="75">
        <f>SUM(BC42:BC98)</f>
        <v>0</v>
      </c>
    </row>
    <row r="113" spans="1:12" hidden="1" x14ac:dyDescent="0.2">
      <c r="A113" s="86"/>
      <c r="B113" s="62"/>
      <c r="C113" s="124" t="s">
        <v>918</v>
      </c>
      <c r="D113" s="124"/>
      <c r="E113" s="124"/>
      <c r="F113" s="124"/>
      <c r="G113" s="124"/>
      <c r="H113" s="124"/>
      <c r="I113" s="75"/>
      <c r="J113" s="86"/>
      <c r="K113" s="74"/>
      <c r="L113" s="75">
        <f>SUM(BB42:BB98)</f>
        <v>0</v>
      </c>
    </row>
    <row r="114" spans="1:12" x14ac:dyDescent="0.2">
      <c r="A114" s="86"/>
      <c r="B114" s="62"/>
      <c r="C114" s="124" t="s">
        <v>919</v>
      </c>
      <c r="D114" s="124"/>
      <c r="E114" s="124"/>
      <c r="F114" s="124"/>
      <c r="G114" s="124"/>
      <c r="H114" s="124"/>
      <c r="I114" s="75"/>
      <c r="J114" s="86"/>
      <c r="K114" s="74"/>
      <c r="L114" s="75">
        <f>SUM(AR42:AR98)+SUM(AT42:AT98)+SUM(AV42:AV98)</f>
        <v>25899.770000000004</v>
      </c>
    </row>
    <row r="115" spans="1:12" x14ac:dyDescent="0.2">
      <c r="A115" s="86"/>
      <c r="B115" s="62"/>
      <c r="C115" s="124" t="s">
        <v>920</v>
      </c>
      <c r="D115" s="124"/>
      <c r="E115" s="124"/>
      <c r="F115" s="124"/>
      <c r="G115" s="124"/>
      <c r="H115" s="124"/>
      <c r="I115" s="75"/>
      <c r="J115" s="86"/>
      <c r="K115" s="74"/>
      <c r="L115" s="75">
        <f>SUM(AZ42:AZ98)</f>
        <v>25168.010000000002</v>
      </c>
    </row>
    <row r="116" spans="1:12" x14ac:dyDescent="0.2">
      <c r="A116" s="86"/>
      <c r="B116" s="62"/>
      <c r="C116" s="124" t="s">
        <v>921</v>
      </c>
      <c r="D116" s="124"/>
      <c r="E116" s="124"/>
      <c r="F116" s="124"/>
      <c r="G116" s="124"/>
      <c r="H116" s="124"/>
      <c r="I116" s="75"/>
      <c r="J116" s="86"/>
      <c r="K116" s="74"/>
      <c r="L116" s="75">
        <f>SUM(BA42:BA98)</f>
        <v>12977.470000000001</v>
      </c>
    </row>
    <row r="117" spans="1:12" hidden="1" x14ac:dyDescent="0.2">
      <c r="A117" s="86"/>
      <c r="B117" s="62"/>
      <c r="C117" s="124" t="s">
        <v>922</v>
      </c>
      <c r="D117" s="124"/>
      <c r="E117" s="124"/>
      <c r="F117" s="124"/>
      <c r="G117" s="124"/>
      <c r="H117" s="124"/>
      <c r="I117" s="75"/>
      <c r="J117" s="86"/>
      <c r="K117" s="74"/>
      <c r="L117" s="75">
        <f>L119+L120</f>
        <v>0</v>
      </c>
    </row>
    <row r="118" spans="1:12" hidden="1" x14ac:dyDescent="0.2">
      <c r="A118" s="86"/>
      <c r="B118" s="62"/>
      <c r="C118" s="124" t="s">
        <v>909</v>
      </c>
      <c r="D118" s="124"/>
      <c r="E118" s="124"/>
      <c r="F118" s="124"/>
      <c r="G118" s="124"/>
      <c r="H118" s="124"/>
      <c r="I118" s="75"/>
      <c r="J118" s="86"/>
      <c r="K118" s="74"/>
      <c r="L118" s="75"/>
    </row>
    <row r="119" spans="1:12" hidden="1" x14ac:dyDescent="0.2">
      <c r="A119" s="86"/>
      <c r="B119" s="62"/>
      <c r="C119" s="124" t="s">
        <v>923</v>
      </c>
      <c r="D119" s="124"/>
      <c r="E119" s="124"/>
      <c r="F119" s="124"/>
      <c r="G119" s="124"/>
      <c r="H119" s="124"/>
      <c r="I119" s="75"/>
      <c r="J119" s="86"/>
      <c r="K119" s="74"/>
      <c r="L119" s="75">
        <f>SUM(BK42:BK98)</f>
        <v>0</v>
      </c>
    </row>
    <row r="120" spans="1:12" hidden="1" x14ac:dyDescent="0.2">
      <c r="A120" s="86"/>
      <c r="B120" s="62"/>
      <c r="C120" s="124" t="s">
        <v>924</v>
      </c>
      <c r="D120" s="124"/>
      <c r="E120" s="124"/>
      <c r="F120" s="124"/>
      <c r="G120" s="124"/>
      <c r="H120" s="124"/>
      <c r="I120" s="75"/>
      <c r="J120" s="86"/>
      <c r="K120" s="74"/>
      <c r="L120" s="75">
        <f>SUM(BD42:BD98)</f>
        <v>0</v>
      </c>
    </row>
    <row r="121" spans="1:12" hidden="1" x14ac:dyDescent="0.2">
      <c r="A121" s="86"/>
      <c r="B121" s="62"/>
      <c r="C121" s="124" t="s">
        <v>925</v>
      </c>
      <c r="D121" s="124"/>
      <c r="E121" s="124"/>
      <c r="F121" s="124"/>
      <c r="G121" s="124"/>
      <c r="H121" s="124"/>
      <c r="I121" s="75"/>
      <c r="J121" s="86"/>
      <c r="K121" s="74"/>
      <c r="L121" s="75"/>
    </row>
    <row r="122" spans="1:12" hidden="1" x14ac:dyDescent="0.2">
      <c r="A122" s="86"/>
      <c r="B122" s="62"/>
      <c r="C122" s="124" t="s">
        <v>925</v>
      </c>
      <c r="D122" s="124"/>
      <c r="E122" s="124"/>
      <c r="F122" s="124"/>
      <c r="G122" s="124"/>
      <c r="H122" s="124"/>
      <c r="I122" s="75"/>
      <c r="J122" s="86"/>
      <c r="K122" s="74"/>
      <c r="L122" s="75">
        <f>SUM(BQ42:BQ98)</f>
        <v>0</v>
      </c>
    </row>
    <row r="123" spans="1:12" hidden="1" x14ac:dyDescent="0.2">
      <c r="A123" s="86"/>
      <c r="B123" s="62"/>
      <c r="C123" s="124" t="s">
        <v>926</v>
      </c>
      <c r="D123" s="124"/>
      <c r="E123" s="124"/>
      <c r="F123" s="124"/>
      <c r="G123" s="124"/>
      <c r="H123" s="124"/>
      <c r="I123" s="75"/>
      <c r="J123" s="86"/>
      <c r="K123" s="74"/>
      <c r="L123" s="75">
        <f>SUM(BO42:BO98)</f>
        <v>0</v>
      </c>
    </row>
    <row r="124" spans="1:12" x14ac:dyDescent="0.2">
      <c r="A124" s="84"/>
      <c r="B124" s="61"/>
      <c r="C124" s="118" t="s">
        <v>927</v>
      </c>
      <c r="D124" s="118"/>
      <c r="E124" s="118"/>
      <c r="F124" s="118"/>
      <c r="G124" s="118"/>
      <c r="H124" s="118"/>
      <c r="I124" s="78"/>
      <c r="J124" s="84"/>
      <c r="K124" s="85"/>
      <c r="L124" s="78">
        <f>L100+L115+L116+L117+L122+L123</f>
        <v>81424.400000000009</v>
      </c>
    </row>
    <row r="125" spans="1:12" x14ac:dyDescent="0.2">
      <c r="A125" s="86"/>
      <c r="B125" s="62"/>
      <c r="C125" s="124" t="s">
        <v>928</v>
      </c>
      <c r="D125" s="124"/>
      <c r="E125" s="124"/>
      <c r="F125" s="124"/>
      <c r="G125" s="124"/>
      <c r="H125" s="124"/>
      <c r="I125" s="75"/>
      <c r="J125" s="86"/>
      <c r="K125" s="74"/>
      <c r="L125" s="75"/>
    </row>
    <row r="126" spans="1:12" hidden="1" x14ac:dyDescent="0.2">
      <c r="A126" s="86"/>
      <c r="B126" s="62"/>
      <c r="C126" s="124" t="s">
        <v>929</v>
      </c>
      <c r="D126" s="124"/>
      <c r="E126" s="124"/>
      <c r="F126" s="124"/>
      <c r="G126" s="124"/>
      <c r="H126" s="124"/>
      <c r="I126" s="75"/>
      <c r="J126" s="86"/>
      <c r="K126" s="74"/>
      <c r="L126" s="75">
        <f>SUM(AX42:AX98)</f>
        <v>0</v>
      </c>
    </row>
    <row r="127" spans="1:12" hidden="1" x14ac:dyDescent="0.2">
      <c r="A127" s="86"/>
      <c r="B127" s="62"/>
      <c r="C127" s="124" t="s">
        <v>930</v>
      </c>
      <c r="D127" s="124"/>
      <c r="E127" s="124"/>
      <c r="F127" s="124"/>
      <c r="G127" s="124"/>
      <c r="H127" s="124"/>
      <c r="I127" s="75"/>
      <c r="J127" s="86"/>
      <c r="K127" s="74"/>
      <c r="L127" s="75">
        <f>SUM(AY42:AY98)</f>
        <v>0</v>
      </c>
    </row>
    <row r="128" spans="1:12" x14ac:dyDescent="0.2">
      <c r="A128" s="86"/>
      <c r="B128" s="62"/>
      <c r="C128" s="124" t="s">
        <v>931</v>
      </c>
      <c r="D128" s="124"/>
      <c r="E128" s="124"/>
      <c r="F128" s="125"/>
      <c r="G128" s="77">
        <f>Source!F57</f>
        <v>72.006</v>
      </c>
      <c r="H128" s="86"/>
      <c r="I128" s="86"/>
      <c r="J128" s="86"/>
      <c r="K128" s="86"/>
      <c r="L128" s="86"/>
    </row>
    <row r="129" spans="1:83" x14ac:dyDescent="0.2">
      <c r="A129" s="86"/>
      <c r="B129" s="62"/>
      <c r="C129" s="124" t="s">
        <v>932</v>
      </c>
      <c r="D129" s="124"/>
      <c r="E129" s="124"/>
      <c r="F129" s="125"/>
      <c r="G129" s="77">
        <f>Source!F58</f>
        <v>4.4660599999999997</v>
      </c>
      <c r="H129" s="86"/>
      <c r="I129" s="86"/>
      <c r="J129" s="86"/>
      <c r="K129" s="86"/>
      <c r="L129" s="86"/>
    </row>
    <row r="130" spans="1:83" x14ac:dyDescent="0.2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</row>
    <row r="131" spans="1:83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83" x14ac:dyDescent="0.2">
      <c r="A132" s="118" t="s">
        <v>934</v>
      </c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</row>
    <row r="133" spans="1:83" ht="25.5" x14ac:dyDescent="0.2">
      <c r="A133" s="72" t="s">
        <v>116</v>
      </c>
      <c r="B133" s="62" t="s">
        <v>935</v>
      </c>
      <c r="C133" s="62" t="str">
        <f>Source!G69</f>
        <v>Надземная прокладка стальных газопроводов, диаметр газопровода: 50 мм</v>
      </c>
      <c r="D133" s="73" t="str">
        <f>Source!H69</f>
        <v>100 м</v>
      </c>
      <c r="E133" s="74">
        <f>Source!K69</f>
        <v>0.02</v>
      </c>
      <c r="F133" s="74"/>
      <c r="G133" s="74">
        <f>Source!I69</f>
        <v>0.02</v>
      </c>
      <c r="H133" s="75"/>
      <c r="I133" s="73"/>
      <c r="J133" s="75"/>
      <c r="K133" s="73"/>
      <c r="L133" s="75"/>
    </row>
    <row r="134" spans="1:83" x14ac:dyDescent="0.2">
      <c r="A134" s="43"/>
      <c r="B134" s="43"/>
      <c r="C134" s="60" t="str">
        <f>"Объем: "&amp;Source!I69&amp;"=2/"&amp;"100"</f>
        <v>Объем: 0,02=2/100</v>
      </c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83" x14ac:dyDescent="0.2">
      <c r="A135" s="76"/>
      <c r="B135" s="74">
        <v>1</v>
      </c>
      <c r="C135" s="76" t="s">
        <v>899</v>
      </c>
      <c r="D135" s="73" t="s">
        <v>484</v>
      </c>
      <c r="E135" s="77"/>
      <c r="F135" s="74"/>
      <c r="G135" s="74">
        <f>Source!U69</f>
        <v>0.41020000000000001</v>
      </c>
      <c r="H135" s="74"/>
      <c r="I135" s="74"/>
      <c r="J135" s="74"/>
      <c r="K135" s="74"/>
      <c r="L135" s="78">
        <f>SUM(L136:L136)-SUMIF(CE136:CE136, 1, L136:L136)</f>
        <v>153.15</v>
      </c>
    </row>
    <row r="136" spans="1:83" x14ac:dyDescent="0.2">
      <c r="A136" s="62"/>
      <c r="B136" s="62" t="s">
        <v>503</v>
      </c>
      <c r="C136" s="62" t="s">
        <v>504</v>
      </c>
      <c r="D136" s="73" t="s">
        <v>484</v>
      </c>
      <c r="E136" s="74">
        <v>20.51</v>
      </c>
      <c r="F136" s="74"/>
      <c r="G136" s="74">
        <f>SmtRes!CX10</f>
        <v>0.41020000000000001</v>
      </c>
      <c r="H136" s="75"/>
      <c r="I136" s="73"/>
      <c r="J136" s="75">
        <f>SmtRes!CZ10</f>
        <v>373.36</v>
      </c>
      <c r="K136" s="73"/>
      <c r="L136" s="75">
        <f>SmtRes!DI10</f>
        <v>153.15</v>
      </c>
    </row>
    <row r="137" spans="1:83" x14ac:dyDescent="0.2">
      <c r="A137" s="76"/>
      <c r="B137" s="74">
        <v>2</v>
      </c>
      <c r="C137" s="76" t="s">
        <v>890</v>
      </c>
      <c r="D137" s="73"/>
      <c r="E137" s="77"/>
      <c r="F137" s="74"/>
      <c r="G137" s="74"/>
      <c r="H137" s="74"/>
      <c r="I137" s="74"/>
      <c r="J137" s="74"/>
      <c r="K137" s="74"/>
      <c r="L137" s="78">
        <f>SUM(L138:L144)-SUMIF(CE138:CE144, 1, L138:L144)</f>
        <v>274.60000000000002</v>
      </c>
    </row>
    <row r="138" spans="1:83" x14ac:dyDescent="0.2">
      <c r="A138" s="76"/>
      <c r="B138" s="74"/>
      <c r="C138" s="76" t="s">
        <v>892</v>
      </c>
      <c r="D138" s="73" t="s">
        <v>484</v>
      </c>
      <c r="E138" s="77"/>
      <c r="F138" s="74"/>
      <c r="G138" s="74">
        <f>Source!V69</f>
        <v>0.2392</v>
      </c>
      <c r="H138" s="74"/>
      <c r="I138" s="74"/>
      <c r="J138" s="74"/>
      <c r="K138" s="74"/>
      <c r="L138" s="78">
        <f>SUMIF(CE139:CE144, 1, L139:L144)</f>
        <v>109.39999999999999</v>
      </c>
      <c r="CE138">
        <v>1</v>
      </c>
    </row>
    <row r="139" spans="1:83" ht="25.5" x14ac:dyDescent="0.2">
      <c r="A139" s="62"/>
      <c r="B139" s="62" t="s">
        <v>505</v>
      </c>
      <c r="C139" s="62" t="s">
        <v>507</v>
      </c>
      <c r="D139" s="73" t="s">
        <v>488</v>
      </c>
      <c r="E139" s="74">
        <v>11.44</v>
      </c>
      <c r="F139" s="74"/>
      <c r="G139" s="74">
        <f>SmtRes!CX12</f>
        <v>0.2288</v>
      </c>
      <c r="H139" s="75">
        <f>SmtRes!CZ12</f>
        <v>994.01</v>
      </c>
      <c r="I139" s="73">
        <f>SmtRes!AJ12</f>
        <v>1.18</v>
      </c>
      <c r="J139" s="75">
        <f>ROUND(H139*I139, 2)</f>
        <v>1172.93</v>
      </c>
      <c r="K139" s="73"/>
      <c r="L139" s="75">
        <f>SmtRes!DG12</f>
        <v>268.37</v>
      </c>
    </row>
    <row r="140" spans="1:83" x14ac:dyDescent="0.2">
      <c r="A140" s="62"/>
      <c r="B140" s="62" t="s">
        <v>497</v>
      </c>
      <c r="C140" s="62" t="s">
        <v>903</v>
      </c>
      <c r="D140" s="73" t="s">
        <v>484</v>
      </c>
      <c r="E140" s="74">
        <f>SmtRes!DO12*SmtRes!AT12</f>
        <v>11.44</v>
      </c>
      <c r="F140" s="74"/>
      <c r="G140" s="74">
        <f>ROUND(E140*G133, 7)</f>
        <v>0.2288</v>
      </c>
      <c r="H140" s="75"/>
      <c r="I140" s="73"/>
      <c r="J140" s="75">
        <f>ROUND(SmtRes!AG12/SmtRes!DO12, 2)</f>
        <v>459.98</v>
      </c>
      <c r="K140" s="73"/>
      <c r="L140" s="75">
        <f>SmtRes!DH12</f>
        <v>105.24</v>
      </c>
      <c r="CE140">
        <v>1</v>
      </c>
    </row>
    <row r="141" spans="1:83" ht="25.5" x14ac:dyDescent="0.2">
      <c r="A141" s="62"/>
      <c r="B141" s="62" t="s">
        <v>508</v>
      </c>
      <c r="C141" s="62" t="s">
        <v>510</v>
      </c>
      <c r="D141" s="73" t="s">
        <v>488</v>
      </c>
      <c r="E141" s="74">
        <v>2.0699999999999998</v>
      </c>
      <c r="F141" s="74"/>
      <c r="G141" s="74">
        <f>SmtRes!CX13</f>
        <v>4.1399999999999999E-2</v>
      </c>
      <c r="H141" s="75"/>
      <c r="I141" s="73"/>
      <c r="J141" s="75">
        <f>SmtRes!CZ13</f>
        <v>43.87</v>
      </c>
      <c r="K141" s="73"/>
      <c r="L141" s="75">
        <f>SmtRes!DG13</f>
        <v>1.82</v>
      </c>
    </row>
    <row r="142" spans="1:83" ht="51" x14ac:dyDescent="0.2">
      <c r="A142" s="62"/>
      <c r="B142" s="62" t="s">
        <v>511</v>
      </c>
      <c r="C142" s="62" t="s">
        <v>513</v>
      </c>
      <c r="D142" s="73" t="s">
        <v>488</v>
      </c>
      <c r="E142" s="74">
        <v>0.52</v>
      </c>
      <c r="F142" s="74"/>
      <c r="G142" s="74">
        <f>SmtRes!CX14</f>
        <v>1.04E-2</v>
      </c>
      <c r="H142" s="75"/>
      <c r="I142" s="73"/>
      <c r="J142" s="75">
        <f>SmtRes!CZ14</f>
        <v>417.12</v>
      </c>
      <c r="K142" s="73"/>
      <c r="L142" s="75">
        <f>SmtRes!DG14</f>
        <v>4.34</v>
      </c>
    </row>
    <row r="143" spans="1:83" x14ac:dyDescent="0.2">
      <c r="A143" s="62"/>
      <c r="B143" s="62" t="s">
        <v>514</v>
      </c>
      <c r="C143" s="62" t="s">
        <v>936</v>
      </c>
      <c r="D143" s="73" t="s">
        <v>484</v>
      </c>
      <c r="E143" s="74">
        <f>SmtRes!DO14*SmtRes!AT14</f>
        <v>0.52</v>
      </c>
      <c r="F143" s="74"/>
      <c r="G143" s="74">
        <f>ROUND(E143*G133, 7)</f>
        <v>1.04E-2</v>
      </c>
      <c r="H143" s="75"/>
      <c r="I143" s="73"/>
      <c r="J143" s="75">
        <f>ROUND(SmtRes!AG14/SmtRes!DO14, 2)</f>
        <v>400.24</v>
      </c>
      <c r="K143" s="73"/>
      <c r="L143" s="75">
        <f>SmtRes!DH14</f>
        <v>4.16</v>
      </c>
      <c r="CE143">
        <v>1</v>
      </c>
    </row>
    <row r="144" spans="1:83" ht="38.25" x14ac:dyDescent="0.2">
      <c r="A144" s="62"/>
      <c r="B144" s="62" t="s">
        <v>515</v>
      </c>
      <c r="C144" s="62" t="s">
        <v>517</v>
      </c>
      <c r="D144" s="73" t="s">
        <v>488</v>
      </c>
      <c r="E144" s="74">
        <v>0.52</v>
      </c>
      <c r="F144" s="74"/>
      <c r="G144" s="74">
        <f>SmtRes!CX15</f>
        <v>1.04E-2</v>
      </c>
      <c r="H144" s="75">
        <f>SmtRes!CZ15</f>
        <v>4.5199999999999996</v>
      </c>
      <c r="I144" s="73">
        <f>SmtRes!AJ15</f>
        <v>1.48</v>
      </c>
      <c r="J144" s="75">
        <f>ROUND(H144*I144, 2)</f>
        <v>6.69</v>
      </c>
      <c r="K144" s="73"/>
      <c r="L144" s="75">
        <f>SmtRes!DG15</f>
        <v>7.0000000000000007E-2</v>
      </c>
    </row>
    <row r="145" spans="1:82" x14ac:dyDescent="0.2">
      <c r="A145" s="76"/>
      <c r="B145" s="74">
        <v>4</v>
      </c>
      <c r="C145" s="76" t="s">
        <v>937</v>
      </c>
      <c r="D145" s="73"/>
      <c r="E145" s="77"/>
      <c r="F145" s="74"/>
      <c r="G145" s="74"/>
      <c r="H145" s="74"/>
      <c r="I145" s="74"/>
      <c r="J145" s="74"/>
      <c r="K145" s="74"/>
      <c r="L145" s="78">
        <f>SUM(L146:L153)-SUMIF(CE146:CE153, 1, L146:L153)</f>
        <v>38.46</v>
      </c>
    </row>
    <row r="146" spans="1:82" x14ac:dyDescent="0.2">
      <c r="A146" s="62"/>
      <c r="B146" s="62" t="s">
        <v>518</v>
      </c>
      <c r="C146" s="62" t="s">
        <v>520</v>
      </c>
      <c r="D146" s="73" t="s">
        <v>521</v>
      </c>
      <c r="E146" s="74">
        <v>1.3859999999999999</v>
      </c>
      <c r="F146" s="74"/>
      <c r="G146" s="74">
        <f>SmtRes!CX16</f>
        <v>2.7720000000000002E-2</v>
      </c>
      <c r="H146" s="75"/>
      <c r="I146" s="73"/>
      <c r="J146" s="75">
        <f>SmtRes!CZ16</f>
        <v>9.5500000000000007</v>
      </c>
      <c r="K146" s="73"/>
      <c r="L146" s="75">
        <f>SmtRes!DF16</f>
        <v>0.26</v>
      </c>
    </row>
    <row r="147" spans="1:82" ht="38.25" x14ac:dyDescent="0.2">
      <c r="A147" s="62"/>
      <c r="B147" s="62" t="s">
        <v>522</v>
      </c>
      <c r="C147" s="62" t="s">
        <v>524</v>
      </c>
      <c r="D147" s="73" t="s">
        <v>314</v>
      </c>
      <c r="E147" s="74">
        <v>0.7</v>
      </c>
      <c r="F147" s="74"/>
      <c r="G147" s="74">
        <f>SmtRes!CX17</f>
        <v>1.4E-2</v>
      </c>
      <c r="H147" s="75"/>
      <c r="I147" s="73"/>
      <c r="J147" s="75">
        <f>SmtRes!CZ17</f>
        <v>131.85</v>
      </c>
      <c r="K147" s="73"/>
      <c r="L147" s="75">
        <f>SmtRes!DF17</f>
        <v>1.85</v>
      </c>
    </row>
    <row r="148" spans="1:82" ht="25.5" x14ac:dyDescent="0.2">
      <c r="A148" s="62"/>
      <c r="B148" s="62" t="s">
        <v>525</v>
      </c>
      <c r="C148" s="62" t="s">
        <v>527</v>
      </c>
      <c r="D148" s="73" t="s">
        <v>243</v>
      </c>
      <c r="E148" s="74">
        <v>4.0000000000000002E-4</v>
      </c>
      <c r="F148" s="74"/>
      <c r="G148" s="74">
        <f>SmtRes!CX18</f>
        <v>7.9999999999999996E-6</v>
      </c>
      <c r="H148" s="75">
        <f>SmtRes!CZ18</f>
        <v>108495.2</v>
      </c>
      <c r="I148" s="73">
        <f>SmtRes!AI18</f>
        <v>1.1299999999999999</v>
      </c>
      <c r="J148" s="75">
        <f t="shared" ref="J148:J153" si="0">ROUND(H148*I148, 2)</f>
        <v>122599.58</v>
      </c>
      <c r="K148" s="73"/>
      <c r="L148" s="75">
        <f>SmtRes!DF18</f>
        <v>0.98</v>
      </c>
    </row>
    <row r="149" spans="1:82" x14ac:dyDescent="0.2">
      <c r="A149" s="62"/>
      <c r="B149" s="62" t="s">
        <v>528</v>
      </c>
      <c r="C149" s="62" t="s">
        <v>530</v>
      </c>
      <c r="D149" s="73" t="s">
        <v>314</v>
      </c>
      <c r="E149" s="74">
        <v>1</v>
      </c>
      <c r="F149" s="74"/>
      <c r="G149" s="74">
        <f>SmtRes!CX19</f>
        <v>0.02</v>
      </c>
      <c r="H149" s="75">
        <f>SmtRes!CZ19</f>
        <v>44.55</v>
      </c>
      <c r="I149" s="73">
        <f>SmtRes!AI19</f>
        <v>1.43</v>
      </c>
      <c r="J149" s="75">
        <f t="shared" si="0"/>
        <v>63.71</v>
      </c>
      <c r="K149" s="73"/>
      <c r="L149" s="75">
        <f>SmtRes!DF19</f>
        <v>1.27</v>
      </c>
    </row>
    <row r="150" spans="1:82" x14ac:dyDescent="0.2">
      <c r="A150" s="62"/>
      <c r="B150" s="62" t="s">
        <v>531</v>
      </c>
      <c r="C150" s="62" t="s">
        <v>533</v>
      </c>
      <c r="D150" s="73" t="s">
        <v>243</v>
      </c>
      <c r="E150" s="74">
        <v>1.4E-3</v>
      </c>
      <c r="F150" s="74"/>
      <c r="G150" s="74">
        <f>SmtRes!CX20</f>
        <v>2.8E-5</v>
      </c>
      <c r="H150" s="75">
        <f>SmtRes!CZ20</f>
        <v>74437.320000000007</v>
      </c>
      <c r="I150" s="73">
        <f>SmtRes!AI20</f>
        <v>1.41</v>
      </c>
      <c r="J150" s="75">
        <f t="shared" si="0"/>
        <v>104956.62</v>
      </c>
      <c r="K150" s="73"/>
      <c r="L150" s="75">
        <f>SmtRes!DF20</f>
        <v>2.94</v>
      </c>
    </row>
    <row r="151" spans="1:82" ht="25.5" x14ac:dyDescent="0.2">
      <c r="A151" s="62"/>
      <c r="B151" s="62" t="s">
        <v>534</v>
      </c>
      <c r="C151" s="62" t="s">
        <v>536</v>
      </c>
      <c r="D151" s="73" t="s">
        <v>243</v>
      </c>
      <c r="E151" s="74">
        <v>3.5999999999999999E-3</v>
      </c>
      <c r="F151" s="74"/>
      <c r="G151" s="74">
        <f>SmtRes!CX21</f>
        <v>7.2000000000000002E-5</v>
      </c>
      <c r="H151" s="75">
        <f>SmtRes!CZ21</f>
        <v>260763.78</v>
      </c>
      <c r="I151" s="73">
        <f>SmtRes!AI21</f>
        <v>1.33</v>
      </c>
      <c r="J151" s="75">
        <f t="shared" si="0"/>
        <v>346815.83</v>
      </c>
      <c r="K151" s="73"/>
      <c r="L151" s="75">
        <f>SmtRes!DF21</f>
        <v>24.97</v>
      </c>
    </row>
    <row r="152" spans="1:82" x14ac:dyDescent="0.2">
      <c r="A152" s="62"/>
      <c r="B152" s="62" t="s">
        <v>537</v>
      </c>
      <c r="C152" s="62" t="s">
        <v>539</v>
      </c>
      <c r="D152" s="73" t="s">
        <v>243</v>
      </c>
      <c r="E152" s="74">
        <v>2.2000000000000001E-4</v>
      </c>
      <c r="F152" s="74"/>
      <c r="G152" s="74">
        <f>SmtRes!CX22</f>
        <v>4.4000000000000002E-6</v>
      </c>
      <c r="H152" s="75">
        <f>SmtRes!CZ22</f>
        <v>75885.63</v>
      </c>
      <c r="I152" s="73">
        <f>SmtRes!AI22</f>
        <v>1.68</v>
      </c>
      <c r="J152" s="75">
        <f t="shared" si="0"/>
        <v>127487.86</v>
      </c>
      <c r="K152" s="73"/>
      <c r="L152" s="75">
        <f>SmtRes!DF22</f>
        <v>0.56000000000000005</v>
      </c>
    </row>
    <row r="153" spans="1:82" x14ac:dyDescent="0.2">
      <c r="A153" s="62"/>
      <c r="B153" s="62" t="s">
        <v>540</v>
      </c>
      <c r="C153" s="62" t="s">
        <v>542</v>
      </c>
      <c r="D153" s="73" t="s">
        <v>243</v>
      </c>
      <c r="E153" s="74">
        <v>1.6999999999999999E-3</v>
      </c>
      <c r="F153" s="74"/>
      <c r="G153" s="74">
        <f>SmtRes!CX23</f>
        <v>3.4E-5</v>
      </c>
      <c r="H153" s="75">
        <f>SmtRes!CZ23</f>
        <v>98526.45</v>
      </c>
      <c r="I153" s="73">
        <f>SmtRes!AI23</f>
        <v>1.68</v>
      </c>
      <c r="J153" s="75">
        <f t="shared" si="0"/>
        <v>165524.44</v>
      </c>
      <c r="K153" s="73"/>
      <c r="L153" s="75">
        <f>SmtRes!DF23</f>
        <v>5.63</v>
      </c>
    </row>
    <row r="154" spans="1:82" x14ac:dyDescent="0.2">
      <c r="A154" s="62"/>
      <c r="B154" s="62"/>
      <c r="C154" s="79"/>
      <c r="D154" s="80"/>
      <c r="E154" s="81"/>
      <c r="F154" s="81"/>
      <c r="G154" s="81"/>
      <c r="H154" s="82"/>
      <c r="I154" s="80"/>
      <c r="J154" s="82"/>
      <c r="K154" s="80"/>
      <c r="L154" s="82"/>
    </row>
    <row r="155" spans="1:82" x14ac:dyDescent="0.2">
      <c r="A155" s="62"/>
      <c r="B155" s="62"/>
      <c r="C155" s="61" t="s">
        <v>394</v>
      </c>
      <c r="D155" s="73"/>
      <c r="E155" s="74"/>
      <c r="F155" s="74"/>
      <c r="G155" s="74"/>
      <c r="H155" s="75"/>
      <c r="I155" s="73"/>
      <c r="J155" s="75"/>
      <c r="K155" s="73"/>
      <c r="L155" s="75">
        <f>L135+L137+L138+L145</f>
        <v>575.61</v>
      </c>
    </row>
    <row r="156" spans="1:82" ht="51" x14ac:dyDescent="0.2">
      <c r="A156" s="72" t="s">
        <v>938</v>
      </c>
      <c r="B156" s="62" t="str">
        <f>Source!F70</f>
        <v>23.5.02.02-0033</v>
      </c>
      <c r="C156" s="62" t="str">
        <f>Source!G70</f>
        <v>Трубы стальные электросварные прямошовные из стали марок Ст2, 10, наружный диаметр 57 мм, толщина стенки 3 мм</v>
      </c>
      <c r="D156" s="73" t="str">
        <f>Source!H70</f>
        <v>м</v>
      </c>
      <c r="E156" s="74">
        <f>SmtRes!AT24</f>
        <v>100</v>
      </c>
      <c r="F156" s="74"/>
      <c r="G156" s="74">
        <f>Source!I70</f>
        <v>2</v>
      </c>
      <c r="H156" s="75"/>
      <c r="I156" s="73"/>
      <c r="J156" s="75">
        <f>Source!AK70</f>
        <v>201.05</v>
      </c>
      <c r="K156" s="73"/>
      <c r="L156" s="75">
        <f>Source!P70</f>
        <v>402.1</v>
      </c>
      <c r="AD156">
        <f>ROUND((Source!AT70/100)*((ROUND(ROUND(Source!AO70,2)*Source!I70, 2)+ROUND(ROUND(Source!AN70,2)*Source!I70, 2))), 2)</f>
        <v>0</v>
      </c>
      <c r="AE156">
        <f>ROUND((Source!AU70/100)*((ROUND(ROUND(Source!AO70,2)*Source!I70, 2)+ROUND(ROUND(Source!AN70,2)*Source!I70, 2))), 2)</f>
        <v>0</v>
      </c>
      <c r="AN156">
        <f>L156</f>
        <v>402.1</v>
      </c>
      <c r="AW156">
        <f>L156</f>
        <v>402.1</v>
      </c>
      <c r="AZ156">
        <f>Source!X70</f>
        <v>0</v>
      </c>
      <c r="BA156">
        <f>Source!Y70</f>
        <v>0</v>
      </c>
      <c r="CD156">
        <v>1</v>
      </c>
    </row>
    <row r="157" spans="1:82" x14ac:dyDescent="0.2">
      <c r="A157" s="62"/>
      <c r="B157" s="62"/>
      <c r="C157" s="62" t="s">
        <v>893</v>
      </c>
      <c r="D157" s="73"/>
      <c r="E157" s="74"/>
      <c r="F157" s="74"/>
      <c r="G157" s="74"/>
      <c r="H157" s="75"/>
      <c r="I157" s="73"/>
      <c r="J157" s="75"/>
      <c r="K157" s="73"/>
      <c r="L157" s="75">
        <f>SUM(AR133:AR160)+SUM(AS133:AS160)+SUM(AT133:AT160)+SUM(AU133:AU160)+SUM(AV133:AV160)</f>
        <v>262.55</v>
      </c>
    </row>
    <row r="158" spans="1:82" ht="38.25" x14ac:dyDescent="0.2">
      <c r="A158" s="62"/>
      <c r="B158" s="62" t="s">
        <v>43</v>
      </c>
      <c r="C158" s="62" t="s">
        <v>904</v>
      </c>
      <c r="D158" s="73" t="s">
        <v>194</v>
      </c>
      <c r="E158" s="74">
        <f>Source!BZ69</f>
        <v>117</v>
      </c>
      <c r="F158" s="74"/>
      <c r="G158" s="74">
        <f>Source!AT69</f>
        <v>117</v>
      </c>
      <c r="H158" s="75"/>
      <c r="I158" s="73"/>
      <c r="J158" s="75"/>
      <c r="K158" s="73"/>
      <c r="L158" s="75">
        <f>SUM(AZ133:AZ160)</f>
        <v>307.18</v>
      </c>
    </row>
    <row r="159" spans="1:82" ht="38.25" x14ac:dyDescent="0.2">
      <c r="A159" s="79"/>
      <c r="B159" s="79" t="s">
        <v>44</v>
      </c>
      <c r="C159" s="79" t="s">
        <v>905</v>
      </c>
      <c r="D159" s="80" t="s">
        <v>194</v>
      </c>
      <c r="E159" s="81">
        <f>Source!CA69</f>
        <v>74</v>
      </c>
      <c r="F159" s="81"/>
      <c r="G159" s="81">
        <f>Source!AU69</f>
        <v>74</v>
      </c>
      <c r="H159" s="82"/>
      <c r="I159" s="80"/>
      <c r="J159" s="82"/>
      <c r="K159" s="80"/>
      <c r="L159" s="82">
        <f>SUM(BA133:BA160)</f>
        <v>194.29</v>
      </c>
    </row>
    <row r="160" spans="1:82" x14ac:dyDescent="0.2">
      <c r="A160" s="43"/>
      <c r="B160" s="43"/>
      <c r="C160" s="119" t="s">
        <v>896</v>
      </c>
      <c r="D160" s="119"/>
      <c r="E160" s="119"/>
      <c r="F160" s="119"/>
      <c r="G160" s="119"/>
      <c r="H160" s="119"/>
      <c r="I160" s="120">
        <f>IF(E133&lt;&gt;0,K160/E133, 0)</f>
        <v>73958.999999999985</v>
      </c>
      <c r="J160" s="120"/>
      <c r="K160" s="120">
        <f>L135+L137+L145+L158+L159+L138+SUM(L156:L156)</f>
        <v>1479.1799999999998</v>
      </c>
      <c r="L160" s="120"/>
      <c r="AD160">
        <f>ROUND((Source!AT69/100)*((ROUND(SUMIF(SmtRes!AQ10:'SmtRes'!AQ24,"=1",SmtRes!AD10:'SmtRes'!AD24)*Source!I69, 2)+ROUND(SUMIF(SmtRes!AQ10:'SmtRes'!AQ24,"=1",SmtRes!AC10:'SmtRes'!AC24)*Source!I69, 2))), 2)</f>
        <v>28.86</v>
      </c>
      <c r="AE160">
        <f>ROUND((Source!AU69/100)*((ROUND(SUMIF(SmtRes!AQ10:'SmtRes'!AQ24,"=1",SmtRes!AD10:'SmtRes'!AD24)*Source!I69, 2)+ROUND(SUMIF(SmtRes!AQ10:'SmtRes'!AQ24,"=1",SmtRes!AC10:'SmtRes'!AC24)*Source!I69, 2))), 2)</f>
        <v>18.260000000000002</v>
      </c>
      <c r="AN160" s="22">
        <f>L135+L137+L145+L158+L159+L138</f>
        <v>1077.08</v>
      </c>
      <c r="AO160" s="22">
        <f>L137</f>
        <v>274.60000000000002</v>
      </c>
      <c r="AQ160" t="s">
        <v>897</v>
      </c>
      <c r="AR160" s="22">
        <f>L135</f>
        <v>153.15</v>
      </c>
      <c r="AT160" s="22">
        <f>L138</f>
        <v>109.39999999999999</v>
      </c>
      <c r="AV160" t="s">
        <v>897</v>
      </c>
      <c r="AW160" s="22">
        <f>L145</f>
        <v>38.46</v>
      </c>
      <c r="AZ160">
        <f>Source!X69</f>
        <v>307.18</v>
      </c>
      <c r="BA160">
        <f>Source!Y69</f>
        <v>194.29</v>
      </c>
      <c r="CD160">
        <v>1</v>
      </c>
    </row>
    <row r="161" spans="1:83" ht="38.25" x14ac:dyDescent="0.2">
      <c r="A161" s="72" t="s">
        <v>127</v>
      </c>
      <c r="B161" s="62" t="s">
        <v>939</v>
      </c>
      <c r="C161" s="62" t="str">
        <f>Source!G71</f>
        <v>Монтаж крана стального фланцевого для надземной установки на стальных газопроводах диаметром: 50 мм</v>
      </c>
      <c r="D161" s="73" t="str">
        <f>Source!H71</f>
        <v>ШТ</v>
      </c>
      <c r="E161" s="74">
        <f>Source!K71</f>
        <v>1</v>
      </c>
      <c r="F161" s="74"/>
      <c r="G161" s="74">
        <f>Source!I71</f>
        <v>1</v>
      </c>
      <c r="H161" s="75"/>
      <c r="I161" s="73"/>
      <c r="J161" s="75"/>
      <c r="K161" s="73"/>
      <c r="L161" s="75"/>
    </row>
    <row r="162" spans="1:83" x14ac:dyDescent="0.2">
      <c r="A162" s="76"/>
      <c r="B162" s="74">
        <v>1</v>
      </c>
      <c r="C162" s="76" t="s">
        <v>899</v>
      </c>
      <c r="D162" s="73" t="s">
        <v>484</v>
      </c>
      <c r="E162" s="77"/>
      <c r="F162" s="74"/>
      <c r="G162" s="74">
        <f>Source!U71</f>
        <v>5.91</v>
      </c>
      <c r="H162" s="74"/>
      <c r="I162" s="74"/>
      <c r="J162" s="74"/>
      <c r="K162" s="74"/>
      <c r="L162" s="78">
        <f>SUM(L163:L163)-SUMIF(CE163:CE163, 1, L163:L163)</f>
        <v>2541.9499999999998</v>
      </c>
    </row>
    <row r="163" spans="1:83" x14ac:dyDescent="0.2">
      <c r="A163" s="62"/>
      <c r="B163" s="62" t="s">
        <v>543</v>
      </c>
      <c r="C163" s="62" t="s">
        <v>544</v>
      </c>
      <c r="D163" s="73" t="s">
        <v>484</v>
      </c>
      <c r="E163" s="74">
        <v>5.91</v>
      </c>
      <c r="F163" s="74"/>
      <c r="G163" s="74">
        <f>SmtRes!CX25</f>
        <v>5.91</v>
      </c>
      <c r="H163" s="75"/>
      <c r="I163" s="73"/>
      <c r="J163" s="75">
        <f>SmtRes!CZ25</f>
        <v>430.11</v>
      </c>
      <c r="K163" s="73"/>
      <c r="L163" s="75">
        <f>SmtRes!DI25</f>
        <v>2541.9499999999998</v>
      </c>
    </row>
    <row r="164" spans="1:83" x14ac:dyDescent="0.2">
      <c r="A164" s="76"/>
      <c r="B164" s="74">
        <v>2</v>
      </c>
      <c r="C164" s="76" t="s">
        <v>890</v>
      </c>
      <c r="D164" s="73"/>
      <c r="E164" s="77"/>
      <c r="F164" s="74"/>
      <c r="G164" s="74"/>
      <c r="H164" s="74"/>
      <c r="I164" s="74"/>
      <c r="J164" s="74"/>
      <c r="K164" s="74"/>
      <c r="L164" s="78">
        <f>SUM(L165:L169)-SUMIF(CE165:CE169, 1, L165:L169)</f>
        <v>203.84000000000003</v>
      </c>
    </row>
    <row r="165" spans="1:83" x14ac:dyDescent="0.2">
      <c r="A165" s="76"/>
      <c r="B165" s="74"/>
      <c r="C165" s="76" t="s">
        <v>892</v>
      </c>
      <c r="D165" s="73" t="s">
        <v>484</v>
      </c>
      <c r="E165" s="77"/>
      <c r="F165" s="74"/>
      <c r="G165" s="74">
        <f>Source!V71</f>
        <v>0.14000000000000001</v>
      </c>
      <c r="H165" s="74"/>
      <c r="I165" s="74"/>
      <c r="J165" s="74"/>
      <c r="K165" s="74"/>
      <c r="L165" s="78">
        <f>SUMIF(CE166:CE169, 1, L166:L169)</f>
        <v>56.03</v>
      </c>
      <c r="CE165">
        <v>1</v>
      </c>
    </row>
    <row r="166" spans="1:83" ht="25.5" x14ac:dyDescent="0.2">
      <c r="A166" s="62"/>
      <c r="B166" s="62" t="s">
        <v>545</v>
      </c>
      <c r="C166" s="62" t="s">
        <v>547</v>
      </c>
      <c r="D166" s="73" t="s">
        <v>488</v>
      </c>
      <c r="E166" s="74">
        <v>0.14000000000000001</v>
      </c>
      <c r="F166" s="74"/>
      <c r="G166" s="74">
        <f>SmtRes!CX27</f>
        <v>0.14000000000000001</v>
      </c>
      <c r="H166" s="75"/>
      <c r="I166" s="73"/>
      <c r="J166" s="75">
        <f>SmtRes!CZ27</f>
        <v>655.95</v>
      </c>
      <c r="K166" s="73"/>
      <c r="L166" s="75">
        <f>SmtRes!DG27</f>
        <v>91.83</v>
      </c>
    </row>
    <row r="167" spans="1:83" x14ac:dyDescent="0.2">
      <c r="A167" s="62"/>
      <c r="B167" s="62" t="s">
        <v>514</v>
      </c>
      <c r="C167" s="62" t="s">
        <v>936</v>
      </c>
      <c r="D167" s="73" t="s">
        <v>484</v>
      </c>
      <c r="E167" s="74">
        <f>SmtRes!DO27*SmtRes!AT27</f>
        <v>0.14000000000000001</v>
      </c>
      <c r="F167" s="74"/>
      <c r="G167" s="74">
        <f>ROUND(E167*G161, 7)</f>
        <v>0.14000000000000001</v>
      </c>
      <c r="H167" s="75"/>
      <c r="I167" s="73"/>
      <c r="J167" s="75">
        <f>ROUND(SmtRes!AG27/SmtRes!DO27, 2)</f>
        <v>400.24</v>
      </c>
      <c r="K167" s="73"/>
      <c r="L167" s="75">
        <f>SmtRes!DH27</f>
        <v>56.03</v>
      </c>
      <c r="CE167">
        <v>1</v>
      </c>
    </row>
    <row r="168" spans="1:83" x14ac:dyDescent="0.2">
      <c r="A168" s="62"/>
      <c r="B168" s="62" t="s">
        <v>548</v>
      </c>
      <c r="C168" s="62" t="s">
        <v>550</v>
      </c>
      <c r="D168" s="73" t="s">
        <v>488</v>
      </c>
      <c r="E168" s="74">
        <v>0.8</v>
      </c>
      <c r="F168" s="74"/>
      <c r="G168" s="74">
        <f>SmtRes!CX28</f>
        <v>0.8</v>
      </c>
      <c r="H168" s="75">
        <f>SmtRes!CZ28</f>
        <v>4.3499999999999996</v>
      </c>
      <c r="I168" s="73">
        <f>SmtRes!AJ28</f>
        <v>1.3</v>
      </c>
      <c r="J168" s="75">
        <f>ROUND(H168*I168, 2)</f>
        <v>5.66</v>
      </c>
      <c r="K168" s="73"/>
      <c r="L168" s="75">
        <f>SmtRes!DG28</f>
        <v>4.53</v>
      </c>
    </row>
    <row r="169" spans="1:83" ht="25.5" x14ac:dyDescent="0.2">
      <c r="A169" s="62"/>
      <c r="B169" s="62" t="s">
        <v>508</v>
      </c>
      <c r="C169" s="62" t="s">
        <v>510</v>
      </c>
      <c r="D169" s="73" t="s">
        <v>488</v>
      </c>
      <c r="E169" s="74">
        <v>2.4500000000000002</v>
      </c>
      <c r="F169" s="74"/>
      <c r="G169" s="74">
        <f>SmtRes!CX29</f>
        <v>2.4500000000000002</v>
      </c>
      <c r="H169" s="75"/>
      <c r="I169" s="73"/>
      <c r="J169" s="75">
        <f>SmtRes!CZ29</f>
        <v>43.87</v>
      </c>
      <c r="K169" s="73"/>
      <c r="L169" s="75">
        <f>SmtRes!DG29</f>
        <v>107.48</v>
      </c>
    </row>
    <row r="170" spans="1:83" x14ac:dyDescent="0.2">
      <c r="A170" s="76"/>
      <c r="B170" s="74">
        <v>4</v>
      </c>
      <c r="C170" s="76" t="s">
        <v>937</v>
      </c>
      <c r="D170" s="73"/>
      <c r="E170" s="77"/>
      <c r="F170" s="74"/>
      <c r="G170" s="74"/>
      <c r="H170" s="74"/>
      <c r="I170" s="74"/>
      <c r="J170" s="74"/>
      <c r="K170" s="74"/>
      <c r="L170" s="78">
        <f>SUM(L171:L180)-SUMIF(CE171:CE180, 1, L171:L180)</f>
        <v>1591.9199999999998</v>
      </c>
    </row>
    <row r="171" spans="1:83" x14ac:dyDescent="0.2">
      <c r="A171" s="62"/>
      <c r="B171" s="62" t="s">
        <v>551</v>
      </c>
      <c r="C171" s="62" t="s">
        <v>553</v>
      </c>
      <c r="D171" s="73" t="s">
        <v>48</v>
      </c>
      <c r="E171" s="74">
        <v>0.3</v>
      </c>
      <c r="F171" s="74"/>
      <c r="G171" s="74">
        <f>SmtRes!CX30</f>
        <v>0.3</v>
      </c>
      <c r="H171" s="75"/>
      <c r="I171" s="73"/>
      <c r="J171" s="75">
        <f>SmtRes!CZ30</f>
        <v>115.4</v>
      </c>
      <c r="K171" s="73"/>
      <c r="L171" s="75">
        <f>SmtRes!DF30</f>
        <v>34.619999999999997</v>
      </c>
    </row>
    <row r="172" spans="1:83" x14ac:dyDescent="0.2">
      <c r="A172" s="62"/>
      <c r="B172" s="62" t="s">
        <v>554</v>
      </c>
      <c r="C172" s="62" t="s">
        <v>556</v>
      </c>
      <c r="D172" s="73" t="s">
        <v>314</v>
      </c>
      <c r="E172" s="74">
        <v>0.06</v>
      </c>
      <c r="F172" s="74"/>
      <c r="G172" s="74">
        <f>SmtRes!CX31</f>
        <v>0.06</v>
      </c>
      <c r="H172" s="75">
        <f>SmtRes!CZ31</f>
        <v>41.38</v>
      </c>
      <c r="I172" s="73">
        <f>SmtRes!AI31</f>
        <v>1.39</v>
      </c>
      <c r="J172" s="75">
        <f>ROUND(H172*I172, 2)</f>
        <v>57.52</v>
      </c>
      <c r="K172" s="73"/>
      <c r="L172" s="75">
        <f>SmtRes!DF31</f>
        <v>3.45</v>
      </c>
    </row>
    <row r="173" spans="1:83" x14ac:dyDescent="0.2">
      <c r="A173" s="62"/>
      <c r="B173" s="62" t="s">
        <v>518</v>
      </c>
      <c r="C173" s="62" t="s">
        <v>520</v>
      </c>
      <c r="D173" s="73" t="s">
        <v>521</v>
      </c>
      <c r="E173" s="74">
        <v>0.45</v>
      </c>
      <c r="F173" s="74"/>
      <c r="G173" s="74">
        <f>SmtRes!CX32</f>
        <v>0.45</v>
      </c>
      <c r="H173" s="75"/>
      <c r="I173" s="73"/>
      <c r="J173" s="75">
        <f>SmtRes!CZ32</f>
        <v>9.5500000000000007</v>
      </c>
      <c r="K173" s="73"/>
      <c r="L173" s="75">
        <f>SmtRes!DF32</f>
        <v>4.3</v>
      </c>
    </row>
    <row r="174" spans="1:83" ht="38.25" x14ac:dyDescent="0.2">
      <c r="A174" s="62"/>
      <c r="B174" s="62" t="s">
        <v>522</v>
      </c>
      <c r="C174" s="62" t="s">
        <v>524</v>
      </c>
      <c r="D174" s="73" t="s">
        <v>314</v>
      </c>
      <c r="E174" s="74">
        <v>0.72</v>
      </c>
      <c r="F174" s="74"/>
      <c r="G174" s="74">
        <f>SmtRes!CX33</f>
        <v>0.72</v>
      </c>
      <c r="H174" s="75"/>
      <c r="I174" s="73"/>
      <c r="J174" s="75">
        <f>SmtRes!CZ33</f>
        <v>131.85</v>
      </c>
      <c r="K174" s="73"/>
      <c r="L174" s="75">
        <f>SmtRes!DF33</f>
        <v>94.93</v>
      </c>
    </row>
    <row r="175" spans="1:83" ht="25.5" x14ac:dyDescent="0.2">
      <c r="A175" s="62"/>
      <c r="B175" s="62" t="s">
        <v>557</v>
      </c>
      <c r="C175" s="62" t="s">
        <v>559</v>
      </c>
      <c r="D175" s="73" t="s">
        <v>314</v>
      </c>
      <c r="E175" s="74">
        <v>0.75</v>
      </c>
      <c r="F175" s="74"/>
      <c r="G175" s="74">
        <f>SmtRes!CX34</f>
        <v>0.75</v>
      </c>
      <c r="H175" s="75">
        <f>SmtRes!CZ34</f>
        <v>174.93</v>
      </c>
      <c r="I175" s="73">
        <f>SmtRes!AI34</f>
        <v>1.1200000000000001</v>
      </c>
      <c r="J175" s="75">
        <f>ROUND(H175*I175, 2)</f>
        <v>195.92</v>
      </c>
      <c r="K175" s="73"/>
      <c r="L175" s="75">
        <f>SmtRes!DF34</f>
        <v>146.94</v>
      </c>
    </row>
    <row r="176" spans="1:83" x14ac:dyDescent="0.2">
      <c r="A176" s="62"/>
      <c r="B176" s="62" t="s">
        <v>531</v>
      </c>
      <c r="C176" s="62" t="s">
        <v>533</v>
      </c>
      <c r="D176" s="73" t="s">
        <v>243</v>
      </c>
      <c r="E176" s="74">
        <v>1.8000000000000001E-4</v>
      </c>
      <c r="F176" s="74"/>
      <c r="G176" s="74">
        <f>SmtRes!CX35</f>
        <v>1.8000000000000001E-4</v>
      </c>
      <c r="H176" s="75">
        <f>SmtRes!CZ35</f>
        <v>74437.320000000007</v>
      </c>
      <c r="I176" s="73">
        <f>SmtRes!AI35</f>
        <v>1.41</v>
      </c>
      <c r="J176" s="75">
        <f>ROUND(H176*I176, 2)</f>
        <v>104956.62</v>
      </c>
      <c r="K176" s="73"/>
      <c r="L176" s="75">
        <f>SmtRes!DF35</f>
        <v>18.89</v>
      </c>
    </row>
    <row r="177" spans="1:82" x14ac:dyDescent="0.2">
      <c r="A177" s="62"/>
      <c r="B177" s="62" t="s">
        <v>560</v>
      </c>
      <c r="C177" s="62" t="s">
        <v>562</v>
      </c>
      <c r="D177" s="73" t="s">
        <v>243</v>
      </c>
      <c r="E177" s="74">
        <v>1.8000000000000001E-4</v>
      </c>
      <c r="F177" s="74"/>
      <c r="G177" s="74">
        <f>SmtRes!CX36</f>
        <v>1.8000000000000001E-4</v>
      </c>
      <c r="H177" s="75">
        <f>SmtRes!CZ36</f>
        <v>118848.25</v>
      </c>
      <c r="I177" s="73">
        <f>SmtRes!AI36</f>
        <v>1.33</v>
      </c>
      <c r="J177" s="75">
        <f>ROUND(H177*I177, 2)</f>
        <v>158068.17000000001</v>
      </c>
      <c r="K177" s="73"/>
      <c r="L177" s="75">
        <f>SmtRes!DF36</f>
        <v>28.45</v>
      </c>
    </row>
    <row r="178" spans="1:82" x14ac:dyDescent="0.2">
      <c r="A178" s="62"/>
      <c r="B178" s="62" t="s">
        <v>563</v>
      </c>
      <c r="C178" s="62" t="s">
        <v>565</v>
      </c>
      <c r="D178" s="73" t="s">
        <v>243</v>
      </c>
      <c r="E178" s="74">
        <v>2.0000000000000002E-5</v>
      </c>
      <c r="F178" s="74"/>
      <c r="G178" s="74">
        <f>SmtRes!CX37</f>
        <v>2.0000000000000002E-5</v>
      </c>
      <c r="H178" s="75">
        <f>SmtRes!CZ37</f>
        <v>344491.84</v>
      </c>
      <c r="I178" s="73">
        <f>SmtRes!AI37</f>
        <v>1.34</v>
      </c>
      <c r="J178" s="75">
        <f>ROUND(H178*I178, 2)</f>
        <v>461619.07</v>
      </c>
      <c r="K178" s="73"/>
      <c r="L178" s="75">
        <f>SmtRes!DF37</f>
        <v>9.23</v>
      </c>
    </row>
    <row r="179" spans="1:82" ht="51" x14ac:dyDescent="0.2">
      <c r="A179" s="62"/>
      <c r="B179" s="62" t="s">
        <v>123</v>
      </c>
      <c r="C179" s="62" t="s">
        <v>124</v>
      </c>
      <c r="D179" s="73" t="s">
        <v>125</v>
      </c>
      <c r="E179" s="74">
        <v>5.8</v>
      </c>
      <c r="F179" s="74"/>
      <c r="G179" s="74">
        <f>SmtRes!CX38</f>
        <v>5.8</v>
      </c>
      <c r="H179" s="75"/>
      <c r="I179" s="73"/>
      <c r="J179" s="75">
        <f>SmtRes!CZ38</f>
        <v>201.05</v>
      </c>
      <c r="K179" s="73"/>
      <c r="L179" s="75">
        <f>SmtRes!DF38</f>
        <v>1166.0899999999999</v>
      </c>
    </row>
    <row r="180" spans="1:82" ht="51" x14ac:dyDescent="0.2">
      <c r="A180" s="62"/>
      <c r="B180" s="62" t="s">
        <v>569</v>
      </c>
      <c r="C180" s="62" t="s">
        <v>571</v>
      </c>
      <c r="D180" s="73" t="s">
        <v>130</v>
      </c>
      <c r="E180" s="74">
        <v>1</v>
      </c>
      <c r="F180" s="74"/>
      <c r="G180" s="74">
        <f>SmtRes!CX40</f>
        <v>1</v>
      </c>
      <c r="H180" s="75">
        <f>SmtRes!CZ40</f>
        <v>75.239999999999995</v>
      </c>
      <c r="I180" s="73">
        <f>SmtRes!AI40</f>
        <v>1.1299999999999999</v>
      </c>
      <c r="J180" s="75">
        <f>ROUND(H180*I180, 2)</f>
        <v>85.02</v>
      </c>
      <c r="K180" s="73"/>
      <c r="L180" s="75">
        <f>SmtRes!DF40</f>
        <v>85.02</v>
      </c>
    </row>
    <row r="181" spans="1:82" x14ac:dyDescent="0.2">
      <c r="A181" s="62"/>
      <c r="B181" s="62"/>
      <c r="C181" s="79"/>
      <c r="D181" s="80"/>
      <c r="E181" s="81"/>
      <c r="F181" s="81"/>
      <c r="G181" s="81"/>
      <c r="H181" s="82"/>
      <c r="I181" s="80"/>
      <c r="J181" s="82"/>
      <c r="K181" s="80"/>
      <c r="L181" s="82"/>
    </row>
    <row r="182" spans="1:82" x14ac:dyDescent="0.2">
      <c r="A182" s="62"/>
      <c r="B182" s="62"/>
      <c r="C182" s="61" t="s">
        <v>394</v>
      </c>
      <c r="D182" s="73"/>
      <c r="E182" s="74"/>
      <c r="F182" s="74"/>
      <c r="G182" s="74"/>
      <c r="H182" s="75"/>
      <c r="I182" s="73"/>
      <c r="J182" s="75"/>
      <c r="K182" s="73"/>
      <c r="L182" s="75">
        <f>L162+L164+L165+L170</f>
        <v>4393.74</v>
      </c>
    </row>
    <row r="183" spans="1:82" x14ac:dyDescent="0.2">
      <c r="A183" s="62"/>
      <c r="B183" s="62"/>
      <c r="C183" s="62" t="s">
        <v>893</v>
      </c>
      <c r="D183" s="73"/>
      <c r="E183" s="74"/>
      <c r="F183" s="74"/>
      <c r="G183" s="74"/>
      <c r="H183" s="75"/>
      <c r="I183" s="73"/>
      <c r="J183" s="75"/>
      <c r="K183" s="73"/>
      <c r="L183" s="75">
        <f>SUM(AR161:AR186)+SUM(AS161:AS186)+SUM(AT161:AT186)+SUM(AU161:AU186)+SUM(AV161:AV186)</f>
        <v>2597.98</v>
      </c>
    </row>
    <row r="184" spans="1:82" ht="38.25" x14ac:dyDescent="0.2">
      <c r="A184" s="62"/>
      <c r="B184" s="62" t="s">
        <v>43</v>
      </c>
      <c r="C184" s="62" t="s">
        <v>904</v>
      </c>
      <c r="D184" s="73" t="s">
        <v>194</v>
      </c>
      <c r="E184" s="74">
        <f>Source!BZ71</f>
        <v>117</v>
      </c>
      <c r="F184" s="74"/>
      <c r="G184" s="74">
        <f>Source!AT71</f>
        <v>117</v>
      </c>
      <c r="H184" s="75"/>
      <c r="I184" s="73"/>
      <c r="J184" s="75"/>
      <c r="K184" s="73"/>
      <c r="L184" s="75">
        <f>SUM(AZ161:AZ186)</f>
        <v>3039.64</v>
      </c>
    </row>
    <row r="185" spans="1:82" ht="38.25" x14ac:dyDescent="0.2">
      <c r="A185" s="79"/>
      <c r="B185" s="79" t="s">
        <v>44</v>
      </c>
      <c r="C185" s="79" t="s">
        <v>905</v>
      </c>
      <c r="D185" s="80" t="s">
        <v>194</v>
      </c>
      <c r="E185" s="81">
        <f>Source!CA71</f>
        <v>74</v>
      </c>
      <c r="F185" s="81"/>
      <c r="G185" s="81">
        <f>Source!AU71</f>
        <v>74</v>
      </c>
      <c r="H185" s="82"/>
      <c r="I185" s="80"/>
      <c r="J185" s="82"/>
      <c r="K185" s="80"/>
      <c r="L185" s="82">
        <f>SUM(BA161:BA186)</f>
        <v>1922.51</v>
      </c>
    </row>
    <row r="186" spans="1:82" x14ac:dyDescent="0.2">
      <c r="A186" s="43"/>
      <c r="B186" s="43"/>
      <c r="C186" s="119" t="s">
        <v>896</v>
      </c>
      <c r="D186" s="119"/>
      <c r="E186" s="119"/>
      <c r="F186" s="119"/>
      <c r="G186" s="119"/>
      <c r="H186" s="119"/>
      <c r="I186" s="120">
        <f>IF(E161&lt;&gt;0,K186/E161, 0)</f>
        <v>9355.8900000000012</v>
      </c>
      <c r="J186" s="120"/>
      <c r="K186" s="120">
        <f>L162+L164+L170+L184+L185+L165</f>
        <v>9355.8900000000012</v>
      </c>
      <c r="L186" s="120"/>
      <c r="AD186">
        <f>ROUND((Source!AT71/100)*((ROUND(SUMIF(SmtRes!AQ25:'SmtRes'!AQ40,"=1",SmtRes!AD25:'SmtRes'!AD40)*Source!I71, 2)+ROUND(SUMIF(SmtRes!AQ25:'SmtRes'!AQ40,"=1",SmtRes!AC25:'SmtRes'!AC40)*Source!I71, 2))), 2)</f>
        <v>971.51</v>
      </c>
      <c r="AE186">
        <f>ROUND((Source!AU71/100)*((ROUND(SUMIF(SmtRes!AQ25:'SmtRes'!AQ40,"=1",SmtRes!AD25:'SmtRes'!AD40)*Source!I71, 2)+ROUND(SUMIF(SmtRes!AQ25:'SmtRes'!AQ40,"=1",SmtRes!AC25:'SmtRes'!AC40)*Source!I71, 2))), 2)</f>
        <v>614.46</v>
      </c>
      <c r="AN186" s="22">
        <f>L162+L164+L170+L184+L185+L165</f>
        <v>9355.8900000000012</v>
      </c>
      <c r="AO186" s="22">
        <f>L164</f>
        <v>203.84000000000003</v>
      </c>
      <c r="AQ186" t="s">
        <v>897</v>
      </c>
      <c r="AR186" s="22">
        <f>L162</f>
        <v>2541.9499999999998</v>
      </c>
      <c r="AT186" s="22">
        <f>L165</f>
        <v>56.03</v>
      </c>
      <c r="AV186" t="s">
        <v>897</v>
      </c>
      <c r="AW186" s="22">
        <f>L170</f>
        <v>1591.9199999999998</v>
      </c>
      <c r="AZ186">
        <f>Source!X71</f>
        <v>3039.64</v>
      </c>
      <c r="BA186">
        <f>Source!Y71</f>
        <v>1922.51</v>
      </c>
      <c r="CD186">
        <v>1</v>
      </c>
    </row>
    <row r="187" spans="1:82" ht="76.5" x14ac:dyDescent="0.2">
      <c r="A187" s="83" t="s">
        <v>132</v>
      </c>
      <c r="B187" s="79" t="str">
        <f>Source!F72</f>
        <v>18.1.09.04-0001</v>
      </c>
      <c r="C187" s="79" t="str">
        <f>Source!G72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v>
      </c>
      <c r="D187" s="80" t="str">
        <f>Source!H72</f>
        <v>ШТ</v>
      </c>
      <c r="E187" s="81">
        <f>Source!K72</f>
        <v>1</v>
      </c>
      <c r="F187" s="81"/>
      <c r="G187" s="81">
        <f>Source!I72</f>
        <v>1</v>
      </c>
      <c r="H187" s="82">
        <f>Source!AL72</f>
        <v>8460.98</v>
      </c>
      <c r="I187" s="80">
        <f>IF(Source!BC72&lt;&gt; 0, Source!BC72, 1)</f>
        <v>1.22</v>
      </c>
      <c r="J187" s="82">
        <f>ROUND(H187*I187, 2)</f>
        <v>10322.4</v>
      </c>
      <c r="K187" s="80"/>
      <c r="L187" s="82">
        <f>Source!P72</f>
        <v>10322.4</v>
      </c>
    </row>
    <row r="188" spans="1:82" x14ac:dyDescent="0.2">
      <c r="A188" s="43"/>
      <c r="B188" s="43"/>
      <c r="C188" s="119" t="s">
        <v>896</v>
      </c>
      <c r="D188" s="119"/>
      <c r="E188" s="119"/>
      <c r="F188" s="119"/>
      <c r="G188" s="119"/>
      <c r="H188" s="119"/>
      <c r="I188" s="120">
        <f>IF(E187&lt;&gt;0,K188/E187, 0)</f>
        <v>10322.4</v>
      </c>
      <c r="J188" s="120"/>
      <c r="K188" s="120">
        <f>L187</f>
        <v>10322.4</v>
      </c>
      <c r="L188" s="120"/>
      <c r="AD188">
        <f>ROUND((Source!AT72/100)*((ROUND(ROUND(Source!AO72,2)*Source!I72, 2)+ROUND(ROUND(Source!AN72,2)*Source!I72, 2))), 2)</f>
        <v>0</v>
      </c>
      <c r="AE188">
        <f>ROUND((Source!AU72/100)*((ROUND(ROUND(Source!AO72,2)*Source!I72, 2)+ROUND(ROUND(Source!AN72,2)*Source!I72, 2))), 2)</f>
        <v>0</v>
      </c>
      <c r="AN188" s="22">
        <f>L187</f>
        <v>10322.4</v>
      </c>
      <c r="AO188">
        <f>0</f>
        <v>0</v>
      </c>
      <c r="AQ188" t="s">
        <v>897</v>
      </c>
      <c r="AR188">
        <f>0</f>
        <v>0</v>
      </c>
      <c r="AT188">
        <f>0</f>
        <v>0</v>
      </c>
      <c r="AV188" t="s">
        <v>897</v>
      </c>
      <c r="AW188" s="22">
        <f>L187</f>
        <v>10322.4</v>
      </c>
      <c r="AZ188">
        <f>Source!X72</f>
        <v>0</v>
      </c>
      <c r="BA188">
        <f>Source!Y72</f>
        <v>0</v>
      </c>
      <c r="CD188">
        <v>1</v>
      </c>
    </row>
    <row r="189" spans="1:82" ht="51" x14ac:dyDescent="0.2">
      <c r="A189" s="72" t="s">
        <v>136</v>
      </c>
      <c r="B189" s="62" t="s">
        <v>940</v>
      </c>
      <c r="C189" s="62" t="str">
        <f>Source!G73</f>
        <v>Укладка полиэтиленовых труб газопроводов в траншею со стационарно установленного барабана, диаметр труб: до 63 мм</v>
      </c>
      <c r="D189" s="73" t="str">
        <f>Source!H73</f>
        <v>100 м</v>
      </c>
      <c r="E189" s="74">
        <f>Source!K73</f>
        <v>0.83</v>
      </c>
      <c r="F189" s="74"/>
      <c r="G189" s="74">
        <f>Source!I73</f>
        <v>0.83</v>
      </c>
      <c r="H189" s="75"/>
      <c r="I189" s="73"/>
      <c r="J189" s="75"/>
      <c r="K189" s="73"/>
      <c r="L189" s="75"/>
    </row>
    <row r="190" spans="1:82" x14ac:dyDescent="0.2">
      <c r="A190" s="43"/>
      <c r="B190" s="43"/>
      <c r="C190" s="60" t="str">
        <f>"Объем: "&amp;Source!I73&amp;"=83/"&amp;"100"</f>
        <v>Объем: 0,83=83/100</v>
      </c>
      <c r="D190" s="43"/>
      <c r="E190" s="43"/>
      <c r="F190" s="43"/>
      <c r="G190" s="43"/>
      <c r="H190" s="43"/>
      <c r="I190" s="43"/>
      <c r="J190" s="43"/>
      <c r="K190" s="43"/>
      <c r="L190" s="43"/>
    </row>
    <row r="191" spans="1:82" x14ac:dyDescent="0.2">
      <c r="A191" s="76"/>
      <c r="B191" s="74">
        <v>1</v>
      </c>
      <c r="C191" s="76" t="s">
        <v>899</v>
      </c>
      <c r="D191" s="73" t="s">
        <v>484</v>
      </c>
      <c r="E191" s="77"/>
      <c r="F191" s="74"/>
      <c r="G191" s="74">
        <f>Source!U73</f>
        <v>4.7309999999999999</v>
      </c>
      <c r="H191" s="74"/>
      <c r="I191" s="74"/>
      <c r="J191" s="74"/>
      <c r="K191" s="74"/>
      <c r="L191" s="78">
        <f>SUM(L192:L192)-SUMIF(CE192:CE192, 1, L192:L192)</f>
        <v>2091.39</v>
      </c>
    </row>
    <row r="192" spans="1:82" x14ac:dyDescent="0.2">
      <c r="A192" s="62"/>
      <c r="B192" s="62" t="s">
        <v>572</v>
      </c>
      <c r="C192" s="62" t="s">
        <v>573</v>
      </c>
      <c r="D192" s="73" t="s">
        <v>484</v>
      </c>
      <c r="E192" s="74">
        <v>5.7</v>
      </c>
      <c r="F192" s="74"/>
      <c r="G192" s="74">
        <f>SmtRes!CX41</f>
        <v>4.7309999999999999</v>
      </c>
      <c r="H192" s="75"/>
      <c r="I192" s="73"/>
      <c r="J192" s="75">
        <f>SmtRes!CZ41</f>
        <v>442.06</v>
      </c>
      <c r="K192" s="73"/>
      <c r="L192" s="75">
        <f>SmtRes!DI41</f>
        <v>2091.39</v>
      </c>
    </row>
    <row r="193" spans="1:83" x14ac:dyDescent="0.2">
      <c r="A193" s="76"/>
      <c r="B193" s="74">
        <v>2</v>
      </c>
      <c r="C193" s="76" t="s">
        <v>890</v>
      </c>
      <c r="D193" s="73"/>
      <c r="E193" s="77"/>
      <c r="F193" s="74"/>
      <c r="G193" s="74"/>
      <c r="H193" s="74"/>
      <c r="I193" s="74"/>
      <c r="J193" s="74"/>
      <c r="K193" s="74"/>
      <c r="L193" s="78">
        <f>SUM(L194:L196)-SUMIF(CE194:CE196, 1, L194:L196)</f>
        <v>370.53</v>
      </c>
    </row>
    <row r="194" spans="1:83" hidden="1" x14ac:dyDescent="0.2">
      <c r="A194" s="76"/>
      <c r="B194" s="74"/>
      <c r="C194" s="76" t="s">
        <v>892</v>
      </c>
      <c r="D194" s="73" t="s">
        <v>484</v>
      </c>
      <c r="E194" s="77"/>
      <c r="F194" s="74"/>
      <c r="G194" s="74">
        <f>Source!V73</f>
        <v>0</v>
      </c>
      <c r="H194" s="74"/>
      <c r="I194" s="74"/>
      <c r="J194" s="74"/>
      <c r="K194" s="74"/>
      <c r="L194" s="78">
        <f>SUMIF(CE195:CE196, 1, L195:L196)</f>
        <v>0</v>
      </c>
      <c r="CE194">
        <v>1</v>
      </c>
    </row>
    <row r="195" spans="1:83" ht="76.5" x14ac:dyDescent="0.2">
      <c r="A195" s="62"/>
      <c r="B195" s="62" t="s">
        <v>574</v>
      </c>
      <c r="C195" s="62" t="s">
        <v>576</v>
      </c>
      <c r="D195" s="73" t="s">
        <v>488</v>
      </c>
      <c r="E195" s="74">
        <v>0.9</v>
      </c>
      <c r="F195" s="74"/>
      <c r="G195" s="74">
        <f>SmtRes!CX42</f>
        <v>0.747</v>
      </c>
      <c r="H195" s="75">
        <f>SmtRes!CZ42</f>
        <v>345.9</v>
      </c>
      <c r="I195" s="73">
        <f>SmtRes!AJ42</f>
        <v>1.36</v>
      </c>
      <c r="J195" s="75">
        <f>ROUND(H195*I195, 2)</f>
        <v>470.42</v>
      </c>
      <c r="K195" s="73"/>
      <c r="L195" s="75">
        <f>SmtRes!DG42</f>
        <v>351.4</v>
      </c>
    </row>
    <row r="196" spans="1:83" ht="25.5" x14ac:dyDescent="0.2">
      <c r="A196" s="62"/>
      <c r="B196" s="62" t="s">
        <v>577</v>
      </c>
      <c r="C196" s="62" t="s">
        <v>579</v>
      </c>
      <c r="D196" s="73" t="s">
        <v>488</v>
      </c>
      <c r="E196" s="74">
        <v>0.48</v>
      </c>
      <c r="F196" s="74"/>
      <c r="G196" s="74">
        <f>SmtRes!CX43</f>
        <v>0.39839999999999998</v>
      </c>
      <c r="H196" s="75">
        <f>SmtRes!CZ43</f>
        <v>27.13</v>
      </c>
      <c r="I196" s="73">
        <f>SmtRes!AJ43</f>
        <v>1.77</v>
      </c>
      <c r="J196" s="75">
        <f>ROUND(H196*I196, 2)</f>
        <v>48.02</v>
      </c>
      <c r="K196" s="73"/>
      <c r="L196" s="75">
        <f>SmtRes!DG43</f>
        <v>19.13</v>
      </c>
    </row>
    <row r="197" spans="1:83" hidden="1" x14ac:dyDescent="0.2">
      <c r="A197" s="76"/>
      <c r="B197" s="74">
        <v>4</v>
      </c>
      <c r="C197" s="76" t="s">
        <v>937</v>
      </c>
      <c r="D197" s="73"/>
      <c r="E197" s="77"/>
      <c r="F197" s="74"/>
      <c r="G197" s="74"/>
      <c r="H197" s="74"/>
      <c r="I197" s="74"/>
      <c r="J197" s="74"/>
      <c r="K197" s="74"/>
      <c r="L197" s="78">
        <f>0</f>
        <v>0</v>
      </c>
    </row>
    <row r="198" spans="1:83" x14ac:dyDescent="0.2">
      <c r="A198" s="62"/>
      <c r="B198" s="62" t="str">
        <f>EtalonRes!I46</f>
        <v>24.3.03.11</v>
      </c>
      <c r="C198" s="79" t="str">
        <f>EtalonRes!K46</f>
        <v>Трубы полиэтиленовые для газопроводов</v>
      </c>
      <c r="D198" s="80" t="str">
        <f>EtalonRes!O46</f>
        <v>м</v>
      </c>
      <c r="E198" s="81">
        <f>EtalonRes!X46</f>
        <v>100</v>
      </c>
      <c r="F198" s="81"/>
      <c r="G198" s="81">
        <f>ROUND(EtalonRes!AG46*Source!I73, 7)</f>
        <v>83</v>
      </c>
      <c r="H198" s="82"/>
      <c r="I198" s="80"/>
      <c r="J198" s="82"/>
      <c r="K198" s="80"/>
      <c r="L198" s="82"/>
    </row>
    <row r="199" spans="1:83" x14ac:dyDescent="0.2">
      <c r="A199" s="62"/>
      <c r="B199" s="62"/>
      <c r="C199" s="61" t="s">
        <v>394</v>
      </c>
      <c r="D199" s="73"/>
      <c r="E199" s="74"/>
      <c r="F199" s="74"/>
      <c r="G199" s="74"/>
      <c r="H199" s="75"/>
      <c r="I199" s="73"/>
      <c r="J199" s="75"/>
      <c r="K199" s="73"/>
      <c r="L199" s="75">
        <f>L191+L193+L194+L197</f>
        <v>2461.92</v>
      </c>
    </row>
    <row r="200" spans="1:83" x14ac:dyDescent="0.2">
      <c r="A200" s="62"/>
      <c r="B200" s="62"/>
      <c r="C200" s="62" t="s">
        <v>893</v>
      </c>
      <c r="D200" s="73"/>
      <c r="E200" s="74"/>
      <c r="F200" s="74"/>
      <c r="G200" s="74"/>
      <c r="H200" s="75"/>
      <c r="I200" s="73"/>
      <c r="J200" s="75"/>
      <c r="K200" s="73"/>
      <c r="L200" s="75">
        <f>SUM(AR189:AR203)+SUM(AS189:AS203)+SUM(AT189:AT203)+SUM(AU189:AU203)+SUM(AV189:AV203)</f>
        <v>2091.39</v>
      </c>
    </row>
    <row r="201" spans="1:83" ht="38.25" x14ac:dyDescent="0.2">
      <c r="A201" s="62"/>
      <c r="B201" s="62" t="s">
        <v>43</v>
      </c>
      <c r="C201" s="62" t="s">
        <v>904</v>
      </c>
      <c r="D201" s="73" t="s">
        <v>194</v>
      </c>
      <c r="E201" s="74">
        <f>Source!BZ73</f>
        <v>117</v>
      </c>
      <c r="F201" s="74"/>
      <c r="G201" s="74">
        <f>Source!AT73</f>
        <v>117</v>
      </c>
      <c r="H201" s="75"/>
      <c r="I201" s="73"/>
      <c r="J201" s="75"/>
      <c r="K201" s="73"/>
      <c r="L201" s="75">
        <f>SUM(AZ189:AZ203)</f>
        <v>2446.9299999999998</v>
      </c>
    </row>
    <row r="202" spans="1:83" ht="38.25" x14ac:dyDescent="0.2">
      <c r="A202" s="79"/>
      <c r="B202" s="79" t="s">
        <v>44</v>
      </c>
      <c r="C202" s="79" t="s">
        <v>905</v>
      </c>
      <c r="D202" s="80" t="s">
        <v>194</v>
      </c>
      <c r="E202" s="81">
        <f>Source!CA73</f>
        <v>74</v>
      </c>
      <c r="F202" s="81"/>
      <c r="G202" s="81">
        <f>Source!AU73</f>
        <v>74</v>
      </c>
      <c r="H202" s="82"/>
      <c r="I202" s="80"/>
      <c r="J202" s="82"/>
      <c r="K202" s="80"/>
      <c r="L202" s="82">
        <f>SUM(BA189:BA203)</f>
        <v>1547.63</v>
      </c>
    </row>
    <row r="203" spans="1:83" x14ac:dyDescent="0.2">
      <c r="A203" s="43"/>
      <c r="B203" s="43"/>
      <c r="C203" s="119" t="s">
        <v>896</v>
      </c>
      <c r="D203" s="119"/>
      <c r="E203" s="119"/>
      <c r="F203" s="119"/>
      <c r="G203" s="119"/>
      <c r="H203" s="119"/>
      <c r="I203" s="120">
        <f>IF(E189&lt;&gt;0,K203/E189, 0)</f>
        <v>7778.8915662650616</v>
      </c>
      <c r="J203" s="120"/>
      <c r="K203" s="120">
        <f>L191+L193+L197+L201+L202+L194</f>
        <v>6456.4800000000005</v>
      </c>
      <c r="L203" s="120"/>
      <c r="AD203">
        <f>ROUND((Source!AT73/100)*((ROUND(SUMIF(SmtRes!AQ41:'SmtRes'!AQ45,"=1",SmtRes!AD41:'SmtRes'!AD45)*Source!I73, 2)+ROUND(SUMIF(SmtRes!AQ41:'SmtRes'!AQ45,"=1",SmtRes!AC41:'SmtRes'!AC45)*Source!I73, 2))), 2)</f>
        <v>429.28</v>
      </c>
      <c r="AE203">
        <f>ROUND((Source!AU73/100)*((ROUND(SUMIF(SmtRes!AQ41:'SmtRes'!AQ45,"=1",SmtRes!AD41:'SmtRes'!AD45)*Source!I73, 2)+ROUND(SUMIF(SmtRes!AQ41:'SmtRes'!AQ45,"=1",SmtRes!AC41:'SmtRes'!AC45)*Source!I73, 2))), 2)</f>
        <v>271.51</v>
      </c>
      <c r="AN203" s="22">
        <f>L191+L193+L197+L201+L202+L194</f>
        <v>6456.4800000000005</v>
      </c>
      <c r="AO203" s="22">
        <f>L193</f>
        <v>370.53</v>
      </c>
      <c r="AQ203" t="s">
        <v>897</v>
      </c>
      <c r="AR203" s="22">
        <f>L191</f>
        <v>2091.39</v>
      </c>
      <c r="AT203" s="22">
        <f>L194</f>
        <v>0</v>
      </c>
      <c r="AV203" t="s">
        <v>897</v>
      </c>
      <c r="AW203" s="22">
        <f>L197</f>
        <v>0</v>
      </c>
      <c r="AZ203">
        <f>Source!X73</f>
        <v>2446.9299999999998</v>
      </c>
      <c r="BA203">
        <f>Source!Y73</f>
        <v>1547.63</v>
      </c>
      <c r="CD203">
        <v>1</v>
      </c>
    </row>
    <row r="204" spans="1:83" ht="63.75" x14ac:dyDescent="0.2">
      <c r="A204" s="83" t="s">
        <v>144</v>
      </c>
      <c r="B204" s="79" t="str">
        <f>Source!F75</f>
        <v>24.3.03.11-0024</v>
      </c>
      <c r="C204" s="79" t="str">
        <f>Source!G75</f>
        <v>Трубы напорные полиэтиленовые газопроводные ПЭ100, стандартное размерное отношение SDR11, номинальный наружный диаметр 63 мм, толщина стенки 5,8 мм</v>
      </c>
      <c r="D204" s="80" t="str">
        <f>Source!H75</f>
        <v>м</v>
      </c>
      <c r="E204" s="81">
        <f>Source!K75</f>
        <v>83</v>
      </c>
      <c r="F204" s="81"/>
      <c r="G204" s="81">
        <f>Source!I75</f>
        <v>83</v>
      </c>
      <c r="H204" s="82">
        <f>Source!AL75</f>
        <v>207.48</v>
      </c>
      <c r="I204" s="80">
        <f>IF(Source!BC75&lt;&gt; 0, Source!BC75, 1)</f>
        <v>1.03</v>
      </c>
      <c r="J204" s="82">
        <f>ROUND(H204*I204, 2)</f>
        <v>213.7</v>
      </c>
      <c r="K204" s="80"/>
      <c r="L204" s="82">
        <f>Source!P75</f>
        <v>17737.099999999999</v>
      </c>
    </row>
    <row r="205" spans="1:83" x14ac:dyDescent="0.2">
      <c r="A205" s="43"/>
      <c r="B205" s="43"/>
      <c r="C205" s="119" t="s">
        <v>896</v>
      </c>
      <c r="D205" s="119"/>
      <c r="E205" s="119"/>
      <c r="F205" s="119"/>
      <c r="G205" s="119"/>
      <c r="H205" s="119"/>
      <c r="I205" s="120">
        <f>IF(E204&lt;&gt;0,K205/E204, 0)</f>
        <v>213.7</v>
      </c>
      <c r="J205" s="120"/>
      <c r="K205" s="120">
        <f>L204</f>
        <v>17737.099999999999</v>
      </c>
      <c r="L205" s="120"/>
      <c r="AD205">
        <f>ROUND((Source!AT75/100)*((ROUND(ROUND(Source!AO75,2)*Source!I75, 2)+ROUND(ROUND(Source!AN75,2)*Source!I75, 2))), 2)</f>
        <v>0</v>
      </c>
      <c r="AE205">
        <f>ROUND((Source!AU75/100)*((ROUND(ROUND(Source!AO75,2)*Source!I75, 2)+ROUND(ROUND(Source!AN75,2)*Source!I75, 2))), 2)</f>
        <v>0</v>
      </c>
      <c r="AN205" s="22">
        <f>L204</f>
        <v>17737.099999999999</v>
      </c>
      <c r="AO205">
        <f>0</f>
        <v>0</v>
      </c>
      <c r="AQ205" t="s">
        <v>897</v>
      </c>
      <c r="AR205">
        <f>0</f>
        <v>0</v>
      </c>
      <c r="AT205">
        <f>0</f>
        <v>0</v>
      </c>
      <c r="AV205" t="s">
        <v>897</v>
      </c>
      <c r="AW205" s="22">
        <f>L204</f>
        <v>17737.099999999999</v>
      </c>
      <c r="AZ205">
        <f>Source!X75</f>
        <v>0</v>
      </c>
      <c r="BA205">
        <f>Source!Y75</f>
        <v>0</v>
      </c>
      <c r="CD205">
        <v>1</v>
      </c>
    </row>
    <row r="206" spans="1:83" ht="51" x14ac:dyDescent="0.2">
      <c r="A206" s="83" t="s">
        <v>148</v>
      </c>
      <c r="B206" s="79" t="str">
        <f>Source!F76</f>
        <v>24.3.05.02-0133</v>
      </c>
      <c r="C206" s="79" t="str">
        <f>Source!G76</f>
        <v>Заглушка полиэтиленовая электросварная для газо- и водоснабжения, ПЭ100, стандартное размерное отношение SDR11, диаметр 63 мм</v>
      </c>
      <c r="D206" s="80" t="str">
        <f>Source!H76</f>
        <v>ШТ</v>
      </c>
      <c r="E206" s="81">
        <f>Source!K76</f>
        <v>1</v>
      </c>
      <c r="F206" s="81"/>
      <c r="G206" s="81">
        <f>Source!I76</f>
        <v>1</v>
      </c>
      <c r="H206" s="82">
        <f>Source!AL76</f>
        <v>1027.46</v>
      </c>
      <c r="I206" s="80">
        <f>IF(Source!BC76&lt;&gt; 0, Source!BC76, 1)</f>
        <v>1.03</v>
      </c>
      <c r="J206" s="82">
        <f>ROUND(H206*I206, 2)</f>
        <v>1058.28</v>
      </c>
      <c r="K206" s="80"/>
      <c r="L206" s="82">
        <f>Source!P76</f>
        <v>1058.28</v>
      </c>
    </row>
    <row r="207" spans="1:83" x14ac:dyDescent="0.2">
      <c r="A207" s="43"/>
      <c r="B207" s="43"/>
      <c r="C207" s="119" t="s">
        <v>896</v>
      </c>
      <c r="D207" s="119"/>
      <c r="E207" s="119"/>
      <c r="F207" s="119"/>
      <c r="G207" s="119"/>
      <c r="H207" s="119"/>
      <c r="I207" s="120">
        <f>IF(E206&lt;&gt;0,K207/E206, 0)</f>
        <v>1058.28</v>
      </c>
      <c r="J207" s="120"/>
      <c r="K207" s="120">
        <f>L206</f>
        <v>1058.28</v>
      </c>
      <c r="L207" s="120"/>
      <c r="AD207">
        <f>ROUND((Source!AT76/100)*((ROUND(ROUND(Source!AO76,2)*Source!I76, 2)+ROUND(ROUND(Source!AN76,2)*Source!I76, 2))), 2)</f>
        <v>0</v>
      </c>
      <c r="AE207">
        <f>ROUND((Source!AU76/100)*((ROUND(ROUND(Source!AO76,2)*Source!I76, 2)+ROUND(ROUND(Source!AN76,2)*Source!I76, 2))), 2)</f>
        <v>0</v>
      </c>
      <c r="AN207" s="22">
        <f>L206</f>
        <v>1058.28</v>
      </c>
      <c r="AO207">
        <f>0</f>
        <v>0</v>
      </c>
      <c r="AQ207" t="s">
        <v>897</v>
      </c>
      <c r="AR207">
        <f>0</f>
        <v>0</v>
      </c>
      <c r="AT207">
        <f>0</f>
        <v>0</v>
      </c>
      <c r="AV207" t="s">
        <v>897</v>
      </c>
      <c r="AW207" s="22">
        <f>L206</f>
        <v>1058.28</v>
      </c>
      <c r="AZ207">
        <f>Source!X76</f>
        <v>0</v>
      </c>
      <c r="BA207">
        <f>Source!Y76</f>
        <v>0</v>
      </c>
      <c r="CD207">
        <v>1</v>
      </c>
    </row>
    <row r="208" spans="1:83" ht="51" x14ac:dyDescent="0.2">
      <c r="A208" s="72" t="s">
        <v>152</v>
      </c>
      <c r="B208" s="62" t="s">
        <v>941</v>
      </c>
      <c r="C208" s="62" t="str">
        <f>Source!G77</f>
        <v>Устройство цокольного газового ввода на наружных сетях полиэтиленовых газопроводов с соединением "сталь-полиэтилен", диаметр газопровода: 63 мм</v>
      </c>
      <c r="D208" s="73" t="str">
        <f>Source!H77</f>
        <v>10 узлов</v>
      </c>
      <c r="E208" s="74">
        <f>Source!K77</f>
        <v>0.1</v>
      </c>
      <c r="F208" s="74"/>
      <c r="G208" s="74">
        <f>Source!I77</f>
        <v>0.1</v>
      </c>
      <c r="H208" s="75"/>
      <c r="I208" s="73"/>
      <c r="J208" s="75"/>
      <c r="K208" s="73"/>
      <c r="L208" s="75"/>
    </row>
    <row r="209" spans="1:83" x14ac:dyDescent="0.2">
      <c r="A209" s="43"/>
      <c r="B209" s="43"/>
      <c r="C209" s="60" t="str">
        <f>"Объем: "&amp;Source!I77&amp;"=1/"&amp;"10"</f>
        <v>Объем: 0,1=1/10</v>
      </c>
      <c r="D209" s="43"/>
      <c r="E209" s="43"/>
      <c r="F209" s="43"/>
      <c r="G209" s="43"/>
      <c r="H209" s="43"/>
      <c r="I209" s="43"/>
      <c r="J209" s="43"/>
      <c r="K209" s="43"/>
      <c r="L209" s="43"/>
    </row>
    <row r="210" spans="1:83" x14ac:dyDescent="0.2">
      <c r="A210" s="76"/>
      <c r="B210" s="74">
        <v>1</v>
      </c>
      <c r="C210" s="76" t="s">
        <v>899</v>
      </c>
      <c r="D210" s="73" t="s">
        <v>484</v>
      </c>
      <c r="E210" s="77"/>
      <c r="F210" s="74"/>
      <c r="G210" s="74">
        <f>Source!U77</f>
        <v>6.9929999999999994</v>
      </c>
      <c r="H210" s="74"/>
      <c r="I210" s="74"/>
      <c r="J210" s="74"/>
      <c r="K210" s="74"/>
      <c r="L210" s="78">
        <f>SUM(L211:L212)-SUMIF(CE211:CE212, 1, L211:L212)</f>
        <v>2798.1400000000003</v>
      </c>
    </row>
    <row r="211" spans="1:83" x14ac:dyDescent="0.2">
      <c r="A211" s="62"/>
      <c r="B211" s="62" t="s">
        <v>583</v>
      </c>
      <c r="C211" s="62" t="s">
        <v>584</v>
      </c>
      <c r="D211" s="73" t="s">
        <v>585</v>
      </c>
      <c r="E211" s="74">
        <v>0.1</v>
      </c>
      <c r="F211" s="74"/>
      <c r="G211" s="74">
        <f>SmtRes!CX46</f>
        <v>0.01</v>
      </c>
      <c r="H211" s="75"/>
      <c r="I211" s="73"/>
      <c r="J211" s="75">
        <f>SmtRes!CZ46</f>
        <v>325.57</v>
      </c>
      <c r="K211" s="73"/>
      <c r="L211" s="75">
        <f>SmtRes!DI46</f>
        <v>3.26</v>
      </c>
    </row>
    <row r="212" spans="1:83" x14ac:dyDescent="0.2">
      <c r="A212" s="62"/>
      <c r="B212" s="62" t="s">
        <v>586</v>
      </c>
      <c r="C212" s="62" t="s">
        <v>587</v>
      </c>
      <c r="D212" s="73" t="s">
        <v>585</v>
      </c>
      <c r="E212" s="74">
        <v>69.83</v>
      </c>
      <c r="F212" s="74"/>
      <c r="G212" s="74">
        <f>SmtRes!CX47</f>
        <v>6.9829999999999997</v>
      </c>
      <c r="H212" s="75"/>
      <c r="I212" s="73"/>
      <c r="J212" s="75">
        <f>SmtRes!CZ47</f>
        <v>400.24</v>
      </c>
      <c r="K212" s="73"/>
      <c r="L212" s="75">
        <f>SmtRes!DI47</f>
        <v>2794.88</v>
      </c>
    </row>
    <row r="213" spans="1:83" x14ac:dyDescent="0.2">
      <c r="A213" s="76"/>
      <c r="B213" s="74">
        <v>2</v>
      </c>
      <c r="C213" s="76" t="s">
        <v>890</v>
      </c>
      <c r="D213" s="73"/>
      <c r="E213" s="77"/>
      <c r="F213" s="74"/>
      <c r="G213" s="74"/>
      <c r="H213" s="74"/>
      <c r="I213" s="74"/>
      <c r="J213" s="74"/>
      <c r="K213" s="74"/>
      <c r="L213" s="78">
        <f>SUM(L214:L219)-SUMIF(CE214:CE219, 1, L214:L219)</f>
        <v>30.650000000000002</v>
      </c>
    </row>
    <row r="214" spans="1:83" x14ac:dyDescent="0.2">
      <c r="A214" s="76"/>
      <c r="B214" s="74"/>
      <c r="C214" s="76" t="s">
        <v>892</v>
      </c>
      <c r="D214" s="73" t="s">
        <v>484</v>
      </c>
      <c r="E214" s="77"/>
      <c r="F214" s="74"/>
      <c r="G214" s="74">
        <f>Source!V77</f>
        <v>8.9999999999999993E-3</v>
      </c>
      <c r="H214" s="74"/>
      <c r="I214" s="74"/>
      <c r="J214" s="74"/>
      <c r="K214" s="74"/>
      <c r="L214" s="78">
        <f>SUMIF(CE215:CE219, 1, L215:L219)</f>
        <v>3.6</v>
      </c>
      <c r="CE214">
        <v>1</v>
      </c>
    </row>
    <row r="215" spans="1:83" ht="25.5" x14ac:dyDescent="0.2">
      <c r="A215" s="62"/>
      <c r="B215" s="62" t="s">
        <v>545</v>
      </c>
      <c r="C215" s="62" t="s">
        <v>547</v>
      </c>
      <c r="D215" s="73" t="s">
        <v>488</v>
      </c>
      <c r="E215" s="74">
        <v>0.09</v>
      </c>
      <c r="F215" s="74"/>
      <c r="G215" s="74">
        <f>SmtRes!CX49</f>
        <v>8.9999999999999993E-3</v>
      </c>
      <c r="H215" s="75"/>
      <c r="I215" s="73"/>
      <c r="J215" s="75">
        <f>SmtRes!CZ49</f>
        <v>655.95</v>
      </c>
      <c r="K215" s="73"/>
      <c r="L215" s="75">
        <f>SmtRes!DG49</f>
        <v>5.9</v>
      </c>
    </row>
    <row r="216" spans="1:83" x14ac:dyDescent="0.2">
      <c r="A216" s="62"/>
      <c r="B216" s="62" t="s">
        <v>514</v>
      </c>
      <c r="C216" s="62" t="s">
        <v>936</v>
      </c>
      <c r="D216" s="73" t="s">
        <v>484</v>
      </c>
      <c r="E216" s="74">
        <f>SmtRes!DO49*SmtRes!AT49</f>
        <v>0.09</v>
      </c>
      <c r="F216" s="74"/>
      <c r="G216" s="74">
        <f>ROUND(E216*G208, 7)</f>
        <v>8.9999999999999993E-3</v>
      </c>
      <c r="H216" s="75"/>
      <c r="I216" s="73"/>
      <c r="J216" s="75">
        <f>ROUND(SmtRes!AG49/SmtRes!DO49, 2)</f>
        <v>400.24</v>
      </c>
      <c r="K216" s="73"/>
      <c r="L216" s="75">
        <f>SmtRes!DH49</f>
        <v>3.6</v>
      </c>
      <c r="CE216">
        <v>1</v>
      </c>
    </row>
    <row r="217" spans="1:83" ht="38.25" x14ac:dyDescent="0.2">
      <c r="A217" s="62"/>
      <c r="B217" s="62" t="s">
        <v>588</v>
      </c>
      <c r="C217" s="62" t="s">
        <v>590</v>
      </c>
      <c r="D217" s="73" t="s">
        <v>488</v>
      </c>
      <c r="E217" s="74">
        <v>0.6</v>
      </c>
      <c r="F217" s="74"/>
      <c r="G217" s="74">
        <f>SmtRes!CX50</f>
        <v>0.06</v>
      </c>
      <c r="H217" s="75">
        <f>SmtRes!CZ50</f>
        <v>8.6300000000000008</v>
      </c>
      <c r="I217" s="73">
        <f>SmtRes!AJ50</f>
        <v>1.6</v>
      </c>
      <c r="J217" s="75">
        <f>ROUND(H217*I217, 2)</f>
        <v>13.81</v>
      </c>
      <c r="K217" s="73"/>
      <c r="L217" s="75">
        <f>SmtRes!DG50</f>
        <v>0.83</v>
      </c>
    </row>
    <row r="218" spans="1:83" ht="38.25" x14ac:dyDescent="0.2">
      <c r="A218" s="62"/>
      <c r="B218" s="62" t="s">
        <v>591</v>
      </c>
      <c r="C218" s="62" t="s">
        <v>593</v>
      </c>
      <c r="D218" s="73" t="s">
        <v>488</v>
      </c>
      <c r="E218" s="74">
        <v>33.9</v>
      </c>
      <c r="F218" s="74"/>
      <c r="G218" s="74">
        <f>SmtRes!CX51</f>
        <v>3.39</v>
      </c>
      <c r="H218" s="75">
        <f>SmtRes!CZ51</f>
        <v>3.34</v>
      </c>
      <c r="I218" s="73">
        <f>SmtRes!AJ51</f>
        <v>1.3</v>
      </c>
      <c r="J218" s="75">
        <f>ROUND(H218*I218, 2)</f>
        <v>4.34</v>
      </c>
      <c r="K218" s="73"/>
      <c r="L218" s="75">
        <f>SmtRes!DG51</f>
        <v>14.71</v>
      </c>
    </row>
    <row r="219" spans="1:83" ht="25.5" x14ac:dyDescent="0.2">
      <c r="A219" s="62"/>
      <c r="B219" s="62" t="s">
        <v>508</v>
      </c>
      <c r="C219" s="62" t="s">
        <v>510</v>
      </c>
      <c r="D219" s="73" t="s">
        <v>488</v>
      </c>
      <c r="E219" s="74">
        <v>2.1</v>
      </c>
      <c r="F219" s="74"/>
      <c r="G219" s="74">
        <f>SmtRes!CX52</f>
        <v>0.21</v>
      </c>
      <c r="H219" s="75"/>
      <c r="I219" s="73"/>
      <c r="J219" s="75">
        <f>SmtRes!CZ52</f>
        <v>43.87</v>
      </c>
      <c r="K219" s="73"/>
      <c r="L219" s="75">
        <f>SmtRes!DG52</f>
        <v>9.2100000000000009</v>
      </c>
    </row>
    <row r="220" spans="1:83" x14ac:dyDescent="0.2">
      <c r="A220" s="76"/>
      <c r="B220" s="74">
        <v>4</v>
      </c>
      <c r="C220" s="76" t="s">
        <v>937</v>
      </c>
      <c r="D220" s="73"/>
      <c r="E220" s="77"/>
      <c r="F220" s="74"/>
      <c r="G220" s="74"/>
      <c r="H220" s="74"/>
      <c r="I220" s="74"/>
      <c r="J220" s="74"/>
      <c r="K220" s="74"/>
      <c r="L220" s="78">
        <f>SUM(L221:L223)-SUMIF(CE221:CE223, 1, L221:L223)</f>
        <v>5.5499999999999989</v>
      </c>
    </row>
    <row r="221" spans="1:83" ht="38.25" x14ac:dyDescent="0.2">
      <c r="A221" s="62"/>
      <c r="B221" s="62" t="s">
        <v>522</v>
      </c>
      <c r="C221" s="62" t="s">
        <v>524</v>
      </c>
      <c r="D221" s="73" t="s">
        <v>314</v>
      </c>
      <c r="E221" s="74">
        <v>0.33</v>
      </c>
      <c r="F221" s="74"/>
      <c r="G221" s="74">
        <f>SmtRes!CX53</f>
        <v>3.3000000000000002E-2</v>
      </c>
      <c r="H221" s="75"/>
      <c r="I221" s="73"/>
      <c r="J221" s="75">
        <f>SmtRes!CZ53</f>
        <v>131.85</v>
      </c>
      <c r="K221" s="73"/>
      <c r="L221" s="75">
        <f>SmtRes!DF53</f>
        <v>4.3499999999999996</v>
      </c>
    </row>
    <row r="222" spans="1:83" x14ac:dyDescent="0.2">
      <c r="A222" s="62"/>
      <c r="B222" s="62" t="s">
        <v>594</v>
      </c>
      <c r="C222" s="62" t="s">
        <v>596</v>
      </c>
      <c r="D222" s="73" t="s">
        <v>314</v>
      </c>
      <c r="E222" s="74">
        <v>0.02</v>
      </c>
      <c r="F222" s="74"/>
      <c r="G222" s="74">
        <f>SmtRes!CX54</f>
        <v>2E-3</v>
      </c>
      <c r="H222" s="75">
        <f>SmtRes!CZ54</f>
        <v>56.11</v>
      </c>
      <c r="I222" s="73">
        <f>SmtRes!AI54</f>
        <v>1.63</v>
      </c>
      <c r="J222" s="75">
        <f>ROUND(H222*I222, 2)</f>
        <v>91.46</v>
      </c>
      <c r="K222" s="73"/>
      <c r="L222" s="75">
        <f>SmtRes!DF54</f>
        <v>0.18</v>
      </c>
    </row>
    <row r="223" spans="1:83" x14ac:dyDescent="0.2">
      <c r="A223" s="62"/>
      <c r="B223" s="62" t="s">
        <v>597</v>
      </c>
      <c r="C223" s="62" t="s">
        <v>599</v>
      </c>
      <c r="D223" s="73" t="s">
        <v>314</v>
      </c>
      <c r="E223" s="74">
        <v>0.1</v>
      </c>
      <c r="F223" s="74"/>
      <c r="G223" s="74">
        <f>SmtRes!CX55</f>
        <v>0.01</v>
      </c>
      <c r="H223" s="75">
        <f>SmtRes!CZ55</f>
        <v>60.6</v>
      </c>
      <c r="I223" s="73">
        <f>SmtRes!AI55</f>
        <v>1.68</v>
      </c>
      <c r="J223" s="75">
        <f>ROUND(H223*I223, 2)</f>
        <v>101.81</v>
      </c>
      <c r="K223" s="73"/>
      <c r="L223" s="75">
        <f>SmtRes!DF55</f>
        <v>1.02</v>
      </c>
    </row>
    <row r="224" spans="1:83" x14ac:dyDescent="0.2">
      <c r="A224" s="62"/>
      <c r="B224" s="62"/>
      <c r="C224" s="79"/>
      <c r="D224" s="80"/>
      <c r="E224" s="81"/>
      <c r="F224" s="81"/>
      <c r="G224" s="81"/>
      <c r="H224" s="82"/>
      <c r="I224" s="80"/>
      <c r="J224" s="82"/>
      <c r="K224" s="80"/>
      <c r="L224" s="82"/>
    </row>
    <row r="225" spans="1:83" x14ac:dyDescent="0.2">
      <c r="A225" s="62"/>
      <c r="B225" s="62"/>
      <c r="C225" s="61" t="s">
        <v>394</v>
      </c>
      <c r="D225" s="73"/>
      <c r="E225" s="74"/>
      <c r="F225" s="74"/>
      <c r="G225" s="74"/>
      <c r="H225" s="75"/>
      <c r="I225" s="73"/>
      <c r="J225" s="75"/>
      <c r="K225" s="73"/>
      <c r="L225" s="75">
        <f>L210+L213+L214+L220</f>
        <v>2837.9400000000005</v>
      </c>
    </row>
    <row r="226" spans="1:83" x14ac:dyDescent="0.2">
      <c r="A226" s="62"/>
      <c r="B226" s="62"/>
      <c r="C226" s="62" t="s">
        <v>893</v>
      </c>
      <c r="D226" s="73"/>
      <c r="E226" s="74"/>
      <c r="F226" s="74"/>
      <c r="G226" s="74"/>
      <c r="H226" s="75"/>
      <c r="I226" s="73"/>
      <c r="J226" s="75"/>
      <c r="K226" s="73"/>
      <c r="L226" s="75">
        <f>SUM(AR208:AR229)+SUM(AS208:AS229)+SUM(AT208:AT229)+SUM(AU208:AU229)+SUM(AV208:AV229)</f>
        <v>2801.7400000000002</v>
      </c>
    </row>
    <row r="227" spans="1:83" ht="38.25" x14ac:dyDescent="0.2">
      <c r="A227" s="62"/>
      <c r="B227" s="62" t="s">
        <v>43</v>
      </c>
      <c r="C227" s="62" t="s">
        <v>904</v>
      </c>
      <c r="D227" s="73" t="s">
        <v>194</v>
      </c>
      <c r="E227" s="74">
        <f>Source!BZ77</f>
        <v>117</v>
      </c>
      <c r="F227" s="74"/>
      <c r="G227" s="74">
        <f>Source!AT77</f>
        <v>117</v>
      </c>
      <c r="H227" s="75"/>
      <c r="I227" s="73"/>
      <c r="J227" s="75"/>
      <c r="K227" s="73"/>
      <c r="L227" s="75">
        <f>SUM(AZ208:AZ229)</f>
        <v>3278.04</v>
      </c>
    </row>
    <row r="228" spans="1:83" ht="38.25" x14ac:dyDescent="0.2">
      <c r="A228" s="79"/>
      <c r="B228" s="79" t="s">
        <v>44</v>
      </c>
      <c r="C228" s="79" t="s">
        <v>905</v>
      </c>
      <c r="D228" s="80" t="s">
        <v>194</v>
      </c>
      <c r="E228" s="81">
        <f>Source!CA77</f>
        <v>74</v>
      </c>
      <c r="F228" s="81"/>
      <c r="G228" s="81">
        <f>Source!AU77</f>
        <v>74</v>
      </c>
      <c r="H228" s="82"/>
      <c r="I228" s="80"/>
      <c r="J228" s="82"/>
      <c r="K228" s="80"/>
      <c r="L228" s="82">
        <f>SUM(BA208:BA229)</f>
        <v>2073.29</v>
      </c>
    </row>
    <row r="229" spans="1:83" x14ac:dyDescent="0.2">
      <c r="A229" s="43"/>
      <c r="B229" s="43"/>
      <c r="C229" s="119" t="s">
        <v>896</v>
      </c>
      <c r="D229" s="119"/>
      <c r="E229" s="119"/>
      <c r="F229" s="119"/>
      <c r="G229" s="119"/>
      <c r="H229" s="119"/>
      <c r="I229" s="120">
        <f>IF(E208&lt;&gt;0,K229/E208, 0)</f>
        <v>81892.700000000012</v>
      </c>
      <c r="J229" s="120"/>
      <c r="K229" s="120">
        <f>L210+L213+L220+L227+L228+L214</f>
        <v>8189.2700000000013</v>
      </c>
      <c r="L229" s="120"/>
      <c r="AD229">
        <f>ROUND((Source!AT77/100)*((ROUND(SUMIF(SmtRes!AQ46:'SmtRes'!AQ55,"=1",SmtRes!AD46:'SmtRes'!AD55)*Source!I77, 2)+ROUND(SUMIF(SmtRes!AQ46:'SmtRes'!AQ55,"=1",SmtRes!AC46:'SmtRes'!AC55)*Source!I77, 2))), 2)</f>
        <v>131.74</v>
      </c>
      <c r="AE229">
        <f>ROUND((Source!AU77/100)*((ROUND(SUMIF(SmtRes!AQ46:'SmtRes'!AQ55,"=1",SmtRes!AD46:'SmtRes'!AD55)*Source!I77, 2)+ROUND(SUMIF(SmtRes!AQ46:'SmtRes'!AQ55,"=1",SmtRes!AC46:'SmtRes'!AC55)*Source!I77, 2))), 2)</f>
        <v>83.32</v>
      </c>
      <c r="AN229" s="22">
        <f>L210+L213+L220+L227+L228+L214</f>
        <v>8189.2700000000013</v>
      </c>
      <c r="AO229" s="22">
        <f>L213</f>
        <v>30.650000000000002</v>
      </c>
      <c r="AQ229" t="s">
        <v>897</v>
      </c>
      <c r="AR229" s="22">
        <f>L210</f>
        <v>2798.1400000000003</v>
      </c>
      <c r="AT229" s="22">
        <f>L214</f>
        <v>3.6</v>
      </c>
      <c r="AV229" t="s">
        <v>897</v>
      </c>
      <c r="AW229" s="22">
        <f>L220</f>
        <v>5.5499999999999989</v>
      </c>
      <c r="AZ229">
        <f>Source!X77</f>
        <v>3278.04</v>
      </c>
      <c r="BA229">
        <f>Source!Y77</f>
        <v>2073.29</v>
      </c>
      <c r="CD229">
        <v>1</v>
      </c>
    </row>
    <row r="230" spans="1:83" ht="114.75" x14ac:dyDescent="0.2">
      <c r="A230" s="83" t="s">
        <v>157</v>
      </c>
      <c r="B230" s="79" t="str">
        <f>Source!F78</f>
        <v>18.4.01.09-0116</v>
      </c>
      <c r="C230" s="79" t="str">
        <f>Source!G78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v>
      </c>
      <c r="D230" s="80" t="str">
        <f>Source!H78</f>
        <v>ШТ</v>
      </c>
      <c r="E230" s="81">
        <f>Source!K78</f>
        <v>1</v>
      </c>
      <c r="F230" s="81"/>
      <c r="G230" s="81">
        <f>Source!I78</f>
        <v>1</v>
      </c>
      <c r="H230" s="82">
        <f>Source!AL78</f>
        <v>7414.09</v>
      </c>
      <c r="I230" s="80">
        <f>IF(Source!BC78&lt;&gt; 0, Source!BC78, 1)</f>
        <v>1.03</v>
      </c>
      <c r="J230" s="82">
        <f>ROUND(H230*I230, 2)</f>
        <v>7636.51</v>
      </c>
      <c r="K230" s="80"/>
      <c r="L230" s="82">
        <f>Source!P78</f>
        <v>7636.51</v>
      </c>
    </row>
    <row r="231" spans="1:83" x14ac:dyDescent="0.2">
      <c r="A231" s="43"/>
      <c r="B231" s="43"/>
      <c r="C231" s="119" t="s">
        <v>896</v>
      </c>
      <c r="D231" s="119"/>
      <c r="E231" s="119"/>
      <c r="F231" s="119"/>
      <c r="G231" s="119"/>
      <c r="H231" s="119"/>
      <c r="I231" s="120">
        <f>IF(E230&lt;&gt;0,K231/E230, 0)</f>
        <v>7636.51</v>
      </c>
      <c r="J231" s="120"/>
      <c r="K231" s="120">
        <f>L230</f>
        <v>7636.51</v>
      </c>
      <c r="L231" s="120"/>
      <c r="AD231">
        <f>ROUND((Source!AT78/100)*((ROUND(ROUND(Source!AO78,2)*Source!I78, 2)+ROUND(ROUND(Source!AN78,2)*Source!I78, 2))), 2)</f>
        <v>0</v>
      </c>
      <c r="AE231">
        <f>ROUND((Source!AU78/100)*((ROUND(ROUND(Source!AO78,2)*Source!I78, 2)+ROUND(ROUND(Source!AN78,2)*Source!I78, 2))), 2)</f>
        <v>0</v>
      </c>
      <c r="AN231" s="22">
        <f>L230</f>
        <v>7636.51</v>
      </c>
      <c r="AO231">
        <f>0</f>
        <v>0</v>
      </c>
      <c r="AQ231" t="s">
        <v>897</v>
      </c>
      <c r="AR231">
        <f>0</f>
        <v>0</v>
      </c>
      <c r="AT231">
        <f>0</f>
        <v>0</v>
      </c>
      <c r="AV231" t="s">
        <v>897</v>
      </c>
      <c r="AW231" s="22">
        <f>L230</f>
        <v>7636.51</v>
      </c>
      <c r="AZ231">
        <f>Source!X78</f>
        <v>0</v>
      </c>
      <c r="BA231">
        <f>Source!Y78</f>
        <v>0</v>
      </c>
      <c r="CD231">
        <v>1</v>
      </c>
    </row>
    <row r="232" spans="1:83" ht="51" x14ac:dyDescent="0.2">
      <c r="A232" s="72" t="s">
        <v>160</v>
      </c>
      <c r="B232" s="62" t="s">
        <v>942</v>
      </c>
      <c r="C232" s="62" t="str">
        <f>Source!G79</f>
        <v>Сварка полиэтиленовых труб при помощи соединительных деталей с закладными электронагревателями, диаметр труб: свыше 32 до 63 мм</v>
      </c>
      <c r="D232" s="73" t="str">
        <f>Source!H79</f>
        <v>соединение</v>
      </c>
      <c r="E232" s="74">
        <f>Source!K79</f>
        <v>1</v>
      </c>
      <c r="F232" s="74"/>
      <c r="G232" s="74">
        <f>Source!I79</f>
        <v>1</v>
      </c>
      <c r="H232" s="75"/>
      <c r="I232" s="73"/>
      <c r="J232" s="75"/>
      <c r="K232" s="73"/>
      <c r="L232" s="75"/>
    </row>
    <row r="233" spans="1:83" x14ac:dyDescent="0.2">
      <c r="A233" s="76"/>
      <c r="B233" s="74">
        <v>1</v>
      </c>
      <c r="C233" s="76" t="s">
        <v>899</v>
      </c>
      <c r="D233" s="73" t="s">
        <v>484</v>
      </c>
      <c r="E233" s="77"/>
      <c r="F233" s="74"/>
      <c r="G233" s="74">
        <f>Source!U79</f>
        <v>0.32</v>
      </c>
      <c r="H233" s="74"/>
      <c r="I233" s="74"/>
      <c r="J233" s="74"/>
      <c r="K233" s="74"/>
      <c r="L233" s="78">
        <f>SUM(L234:L234)-SUMIF(CE234:CE234, 1, L234:L234)</f>
        <v>123.78</v>
      </c>
    </row>
    <row r="234" spans="1:83" x14ac:dyDescent="0.2">
      <c r="A234" s="62"/>
      <c r="B234" s="62" t="s">
        <v>600</v>
      </c>
      <c r="C234" s="62" t="s">
        <v>601</v>
      </c>
      <c r="D234" s="73" t="s">
        <v>484</v>
      </c>
      <c r="E234" s="74">
        <v>0.32</v>
      </c>
      <c r="F234" s="74"/>
      <c r="G234" s="74">
        <f>SmtRes!CX56</f>
        <v>0.32</v>
      </c>
      <c r="H234" s="75"/>
      <c r="I234" s="73"/>
      <c r="J234" s="75">
        <f>SmtRes!CZ56</f>
        <v>386.8</v>
      </c>
      <c r="K234" s="73"/>
      <c r="L234" s="75">
        <f>SmtRes!DI56</f>
        <v>123.78</v>
      </c>
    </row>
    <row r="235" spans="1:83" x14ac:dyDescent="0.2">
      <c r="A235" s="76"/>
      <c r="B235" s="74">
        <v>2</v>
      </c>
      <c r="C235" s="76" t="s">
        <v>890</v>
      </c>
      <c r="D235" s="73"/>
      <c r="E235" s="77"/>
      <c r="F235" s="74"/>
      <c r="G235" s="74"/>
      <c r="H235" s="74"/>
      <c r="I235" s="74"/>
      <c r="J235" s="74"/>
      <c r="K235" s="74"/>
      <c r="L235" s="78">
        <f>SUM(L236:L238)-SUMIF(CE236:CE238, 1, L236:L238)</f>
        <v>4.05</v>
      </c>
    </row>
    <row r="236" spans="1:83" hidden="1" x14ac:dyDescent="0.2">
      <c r="A236" s="76"/>
      <c r="B236" s="74"/>
      <c r="C236" s="76" t="s">
        <v>892</v>
      </c>
      <c r="D236" s="73" t="s">
        <v>484</v>
      </c>
      <c r="E236" s="77"/>
      <c r="F236" s="74"/>
      <c r="G236" s="74">
        <f>Source!V79</f>
        <v>0</v>
      </c>
      <c r="H236" s="74"/>
      <c r="I236" s="74"/>
      <c r="J236" s="74"/>
      <c r="K236" s="74"/>
      <c r="L236" s="78">
        <f>SUMIF(CE237:CE238, 1, L237:L238)</f>
        <v>0</v>
      </c>
      <c r="CE236">
        <v>1</v>
      </c>
    </row>
    <row r="237" spans="1:83" ht="38.25" x14ac:dyDescent="0.2">
      <c r="A237" s="62"/>
      <c r="B237" s="62" t="s">
        <v>588</v>
      </c>
      <c r="C237" s="62" t="s">
        <v>590</v>
      </c>
      <c r="D237" s="73" t="s">
        <v>488</v>
      </c>
      <c r="E237" s="74">
        <v>0.19</v>
      </c>
      <c r="F237" s="74"/>
      <c r="G237" s="74">
        <f>SmtRes!CX57</f>
        <v>0.19</v>
      </c>
      <c r="H237" s="75">
        <f>SmtRes!CZ57</f>
        <v>8.6300000000000008</v>
      </c>
      <c r="I237" s="73">
        <f>SmtRes!AJ57</f>
        <v>1.6</v>
      </c>
      <c r="J237" s="75">
        <f>ROUND(H237*I237, 2)</f>
        <v>13.81</v>
      </c>
      <c r="K237" s="73"/>
      <c r="L237" s="75">
        <f>SmtRes!DG57</f>
        <v>2.62</v>
      </c>
    </row>
    <row r="238" spans="1:83" ht="38.25" x14ac:dyDescent="0.2">
      <c r="A238" s="62"/>
      <c r="B238" s="62" t="s">
        <v>591</v>
      </c>
      <c r="C238" s="62" t="s">
        <v>593</v>
      </c>
      <c r="D238" s="73" t="s">
        <v>488</v>
      </c>
      <c r="E238" s="74">
        <v>0.33</v>
      </c>
      <c r="F238" s="74"/>
      <c r="G238" s="74">
        <f>SmtRes!CX58</f>
        <v>0.33</v>
      </c>
      <c r="H238" s="75">
        <f>SmtRes!CZ58</f>
        <v>3.34</v>
      </c>
      <c r="I238" s="73">
        <f>SmtRes!AJ58</f>
        <v>1.3</v>
      </c>
      <c r="J238" s="75">
        <f>ROUND(H238*I238, 2)</f>
        <v>4.34</v>
      </c>
      <c r="K238" s="73"/>
      <c r="L238" s="75">
        <f>SmtRes!DG58</f>
        <v>1.43</v>
      </c>
    </row>
    <row r="239" spans="1:83" x14ac:dyDescent="0.2">
      <c r="A239" s="76"/>
      <c r="B239" s="74">
        <v>4</v>
      </c>
      <c r="C239" s="76" t="s">
        <v>937</v>
      </c>
      <c r="D239" s="73"/>
      <c r="E239" s="77"/>
      <c r="F239" s="74"/>
      <c r="G239" s="74"/>
      <c r="H239" s="74"/>
      <c r="I239" s="74"/>
      <c r="J239" s="74"/>
      <c r="K239" s="74"/>
      <c r="L239" s="78">
        <f>SUM(L240:L241)-SUMIF(CE240:CE241, 1, L240:L241)</f>
        <v>20.23</v>
      </c>
    </row>
    <row r="240" spans="1:83" ht="25.5" x14ac:dyDescent="0.2">
      <c r="A240" s="62"/>
      <c r="B240" s="62" t="s">
        <v>602</v>
      </c>
      <c r="C240" s="62" t="s">
        <v>604</v>
      </c>
      <c r="D240" s="73" t="s">
        <v>314</v>
      </c>
      <c r="E240" s="74">
        <v>0.02</v>
      </c>
      <c r="F240" s="74"/>
      <c r="G240" s="74">
        <f>SmtRes!CX59</f>
        <v>0.02</v>
      </c>
      <c r="H240" s="75">
        <f>SmtRes!CZ59</f>
        <v>596.80999999999995</v>
      </c>
      <c r="I240" s="73">
        <f>SmtRes!AI59</f>
        <v>1.68</v>
      </c>
      <c r="J240" s="75">
        <f>ROUND(H240*I240, 2)</f>
        <v>1002.64</v>
      </c>
      <c r="K240" s="73"/>
      <c r="L240" s="75">
        <f>SmtRes!DF59</f>
        <v>20.05</v>
      </c>
    </row>
    <row r="241" spans="1:83" x14ac:dyDescent="0.2">
      <c r="A241" s="62"/>
      <c r="B241" s="62" t="s">
        <v>594</v>
      </c>
      <c r="C241" s="62" t="s">
        <v>596</v>
      </c>
      <c r="D241" s="73" t="s">
        <v>314</v>
      </c>
      <c r="E241" s="74">
        <v>2E-3</v>
      </c>
      <c r="F241" s="74"/>
      <c r="G241" s="74">
        <f>SmtRes!CX60</f>
        <v>2E-3</v>
      </c>
      <c r="H241" s="75">
        <f>SmtRes!CZ60</f>
        <v>56.11</v>
      </c>
      <c r="I241" s="73">
        <f>SmtRes!AI60</f>
        <v>1.63</v>
      </c>
      <c r="J241" s="75">
        <f>ROUND(H241*I241, 2)</f>
        <v>91.46</v>
      </c>
      <c r="K241" s="73"/>
      <c r="L241" s="75">
        <f>SmtRes!DF60</f>
        <v>0.18</v>
      </c>
    </row>
    <row r="242" spans="1:83" ht="25.5" x14ac:dyDescent="0.2">
      <c r="A242" s="62"/>
      <c r="B242" s="62" t="str">
        <f>EtalonRes!I69</f>
        <v>24.3.05.07</v>
      </c>
      <c r="C242" s="79" t="str">
        <f>EtalonRes!K69</f>
        <v>Муфты полиэтиленовые с закладными электронагревателями</v>
      </c>
      <c r="D242" s="80" t="str">
        <f>EtalonRes!O69</f>
        <v>ШТ</v>
      </c>
      <c r="E242" s="81">
        <f>EtalonRes!X69</f>
        <v>1</v>
      </c>
      <c r="F242" s="81"/>
      <c r="G242" s="81">
        <f>ROUND(EtalonRes!AG69*Source!I79, 7)</f>
        <v>1</v>
      </c>
      <c r="H242" s="82"/>
      <c r="I242" s="80"/>
      <c r="J242" s="82"/>
      <c r="K242" s="80"/>
      <c r="L242" s="82"/>
    </row>
    <row r="243" spans="1:83" x14ac:dyDescent="0.2">
      <c r="A243" s="62"/>
      <c r="B243" s="62"/>
      <c r="C243" s="61" t="s">
        <v>394</v>
      </c>
      <c r="D243" s="73"/>
      <c r="E243" s="74"/>
      <c r="F243" s="74"/>
      <c r="G243" s="74"/>
      <c r="H243" s="75"/>
      <c r="I243" s="73"/>
      <c r="J243" s="75"/>
      <c r="K243" s="73"/>
      <c r="L243" s="75">
        <f>L233+L235+L236+L239</f>
        <v>148.06</v>
      </c>
    </row>
    <row r="244" spans="1:83" ht="25.5" x14ac:dyDescent="0.2">
      <c r="A244" s="72" t="s">
        <v>943</v>
      </c>
      <c r="B244" s="62" t="str">
        <f>Source!F80</f>
        <v>24.3.05.07-0603</v>
      </c>
      <c r="C244" s="62" t="str">
        <f>Source!G80</f>
        <v>Муфта полиэтиленовая электросварная, ПЭ100, SDR11, диаметр 63 мм</v>
      </c>
      <c r="D244" s="73" t="str">
        <f>Source!H80</f>
        <v>ШТ</v>
      </c>
      <c r="E244" s="74">
        <f>SmtRes!AT61</f>
        <v>1</v>
      </c>
      <c r="F244" s="74"/>
      <c r="G244" s="74">
        <f>Source!I80</f>
        <v>1</v>
      </c>
      <c r="H244" s="75">
        <f>Source!AL80+Source!AO80+Source!AM80+Source!AN80</f>
        <v>206.84</v>
      </c>
      <c r="I244" s="73">
        <f>IF(Source!BC80&lt;&gt; 0, Source!BC80, 1)</f>
        <v>1.27</v>
      </c>
      <c r="J244" s="75">
        <f>ROUND(H244*I244, 2)</f>
        <v>262.69</v>
      </c>
      <c r="K244" s="73"/>
      <c r="L244" s="75">
        <f>Source!P80</f>
        <v>262.69</v>
      </c>
      <c r="AD244">
        <f>ROUND((Source!AT80/100)*((ROUND(ROUND(Source!AO80,2)*Source!I80, 2)+ROUND(ROUND(Source!AN80,2)*Source!I80, 2))), 2)</f>
        <v>0</v>
      </c>
      <c r="AE244">
        <f>ROUND((Source!AU80/100)*((ROUND(ROUND(Source!AO80,2)*Source!I80, 2)+ROUND(ROUND(Source!AN80,2)*Source!I80, 2))), 2)</f>
        <v>0</v>
      </c>
      <c r="AN244">
        <f>L244</f>
        <v>262.69</v>
      </c>
      <c r="AW244">
        <f>L244</f>
        <v>262.69</v>
      </c>
      <c r="AZ244">
        <f>Source!X80</f>
        <v>0</v>
      </c>
      <c r="BA244">
        <f>Source!Y80</f>
        <v>0</v>
      </c>
      <c r="CD244">
        <v>1</v>
      </c>
    </row>
    <row r="245" spans="1:83" x14ac:dyDescent="0.2">
      <c r="A245" s="62"/>
      <c r="B245" s="62"/>
      <c r="C245" s="62" t="s">
        <v>893</v>
      </c>
      <c r="D245" s="73"/>
      <c r="E245" s="74"/>
      <c r="F245" s="74"/>
      <c r="G245" s="74"/>
      <c r="H245" s="75"/>
      <c r="I245" s="73"/>
      <c r="J245" s="75"/>
      <c r="K245" s="73"/>
      <c r="L245" s="75">
        <f>SUM(AR232:AR248)+SUM(AS232:AS248)+SUM(AT232:AT248)+SUM(AU232:AU248)+SUM(AV232:AV248)</f>
        <v>123.78</v>
      </c>
    </row>
    <row r="246" spans="1:83" ht="38.25" x14ac:dyDescent="0.2">
      <c r="A246" s="62"/>
      <c r="B246" s="62" t="s">
        <v>43</v>
      </c>
      <c r="C246" s="62" t="s">
        <v>904</v>
      </c>
      <c r="D246" s="73" t="s">
        <v>194</v>
      </c>
      <c r="E246" s="74">
        <f>Source!BZ79</f>
        <v>117</v>
      </c>
      <c r="F246" s="74"/>
      <c r="G246" s="74">
        <f>Source!AT79</f>
        <v>117</v>
      </c>
      <c r="H246" s="75"/>
      <c r="I246" s="73"/>
      <c r="J246" s="75"/>
      <c r="K246" s="73"/>
      <c r="L246" s="75">
        <f>SUM(AZ232:AZ248)</f>
        <v>144.82</v>
      </c>
    </row>
    <row r="247" spans="1:83" ht="38.25" x14ac:dyDescent="0.2">
      <c r="A247" s="79"/>
      <c r="B247" s="79" t="s">
        <v>44</v>
      </c>
      <c r="C247" s="79" t="s">
        <v>905</v>
      </c>
      <c r="D247" s="80" t="s">
        <v>194</v>
      </c>
      <c r="E247" s="81">
        <f>Source!CA79</f>
        <v>74</v>
      </c>
      <c r="F247" s="81"/>
      <c r="G247" s="81">
        <f>Source!AU79</f>
        <v>74</v>
      </c>
      <c r="H247" s="82"/>
      <c r="I247" s="80"/>
      <c r="J247" s="82"/>
      <c r="K247" s="80"/>
      <c r="L247" s="82">
        <f>SUM(BA232:BA248)</f>
        <v>91.6</v>
      </c>
    </row>
    <row r="248" spans="1:83" x14ac:dyDescent="0.2">
      <c r="A248" s="43"/>
      <c r="B248" s="43"/>
      <c r="C248" s="119" t="s">
        <v>896</v>
      </c>
      <c r="D248" s="119"/>
      <c r="E248" s="119"/>
      <c r="F248" s="119"/>
      <c r="G248" s="119"/>
      <c r="H248" s="119"/>
      <c r="I248" s="120">
        <f>IF(E232&lt;&gt;0,K248/E232, 0)</f>
        <v>647.17000000000007</v>
      </c>
      <c r="J248" s="120"/>
      <c r="K248" s="120">
        <f>L233+L235+L239+L246+L247+L236+SUM(L244:L244)</f>
        <v>647.17000000000007</v>
      </c>
      <c r="L248" s="120"/>
      <c r="AD248">
        <f>ROUND((Source!AT79/100)*((ROUND(SUMIF(SmtRes!AQ56:'SmtRes'!AQ61,"=1",SmtRes!AD56:'SmtRes'!AD61)*Source!I79, 2)+ROUND(SUMIF(SmtRes!AQ56:'SmtRes'!AQ61,"=1",SmtRes!AC56:'SmtRes'!AC61)*Source!I79, 2))), 2)</f>
        <v>452.56</v>
      </c>
      <c r="AE248">
        <f>ROUND((Source!AU79/100)*((ROUND(SUMIF(SmtRes!AQ56:'SmtRes'!AQ61,"=1",SmtRes!AD56:'SmtRes'!AD61)*Source!I79, 2)+ROUND(SUMIF(SmtRes!AQ56:'SmtRes'!AQ61,"=1",SmtRes!AC56:'SmtRes'!AC61)*Source!I79, 2))), 2)</f>
        <v>286.23</v>
      </c>
      <c r="AN248" s="22">
        <f>L233+L235+L239+L246+L247+L236</f>
        <v>384.48</v>
      </c>
      <c r="AO248" s="22">
        <f>L235</f>
        <v>4.05</v>
      </c>
      <c r="AQ248" t="s">
        <v>897</v>
      </c>
      <c r="AR248" s="22">
        <f>L233</f>
        <v>123.78</v>
      </c>
      <c r="AT248" s="22">
        <f>L236</f>
        <v>0</v>
      </c>
      <c r="AV248" t="s">
        <v>897</v>
      </c>
      <c r="AW248" s="22">
        <f>L239</f>
        <v>20.23</v>
      </c>
      <c r="AZ248">
        <f>Source!X79</f>
        <v>144.82</v>
      </c>
      <c r="BA248">
        <f>Source!Y79</f>
        <v>91.6</v>
      </c>
      <c r="CD248">
        <v>1</v>
      </c>
    </row>
    <row r="249" spans="1:83" ht="63.75" x14ac:dyDescent="0.2">
      <c r="A249" s="72" t="s">
        <v>169</v>
      </c>
      <c r="B249" s="62" t="s">
        <v>944</v>
      </c>
      <c r="C249" s="62" t="str">
        <f>Source!G81</f>
        <v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32 до 63 мм</v>
      </c>
      <c r="D249" s="73" t="str">
        <f>Source!H81</f>
        <v>ШТ</v>
      </c>
      <c r="E249" s="74">
        <f>Source!K81</f>
        <v>3</v>
      </c>
      <c r="F249" s="74"/>
      <c r="G249" s="74">
        <f>Source!I81</f>
        <v>3</v>
      </c>
      <c r="H249" s="75"/>
      <c r="I249" s="73"/>
      <c r="J249" s="75"/>
      <c r="K249" s="73"/>
      <c r="L249" s="75"/>
    </row>
    <row r="250" spans="1:83" x14ac:dyDescent="0.2">
      <c r="A250" s="76"/>
      <c r="B250" s="74">
        <v>1</v>
      </c>
      <c r="C250" s="76" t="s">
        <v>899</v>
      </c>
      <c r="D250" s="73" t="s">
        <v>484</v>
      </c>
      <c r="E250" s="77"/>
      <c r="F250" s="74"/>
      <c r="G250" s="74">
        <f>Source!U81</f>
        <v>1.89</v>
      </c>
      <c r="H250" s="74"/>
      <c r="I250" s="74"/>
      <c r="J250" s="74"/>
      <c r="K250" s="74"/>
      <c r="L250" s="78">
        <f>SUM(L251:L251)-SUMIF(CE251:CE251, 1, L251:L251)</f>
        <v>731.05</v>
      </c>
    </row>
    <row r="251" spans="1:83" x14ac:dyDescent="0.2">
      <c r="A251" s="62"/>
      <c r="B251" s="62" t="s">
        <v>600</v>
      </c>
      <c r="C251" s="62" t="s">
        <v>601</v>
      </c>
      <c r="D251" s="73" t="s">
        <v>484</v>
      </c>
      <c r="E251" s="74">
        <v>0.63</v>
      </c>
      <c r="F251" s="74"/>
      <c r="G251" s="74">
        <f>SmtRes!CX62</f>
        <v>1.89</v>
      </c>
      <c r="H251" s="75"/>
      <c r="I251" s="73"/>
      <c r="J251" s="75">
        <f>SmtRes!CZ62</f>
        <v>386.8</v>
      </c>
      <c r="K251" s="73"/>
      <c r="L251" s="75">
        <f>SmtRes!DI62</f>
        <v>731.05</v>
      </c>
    </row>
    <row r="252" spans="1:83" x14ac:dyDescent="0.2">
      <c r="A252" s="76"/>
      <c r="B252" s="74">
        <v>2</v>
      </c>
      <c r="C252" s="76" t="s">
        <v>890</v>
      </c>
      <c r="D252" s="73"/>
      <c r="E252" s="77"/>
      <c r="F252" s="74"/>
      <c r="G252" s="74"/>
      <c r="H252" s="74"/>
      <c r="I252" s="74"/>
      <c r="J252" s="74"/>
      <c r="K252" s="74"/>
      <c r="L252" s="78">
        <f>SUM(L253:L255)-SUMIF(CE253:CE255, 1, L253:L255)</f>
        <v>23.939999999999998</v>
      </c>
    </row>
    <row r="253" spans="1:83" hidden="1" x14ac:dyDescent="0.2">
      <c r="A253" s="76"/>
      <c r="B253" s="74"/>
      <c r="C253" s="76" t="s">
        <v>892</v>
      </c>
      <c r="D253" s="73" t="s">
        <v>484</v>
      </c>
      <c r="E253" s="77"/>
      <c r="F253" s="74"/>
      <c r="G253" s="74">
        <f>Source!V81</f>
        <v>0</v>
      </c>
      <c r="H253" s="74"/>
      <c r="I253" s="74"/>
      <c r="J253" s="74"/>
      <c r="K253" s="74"/>
      <c r="L253" s="78">
        <f>SUMIF(CE254:CE255, 1, L254:L255)</f>
        <v>0</v>
      </c>
      <c r="CE253">
        <v>1</v>
      </c>
    </row>
    <row r="254" spans="1:83" ht="38.25" x14ac:dyDescent="0.2">
      <c r="A254" s="62"/>
      <c r="B254" s="62" t="s">
        <v>588</v>
      </c>
      <c r="C254" s="62" t="s">
        <v>590</v>
      </c>
      <c r="D254" s="73" t="s">
        <v>488</v>
      </c>
      <c r="E254" s="74">
        <v>0.38</v>
      </c>
      <c r="F254" s="74"/>
      <c r="G254" s="74">
        <f>SmtRes!CX63</f>
        <v>1.1399999999999999</v>
      </c>
      <c r="H254" s="75">
        <f>SmtRes!CZ63</f>
        <v>8.6300000000000008</v>
      </c>
      <c r="I254" s="73">
        <f>SmtRes!AJ63</f>
        <v>1.6</v>
      </c>
      <c r="J254" s="75">
        <f>ROUND(H254*I254, 2)</f>
        <v>13.81</v>
      </c>
      <c r="K254" s="73"/>
      <c r="L254" s="75">
        <f>SmtRes!DG63</f>
        <v>15.74</v>
      </c>
    </row>
    <row r="255" spans="1:83" ht="38.25" x14ac:dyDescent="0.2">
      <c r="A255" s="62"/>
      <c r="B255" s="62" t="s">
        <v>591</v>
      </c>
      <c r="C255" s="62" t="s">
        <v>593</v>
      </c>
      <c r="D255" s="73" t="s">
        <v>488</v>
      </c>
      <c r="E255" s="74">
        <v>0.63</v>
      </c>
      <c r="F255" s="74"/>
      <c r="G255" s="74">
        <f>SmtRes!CX64</f>
        <v>1.89</v>
      </c>
      <c r="H255" s="75">
        <f>SmtRes!CZ64</f>
        <v>3.34</v>
      </c>
      <c r="I255" s="73">
        <f>SmtRes!AJ64</f>
        <v>1.3</v>
      </c>
      <c r="J255" s="75">
        <f>ROUND(H255*I255, 2)</f>
        <v>4.34</v>
      </c>
      <c r="K255" s="73"/>
      <c r="L255" s="75">
        <f>SmtRes!DG64</f>
        <v>8.1999999999999993</v>
      </c>
    </row>
    <row r="256" spans="1:83" x14ac:dyDescent="0.2">
      <c r="A256" s="76"/>
      <c r="B256" s="74">
        <v>4</v>
      </c>
      <c r="C256" s="76" t="s">
        <v>937</v>
      </c>
      <c r="D256" s="73"/>
      <c r="E256" s="77"/>
      <c r="F256" s="74"/>
      <c r="G256" s="74"/>
      <c r="H256" s="74"/>
      <c r="I256" s="74"/>
      <c r="J256" s="74"/>
      <c r="K256" s="74"/>
      <c r="L256" s="78">
        <f>SUM(L257:L258)-SUMIF(CE257:CE258, 1, L257:L258)</f>
        <v>121.41999999999999</v>
      </c>
    </row>
    <row r="257" spans="1:82" ht="25.5" x14ac:dyDescent="0.2">
      <c r="A257" s="62"/>
      <c r="B257" s="62" t="s">
        <v>602</v>
      </c>
      <c r="C257" s="62" t="s">
        <v>604</v>
      </c>
      <c r="D257" s="73" t="s">
        <v>314</v>
      </c>
      <c r="E257" s="74">
        <v>0.04</v>
      </c>
      <c r="F257" s="74"/>
      <c r="G257" s="74">
        <f>SmtRes!CX65</f>
        <v>0.12</v>
      </c>
      <c r="H257" s="75">
        <f>SmtRes!CZ65</f>
        <v>596.80999999999995</v>
      </c>
      <c r="I257" s="73">
        <f>SmtRes!AI65</f>
        <v>1.68</v>
      </c>
      <c r="J257" s="75">
        <f>ROUND(H257*I257, 2)</f>
        <v>1002.64</v>
      </c>
      <c r="K257" s="73"/>
      <c r="L257" s="75">
        <f>SmtRes!DF65</f>
        <v>120.32</v>
      </c>
    </row>
    <row r="258" spans="1:82" x14ac:dyDescent="0.2">
      <c r="A258" s="62"/>
      <c r="B258" s="62" t="s">
        <v>594</v>
      </c>
      <c r="C258" s="62" t="s">
        <v>596</v>
      </c>
      <c r="D258" s="73" t="s">
        <v>314</v>
      </c>
      <c r="E258" s="74">
        <v>4.0000000000000001E-3</v>
      </c>
      <c r="F258" s="74"/>
      <c r="G258" s="74">
        <f>SmtRes!CX66</f>
        <v>1.2E-2</v>
      </c>
      <c r="H258" s="75">
        <f>SmtRes!CZ66</f>
        <v>56.11</v>
      </c>
      <c r="I258" s="73">
        <f>SmtRes!AI66</f>
        <v>1.63</v>
      </c>
      <c r="J258" s="75">
        <f>ROUND(H258*I258, 2)</f>
        <v>91.46</v>
      </c>
      <c r="K258" s="73"/>
      <c r="L258" s="75">
        <f>SmtRes!DF66</f>
        <v>1.1000000000000001</v>
      </c>
    </row>
    <row r="259" spans="1:82" x14ac:dyDescent="0.2">
      <c r="A259" s="62"/>
      <c r="B259" s="62"/>
      <c r="C259" s="62"/>
      <c r="D259" s="73"/>
      <c r="E259" s="74"/>
      <c r="F259" s="74"/>
      <c r="G259" s="74"/>
      <c r="H259" s="75"/>
      <c r="I259" s="73"/>
      <c r="J259" s="75"/>
      <c r="K259" s="73"/>
      <c r="L259" s="75"/>
    </row>
    <row r="260" spans="1:82" x14ac:dyDescent="0.2">
      <c r="A260" s="62"/>
      <c r="B260" s="62"/>
      <c r="C260" s="79"/>
      <c r="D260" s="80"/>
      <c r="E260" s="81"/>
      <c r="F260" s="81"/>
      <c r="G260" s="81"/>
      <c r="H260" s="82"/>
      <c r="I260" s="80"/>
      <c r="J260" s="82"/>
      <c r="K260" s="80"/>
      <c r="L260" s="82"/>
    </row>
    <row r="261" spans="1:82" x14ac:dyDescent="0.2">
      <c r="A261" s="62"/>
      <c r="B261" s="62"/>
      <c r="C261" s="61" t="s">
        <v>394</v>
      </c>
      <c r="D261" s="73"/>
      <c r="E261" s="74"/>
      <c r="F261" s="74"/>
      <c r="G261" s="74"/>
      <c r="H261" s="75"/>
      <c r="I261" s="73"/>
      <c r="J261" s="75"/>
      <c r="K261" s="73"/>
      <c r="L261" s="75">
        <f>L250+L252+L253+L256</f>
        <v>876.41</v>
      </c>
    </row>
    <row r="262" spans="1:82" x14ac:dyDescent="0.2">
      <c r="A262" s="62"/>
      <c r="B262" s="62"/>
      <c r="C262" s="62" t="s">
        <v>893</v>
      </c>
      <c r="D262" s="73"/>
      <c r="E262" s="74"/>
      <c r="F262" s="74"/>
      <c r="G262" s="74"/>
      <c r="H262" s="75"/>
      <c r="I262" s="73"/>
      <c r="J262" s="75"/>
      <c r="K262" s="73"/>
      <c r="L262" s="75">
        <f>SUM(AR249:AR265)+SUM(AS249:AS265)+SUM(AT249:AT265)+SUM(AU249:AU265)+SUM(AV249:AV265)</f>
        <v>731.05</v>
      </c>
    </row>
    <row r="263" spans="1:82" ht="38.25" x14ac:dyDescent="0.2">
      <c r="A263" s="62"/>
      <c r="B263" s="62" t="s">
        <v>43</v>
      </c>
      <c r="C263" s="62" t="s">
        <v>904</v>
      </c>
      <c r="D263" s="73" t="s">
        <v>194</v>
      </c>
      <c r="E263" s="74">
        <f>Source!BZ81</f>
        <v>117</v>
      </c>
      <c r="F263" s="74"/>
      <c r="G263" s="74">
        <f>Source!AT81</f>
        <v>117</v>
      </c>
      <c r="H263" s="75"/>
      <c r="I263" s="73"/>
      <c r="J263" s="75"/>
      <c r="K263" s="73"/>
      <c r="L263" s="75">
        <f>SUM(AZ249:AZ265)</f>
        <v>855.33</v>
      </c>
    </row>
    <row r="264" spans="1:82" ht="38.25" x14ac:dyDescent="0.2">
      <c r="A264" s="79"/>
      <c r="B264" s="79" t="s">
        <v>44</v>
      </c>
      <c r="C264" s="79" t="s">
        <v>905</v>
      </c>
      <c r="D264" s="80" t="s">
        <v>194</v>
      </c>
      <c r="E264" s="81">
        <f>Source!CA81</f>
        <v>74</v>
      </c>
      <c r="F264" s="81"/>
      <c r="G264" s="81">
        <f>Source!AU81</f>
        <v>74</v>
      </c>
      <c r="H264" s="82"/>
      <c r="I264" s="80"/>
      <c r="J264" s="82"/>
      <c r="K264" s="80"/>
      <c r="L264" s="82">
        <f>SUM(BA249:BA265)</f>
        <v>540.98</v>
      </c>
    </row>
    <row r="265" spans="1:82" x14ac:dyDescent="0.2">
      <c r="A265" s="43"/>
      <c r="B265" s="43"/>
      <c r="C265" s="119" t="s">
        <v>896</v>
      </c>
      <c r="D265" s="119"/>
      <c r="E265" s="119"/>
      <c r="F265" s="119"/>
      <c r="G265" s="119"/>
      <c r="H265" s="119"/>
      <c r="I265" s="120">
        <f>IF(E249&lt;&gt;0,K265/E249, 0)</f>
        <v>757.57333333333338</v>
      </c>
      <c r="J265" s="120"/>
      <c r="K265" s="120">
        <f>L250+L252+L256+L263+L264+L253</f>
        <v>2272.7200000000003</v>
      </c>
      <c r="L265" s="120"/>
      <c r="AD265">
        <f>ROUND((Source!AT81/100)*((ROUND(SUMIF(SmtRes!AQ62:'SmtRes'!AQ66,"=1",SmtRes!AD62:'SmtRes'!AD66)*Source!I81, 2)+ROUND(SUMIF(SmtRes!AQ62:'SmtRes'!AQ66,"=1",SmtRes!AC62:'SmtRes'!AC66)*Source!I81, 2))), 2)</f>
        <v>1357.67</v>
      </c>
      <c r="AE265">
        <f>ROUND((Source!AU81/100)*((ROUND(SUMIF(SmtRes!AQ62:'SmtRes'!AQ66,"=1",SmtRes!AD62:'SmtRes'!AD66)*Source!I81, 2)+ROUND(SUMIF(SmtRes!AQ62:'SmtRes'!AQ66,"=1",SmtRes!AC62:'SmtRes'!AC66)*Source!I81, 2))), 2)</f>
        <v>858.7</v>
      </c>
      <c r="AN265" s="22">
        <f>L250+L252+L256+L263+L264+L253</f>
        <v>2272.7200000000003</v>
      </c>
      <c r="AO265" s="22">
        <f>L252</f>
        <v>23.939999999999998</v>
      </c>
      <c r="AQ265" t="s">
        <v>897</v>
      </c>
      <c r="AR265" s="22">
        <f>L250</f>
        <v>731.05</v>
      </c>
      <c r="AT265" s="22">
        <f>L253</f>
        <v>0</v>
      </c>
      <c r="AV265" t="s">
        <v>897</v>
      </c>
      <c r="AW265" s="22">
        <f>L256</f>
        <v>121.41999999999999</v>
      </c>
      <c r="AZ265">
        <f>Source!X81</f>
        <v>855.33</v>
      </c>
      <c r="BA265">
        <f>Source!Y81</f>
        <v>540.98</v>
      </c>
      <c r="CD265">
        <v>1</v>
      </c>
    </row>
    <row r="266" spans="1:82" ht="25.5" x14ac:dyDescent="0.2">
      <c r="A266" s="83" t="s">
        <v>173</v>
      </c>
      <c r="B266" s="79" t="str">
        <f>Source!F82</f>
        <v>24.3.05.08-0223</v>
      </c>
      <c r="C266" s="79" t="str">
        <f>Source!G82</f>
        <v>Отвод 90° полиэтиленовый литой, электросварной, диаметр 63 мм</v>
      </c>
      <c r="D266" s="80" t="str">
        <f>Source!H82</f>
        <v>ШТ</v>
      </c>
      <c r="E266" s="81">
        <f>Source!K82</f>
        <v>1</v>
      </c>
      <c r="F266" s="81"/>
      <c r="G266" s="81">
        <f>Source!I82</f>
        <v>1</v>
      </c>
      <c r="H266" s="82">
        <f>Source!AL82</f>
        <v>1009.91</v>
      </c>
      <c r="I266" s="80">
        <f>IF(Source!BC82&lt;&gt; 0, Source!BC82, 1)</f>
        <v>0.99</v>
      </c>
      <c r="J266" s="82">
        <f>ROUND(H266*I266, 2)</f>
        <v>999.81</v>
      </c>
      <c r="K266" s="80"/>
      <c r="L266" s="82">
        <f>Source!P82</f>
        <v>999.81</v>
      </c>
    </row>
    <row r="267" spans="1:82" x14ac:dyDescent="0.2">
      <c r="A267" s="43"/>
      <c r="B267" s="43"/>
      <c r="C267" s="119" t="s">
        <v>896</v>
      </c>
      <c r="D267" s="119"/>
      <c r="E267" s="119"/>
      <c r="F267" s="119"/>
      <c r="G267" s="119"/>
      <c r="H267" s="119"/>
      <c r="I267" s="120">
        <f>IF(E266&lt;&gt;0,K267/E266, 0)</f>
        <v>999.81</v>
      </c>
      <c r="J267" s="120"/>
      <c r="K267" s="120">
        <f>L266</f>
        <v>999.81</v>
      </c>
      <c r="L267" s="120"/>
      <c r="AD267">
        <f>ROUND((Source!AT82/100)*((ROUND(ROUND(Source!AO82,2)*Source!I82, 2)+ROUND(ROUND(Source!AN82,2)*Source!I82, 2))), 2)</f>
        <v>0</v>
      </c>
      <c r="AE267">
        <f>ROUND((Source!AU82/100)*((ROUND(ROUND(Source!AO82,2)*Source!I82, 2)+ROUND(ROUND(Source!AN82,2)*Source!I82, 2))), 2)</f>
        <v>0</v>
      </c>
      <c r="AN267" s="22">
        <f>L266</f>
        <v>999.81</v>
      </c>
      <c r="AO267">
        <f>0</f>
        <v>0</v>
      </c>
      <c r="AQ267" t="s">
        <v>897</v>
      </c>
      <c r="AR267">
        <f>0</f>
        <v>0</v>
      </c>
      <c r="AT267">
        <f>0</f>
        <v>0</v>
      </c>
      <c r="AV267" t="s">
        <v>897</v>
      </c>
      <c r="AW267" s="22">
        <f>L266</f>
        <v>999.81</v>
      </c>
      <c r="AZ267">
        <f>Source!X82</f>
        <v>0</v>
      </c>
      <c r="BA267">
        <f>Source!Y82</f>
        <v>0</v>
      </c>
      <c r="CD267">
        <v>1</v>
      </c>
    </row>
    <row r="268" spans="1:82" ht="25.5" x14ac:dyDescent="0.2">
      <c r="A268" s="83" t="s">
        <v>177</v>
      </c>
      <c r="B268" s="79" t="str">
        <f>Source!F83</f>
        <v>24.3.05.08-0212</v>
      </c>
      <c r="C268" s="79" t="str">
        <f>Source!G83</f>
        <v>Отвод 45° полиэтиленовый литой, электросварной, диаметр 63 мм</v>
      </c>
      <c r="D268" s="80" t="str">
        <f>Source!H83</f>
        <v>ШТ</v>
      </c>
      <c r="E268" s="81">
        <f>Source!K83</f>
        <v>2</v>
      </c>
      <c r="F268" s="81"/>
      <c r="G268" s="81">
        <f>Source!I83</f>
        <v>2</v>
      </c>
      <c r="H268" s="82">
        <f>Source!AL83</f>
        <v>1009.91</v>
      </c>
      <c r="I268" s="80">
        <f>IF(Source!BC83&lt;&gt; 0, Source!BC83, 1)</f>
        <v>0.99</v>
      </c>
      <c r="J268" s="82">
        <f>ROUND(H268*I268, 2)</f>
        <v>999.81</v>
      </c>
      <c r="K268" s="80"/>
      <c r="L268" s="82">
        <f>Source!P83</f>
        <v>1999.62</v>
      </c>
    </row>
    <row r="269" spans="1:82" x14ac:dyDescent="0.2">
      <c r="A269" s="43"/>
      <c r="B269" s="43"/>
      <c r="C269" s="119" t="s">
        <v>896</v>
      </c>
      <c r="D269" s="119"/>
      <c r="E269" s="119"/>
      <c r="F269" s="119"/>
      <c r="G269" s="119"/>
      <c r="H269" s="119"/>
      <c r="I269" s="120">
        <f>IF(E268&lt;&gt;0,K269/E268, 0)</f>
        <v>999.81</v>
      </c>
      <c r="J269" s="120"/>
      <c r="K269" s="120">
        <f>L268</f>
        <v>1999.62</v>
      </c>
      <c r="L269" s="120"/>
      <c r="AD269">
        <f>ROUND((Source!AT83/100)*((ROUND(ROUND(Source!AO83,2)*Source!I83, 2)+ROUND(ROUND(Source!AN83,2)*Source!I83, 2))), 2)</f>
        <v>0</v>
      </c>
      <c r="AE269">
        <f>ROUND((Source!AU83/100)*((ROUND(ROUND(Source!AO83,2)*Source!I83, 2)+ROUND(ROUND(Source!AN83,2)*Source!I83, 2))), 2)</f>
        <v>0</v>
      </c>
      <c r="AN269" s="22">
        <f>L268</f>
        <v>1999.62</v>
      </c>
      <c r="AO269">
        <f>0</f>
        <v>0</v>
      </c>
      <c r="AQ269" t="s">
        <v>897</v>
      </c>
      <c r="AR269">
        <f>0</f>
        <v>0</v>
      </c>
      <c r="AT269">
        <f>0</f>
        <v>0</v>
      </c>
      <c r="AV269" t="s">
        <v>897</v>
      </c>
      <c r="AW269" s="22">
        <f>L268</f>
        <v>1999.62</v>
      </c>
      <c r="AZ269">
        <f>Source!X83</f>
        <v>0</v>
      </c>
      <c r="BA269">
        <f>Source!Y83</f>
        <v>0</v>
      </c>
      <c r="CD269">
        <v>1</v>
      </c>
    </row>
    <row r="270" spans="1:82" ht="25.5" x14ac:dyDescent="0.2">
      <c r="A270" s="72" t="s">
        <v>181</v>
      </c>
      <c r="B270" s="62" t="s">
        <v>945</v>
      </c>
      <c r="C270" s="62" t="str">
        <f>Source!G84</f>
        <v>Кабель, прокладываемый в траншее, масса 1м кабеля: до 0,6 кг</v>
      </c>
      <c r="D270" s="73" t="str">
        <f>Source!H84</f>
        <v>км кабеля</v>
      </c>
      <c r="E270" s="74">
        <f>Source!K84</f>
        <v>8.1000000000000003E-2</v>
      </c>
      <c r="F270" s="74"/>
      <c r="G270" s="74">
        <f>Source!I84</f>
        <v>8.1000000000000003E-2</v>
      </c>
      <c r="H270" s="75"/>
      <c r="I270" s="73"/>
      <c r="J270" s="75"/>
      <c r="K270" s="73"/>
      <c r="L270" s="75"/>
    </row>
    <row r="271" spans="1:82" x14ac:dyDescent="0.2">
      <c r="A271" s="76"/>
      <c r="B271" s="74">
        <v>1</v>
      </c>
      <c r="C271" s="76" t="s">
        <v>899</v>
      </c>
      <c r="D271" s="73" t="s">
        <v>484</v>
      </c>
      <c r="E271" s="77"/>
      <c r="F271" s="74"/>
      <c r="G271" s="74">
        <f>Source!U84</f>
        <v>2.1869999999999998</v>
      </c>
      <c r="H271" s="74"/>
      <c r="I271" s="74"/>
      <c r="J271" s="74"/>
      <c r="K271" s="74"/>
      <c r="L271" s="78">
        <f>SUM(L272:L272)-SUMIF(CE272:CE272, 1, L272:L272)</f>
        <v>826.34</v>
      </c>
    </row>
    <row r="272" spans="1:82" x14ac:dyDescent="0.2">
      <c r="A272" s="62"/>
      <c r="B272" s="62" t="s">
        <v>605</v>
      </c>
      <c r="C272" s="62" t="s">
        <v>606</v>
      </c>
      <c r="D272" s="73" t="s">
        <v>484</v>
      </c>
      <c r="E272" s="74">
        <v>27</v>
      </c>
      <c r="F272" s="74"/>
      <c r="G272" s="74">
        <f>SmtRes!CX67</f>
        <v>2.1869999999999998</v>
      </c>
      <c r="H272" s="75"/>
      <c r="I272" s="73"/>
      <c r="J272" s="75">
        <f>SmtRes!CZ67</f>
        <v>377.84</v>
      </c>
      <c r="K272" s="73"/>
      <c r="L272" s="75">
        <f>SmtRes!DI67</f>
        <v>826.34</v>
      </c>
    </row>
    <row r="273" spans="1:83" x14ac:dyDescent="0.2">
      <c r="A273" s="76"/>
      <c r="B273" s="74">
        <v>2</v>
      </c>
      <c r="C273" s="76" t="s">
        <v>890</v>
      </c>
      <c r="D273" s="73"/>
      <c r="E273" s="77"/>
      <c r="F273" s="74"/>
      <c r="G273" s="74"/>
      <c r="H273" s="74"/>
      <c r="I273" s="74"/>
      <c r="J273" s="74"/>
      <c r="K273" s="74"/>
      <c r="L273" s="78">
        <f>SUM(L274:L277)-SUMIF(CE274:CE277, 1, L274:L277)</f>
        <v>844.34</v>
      </c>
    </row>
    <row r="274" spans="1:83" x14ac:dyDescent="0.2">
      <c r="A274" s="76"/>
      <c r="B274" s="74"/>
      <c r="C274" s="76" t="s">
        <v>892</v>
      </c>
      <c r="D274" s="73" t="s">
        <v>484</v>
      </c>
      <c r="E274" s="77"/>
      <c r="F274" s="74"/>
      <c r="G274" s="74">
        <f>Source!V84</f>
        <v>0.60102</v>
      </c>
      <c r="H274" s="74"/>
      <c r="I274" s="74"/>
      <c r="J274" s="74"/>
      <c r="K274" s="74"/>
      <c r="L274" s="78">
        <f>SUMIF(CE275:CE277, 1, L275:L277)</f>
        <v>276.45999999999998</v>
      </c>
      <c r="CE274">
        <v>1</v>
      </c>
    </row>
    <row r="275" spans="1:83" ht="38.25" x14ac:dyDescent="0.2">
      <c r="A275" s="62"/>
      <c r="B275" s="62" t="s">
        <v>607</v>
      </c>
      <c r="C275" s="62" t="s">
        <v>609</v>
      </c>
      <c r="D275" s="73" t="s">
        <v>488</v>
      </c>
      <c r="E275" s="74">
        <v>7.42</v>
      </c>
      <c r="F275" s="74"/>
      <c r="G275" s="74">
        <f>SmtRes!CX69</f>
        <v>0.60102</v>
      </c>
      <c r="H275" s="75">
        <f>SmtRes!CZ69</f>
        <v>995.51</v>
      </c>
      <c r="I275" s="73">
        <f>SmtRes!AJ69</f>
        <v>1.35</v>
      </c>
      <c r="J275" s="75">
        <f>ROUND(H275*I275, 2)</f>
        <v>1343.94</v>
      </c>
      <c r="K275" s="73"/>
      <c r="L275" s="75">
        <f>SmtRes!DG69</f>
        <v>807.73</v>
      </c>
    </row>
    <row r="276" spans="1:83" x14ac:dyDescent="0.2">
      <c r="A276" s="62"/>
      <c r="B276" s="62" t="s">
        <v>497</v>
      </c>
      <c r="C276" s="62" t="s">
        <v>903</v>
      </c>
      <c r="D276" s="73" t="s">
        <v>484</v>
      </c>
      <c r="E276" s="74">
        <f>SmtRes!DO69*SmtRes!AT69</f>
        <v>7.42</v>
      </c>
      <c r="F276" s="74"/>
      <c r="G276" s="74">
        <f>ROUND(E276*G270, 7)</f>
        <v>0.60102</v>
      </c>
      <c r="H276" s="75"/>
      <c r="I276" s="73"/>
      <c r="J276" s="75">
        <f>ROUND(SmtRes!AG69/SmtRes!DO69, 2)</f>
        <v>459.98</v>
      </c>
      <c r="K276" s="73"/>
      <c r="L276" s="75">
        <f>SmtRes!DH69</f>
        <v>276.45999999999998</v>
      </c>
      <c r="CE276">
        <v>1</v>
      </c>
    </row>
    <row r="277" spans="1:83" ht="25.5" x14ac:dyDescent="0.2">
      <c r="A277" s="62"/>
      <c r="B277" s="62" t="s">
        <v>610</v>
      </c>
      <c r="C277" s="79" t="s">
        <v>612</v>
      </c>
      <c r="D277" s="80" t="s">
        <v>488</v>
      </c>
      <c r="E277" s="81">
        <v>7.42</v>
      </c>
      <c r="F277" s="81"/>
      <c r="G277" s="81">
        <f>SmtRes!CX70</f>
        <v>0.60102</v>
      </c>
      <c r="H277" s="82">
        <f>SmtRes!CZ70</f>
        <v>34.409999999999997</v>
      </c>
      <c r="I277" s="80">
        <f>SmtRes!AJ70</f>
        <v>1.77</v>
      </c>
      <c r="J277" s="82">
        <f>ROUND(H277*I277, 2)</f>
        <v>60.91</v>
      </c>
      <c r="K277" s="80"/>
      <c r="L277" s="82">
        <f>SmtRes!DG70</f>
        <v>36.61</v>
      </c>
    </row>
    <row r="278" spans="1:83" x14ac:dyDescent="0.2">
      <c r="A278" s="62"/>
      <c r="B278" s="62"/>
      <c r="C278" s="61" t="s">
        <v>394</v>
      </c>
      <c r="D278" s="73"/>
      <c r="E278" s="74"/>
      <c r="F278" s="74"/>
      <c r="G278" s="74"/>
      <c r="H278" s="75"/>
      <c r="I278" s="73"/>
      <c r="J278" s="75"/>
      <c r="K278" s="73"/>
      <c r="L278" s="75">
        <f>L271+L273+L274</f>
        <v>1947.14</v>
      </c>
    </row>
    <row r="279" spans="1:83" ht="38.25" x14ac:dyDescent="0.2">
      <c r="A279" s="72" t="s">
        <v>946</v>
      </c>
      <c r="B279" s="62" t="str">
        <f>Source!F85</f>
        <v>421/пр_2020_п.75_пп.а</v>
      </c>
      <c r="C279" s="62" t="str">
        <f>Source!G85</f>
        <v>Сметная стоимость вспомогательных ненормируемых материальных ресурсов, не учтенная в сметной норме, 2%</v>
      </c>
      <c r="D279" s="73" t="str">
        <f>Source!H85</f>
        <v>%</v>
      </c>
      <c r="E279" s="74">
        <f>SmtRes!AT71</f>
        <v>2</v>
      </c>
      <c r="F279" s="74"/>
      <c r="G279" s="74">
        <f>Source!I85</f>
        <v>2</v>
      </c>
      <c r="H279" s="75"/>
      <c r="I279" s="73"/>
      <c r="J279" s="75"/>
      <c r="K279" s="73"/>
      <c r="L279" s="75">
        <f>Source!P85</f>
        <v>16.53</v>
      </c>
      <c r="AD279">
        <f>ROUND((Source!AT85/100)*((ROUND(0*Source!I85, 2)+ROUND(0*Source!I85, 2))), 2)</f>
        <v>0</v>
      </c>
      <c r="AE279">
        <f>ROUND((Source!AU85/100)*((ROUND(0*Source!I85, 2)+ROUND(0*Source!I85, 2))), 2)</f>
        <v>0</v>
      </c>
      <c r="AN279">
        <f>L279</f>
        <v>16.53</v>
      </c>
      <c r="AW279">
        <f>L279</f>
        <v>16.53</v>
      </c>
      <c r="AZ279">
        <f>Source!X85</f>
        <v>0</v>
      </c>
      <c r="BA279">
        <f>Source!Y85</f>
        <v>0</v>
      </c>
      <c r="CD279">
        <v>2</v>
      </c>
    </row>
    <row r="280" spans="1:83" x14ac:dyDescent="0.2">
      <c r="A280" s="62"/>
      <c r="B280" s="62"/>
      <c r="C280" s="62" t="s">
        <v>893</v>
      </c>
      <c r="D280" s="73"/>
      <c r="E280" s="74"/>
      <c r="F280" s="74"/>
      <c r="G280" s="74"/>
      <c r="H280" s="75"/>
      <c r="I280" s="73"/>
      <c r="J280" s="75"/>
      <c r="K280" s="73"/>
      <c r="L280" s="75">
        <f>SUM(AR270:AR283)+SUM(AS270:AS283)+SUM(AT270:AT283)+SUM(AU270:AU283)+SUM(AV270:AV283)</f>
        <v>1102.8</v>
      </c>
    </row>
    <row r="281" spans="1:83" ht="25.5" x14ac:dyDescent="0.2">
      <c r="A281" s="62"/>
      <c r="B281" s="62" t="s">
        <v>189</v>
      </c>
      <c r="C281" s="62" t="s">
        <v>947</v>
      </c>
      <c r="D281" s="73" t="s">
        <v>194</v>
      </c>
      <c r="E281" s="74">
        <f>Source!BZ84</f>
        <v>111</v>
      </c>
      <c r="F281" s="74"/>
      <c r="G281" s="74">
        <f>Source!AT84</f>
        <v>111</v>
      </c>
      <c r="H281" s="75"/>
      <c r="I281" s="73"/>
      <c r="J281" s="75"/>
      <c r="K281" s="73"/>
      <c r="L281" s="75">
        <f>SUM(AZ270:AZ283)</f>
        <v>1224.1099999999999</v>
      </c>
    </row>
    <row r="282" spans="1:83" ht="25.5" x14ac:dyDescent="0.2">
      <c r="A282" s="79"/>
      <c r="B282" s="79" t="s">
        <v>190</v>
      </c>
      <c r="C282" s="79" t="s">
        <v>948</v>
      </c>
      <c r="D282" s="80" t="s">
        <v>194</v>
      </c>
      <c r="E282" s="81">
        <f>Source!CA84</f>
        <v>52</v>
      </c>
      <c r="F282" s="81"/>
      <c r="G282" s="81">
        <f>Source!AU84</f>
        <v>52</v>
      </c>
      <c r="H282" s="82"/>
      <c r="I282" s="80"/>
      <c r="J282" s="82"/>
      <c r="K282" s="80"/>
      <c r="L282" s="82">
        <f>SUM(BA270:BA283)</f>
        <v>573.46</v>
      </c>
    </row>
    <row r="283" spans="1:83" x14ac:dyDescent="0.2">
      <c r="A283" s="43"/>
      <c r="B283" s="43"/>
      <c r="C283" s="119" t="s">
        <v>896</v>
      </c>
      <c r="D283" s="119"/>
      <c r="E283" s="119"/>
      <c r="F283" s="119"/>
      <c r="G283" s="119"/>
      <c r="H283" s="119"/>
      <c r="I283" s="120">
        <f>IF(E270&lt;&gt;0,K283/E270, 0)</f>
        <v>46435.061728395063</v>
      </c>
      <c r="J283" s="120"/>
      <c r="K283" s="120">
        <f>L271+L273+L281+L282+L274+SUM(L279:L279)</f>
        <v>3761.2400000000002</v>
      </c>
      <c r="L283" s="120"/>
      <c r="AD283">
        <f>ROUND((Source!AT84/100)*((ROUND(SUMIF(SmtRes!AQ67:'SmtRes'!AQ71,"=1",SmtRes!AD67:'SmtRes'!AD71)*Source!I84, 2)+ROUND(SUMIF(SmtRes!AQ67:'SmtRes'!AQ71,"=1",SmtRes!AC67:'SmtRes'!AC71)*Source!I84, 2))), 2)</f>
        <v>75.34</v>
      </c>
      <c r="AE283">
        <f>ROUND((Source!AU84/100)*((ROUND(SUMIF(SmtRes!AQ67:'SmtRes'!AQ71,"=1",SmtRes!AD67:'SmtRes'!AD71)*Source!I84, 2)+ROUND(SUMIF(SmtRes!AQ67:'SmtRes'!AQ71,"=1",SmtRes!AC67:'SmtRes'!AC71)*Source!I84, 2))), 2)</f>
        <v>35.29</v>
      </c>
      <c r="AN283" s="22">
        <f>L271+L273+L281+L282+L274</f>
        <v>3744.71</v>
      </c>
      <c r="AO283" s="22">
        <f>L273</f>
        <v>844.34</v>
      </c>
      <c r="AQ283" t="s">
        <v>897</v>
      </c>
      <c r="AR283" s="22">
        <f>L271</f>
        <v>826.34</v>
      </c>
      <c r="AT283" s="22">
        <f>L274</f>
        <v>276.45999999999998</v>
      </c>
      <c r="AV283" t="s">
        <v>897</v>
      </c>
      <c r="AW283">
        <f>0</f>
        <v>0</v>
      </c>
      <c r="AZ283">
        <f>Source!X84</f>
        <v>1224.1099999999999</v>
      </c>
      <c r="BA283">
        <f>Source!Y84</f>
        <v>573.46</v>
      </c>
      <c r="CD283">
        <v>2</v>
      </c>
    </row>
    <row r="284" spans="1:83" x14ac:dyDescent="0.2">
      <c r="A284" s="72" t="s">
        <v>195</v>
      </c>
      <c r="B284" s="62" t="str">
        <f>Source!F86</f>
        <v>21.2.03.05-0002</v>
      </c>
      <c r="C284" s="62" t="str">
        <f>Source!G86</f>
        <v>Провод установочный АПуВ 1х2,5-450/750</v>
      </c>
      <c r="D284" s="73" t="str">
        <f>Source!H86</f>
        <v>1000 м</v>
      </c>
      <c r="E284" s="74">
        <f>Source!K86</f>
        <v>8.1000000000000003E-2</v>
      </c>
      <c r="F284" s="74"/>
      <c r="G284" s="74">
        <f>Source!I86</f>
        <v>8.1000000000000003E-2</v>
      </c>
      <c r="H284" s="75">
        <f>Source!AL86</f>
        <v>3080.58</v>
      </c>
      <c r="I284" s="73">
        <f>IF(Source!BC86&lt;&gt; 0, Source!BC86, 1)</f>
        <v>1.26</v>
      </c>
      <c r="J284" s="75">
        <f>ROUND(H284*I284, 2)</f>
        <v>3881.53</v>
      </c>
      <c r="K284" s="73"/>
      <c r="L284" s="75">
        <f>Source!P86</f>
        <v>314.39999999999998</v>
      </c>
    </row>
    <row r="285" spans="1:83" x14ac:dyDescent="0.2">
      <c r="A285" s="63"/>
      <c r="B285" s="63"/>
      <c r="C285" s="64" t="str">
        <f>"Объем: "&amp;Source!I86&amp;"=81/"&amp;"1000"</f>
        <v>Объем: 0,081=81/1000</v>
      </c>
      <c r="D285" s="63"/>
      <c r="E285" s="63"/>
      <c r="F285" s="63"/>
      <c r="G285" s="63"/>
      <c r="H285" s="63"/>
      <c r="I285" s="63"/>
      <c r="J285" s="63"/>
      <c r="K285" s="63"/>
      <c r="L285" s="63"/>
    </row>
    <row r="286" spans="1:83" x14ac:dyDescent="0.2">
      <c r="A286" s="43"/>
      <c r="B286" s="43"/>
      <c r="C286" s="119" t="s">
        <v>896</v>
      </c>
      <c r="D286" s="119"/>
      <c r="E286" s="119"/>
      <c r="F286" s="119"/>
      <c r="G286" s="119"/>
      <c r="H286" s="119"/>
      <c r="I286" s="120">
        <f>IF(E284&lt;&gt;0,K286/E284, 0)</f>
        <v>3881.4814814814813</v>
      </c>
      <c r="J286" s="120"/>
      <c r="K286" s="120">
        <f>L284</f>
        <v>314.39999999999998</v>
      </c>
      <c r="L286" s="120"/>
      <c r="AD286">
        <f>ROUND((Source!AT86/100)*((ROUND(ROUND(Source!AO86,2)*Source!I86, 2)+ROUND(ROUND(Source!AN86,2)*Source!I86, 2))), 2)</f>
        <v>0</v>
      </c>
      <c r="AE286">
        <f>ROUND((Source!AU86/100)*((ROUND(ROUND(Source!AO86,2)*Source!I86, 2)+ROUND(ROUND(Source!AN86,2)*Source!I86, 2))), 2)</f>
        <v>0</v>
      </c>
      <c r="AN286" s="22">
        <f>L284</f>
        <v>314.39999999999998</v>
      </c>
      <c r="AO286">
        <f>0</f>
        <v>0</v>
      </c>
      <c r="AQ286" t="s">
        <v>897</v>
      </c>
      <c r="AR286">
        <f>0</f>
        <v>0</v>
      </c>
      <c r="AT286">
        <f>0</f>
        <v>0</v>
      </c>
      <c r="AV286" t="s">
        <v>897</v>
      </c>
      <c r="AW286" s="22">
        <f>L284</f>
        <v>314.39999999999998</v>
      </c>
      <c r="AZ286">
        <f>Source!X86</f>
        <v>0</v>
      </c>
      <c r="BA286">
        <f>Source!Y86</f>
        <v>0</v>
      </c>
      <c r="CD286">
        <v>2</v>
      </c>
    </row>
    <row r="287" spans="1:83" ht="25.5" x14ac:dyDescent="0.2">
      <c r="A287" s="72" t="s">
        <v>204</v>
      </c>
      <c r="B287" s="62" t="s">
        <v>945</v>
      </c>
      <c r="C287" s="62" t="str">
        <f>Source!G87</f>
        <v>Прокладка ленты сигнальной желтого цвета в траншее</v>
      </c>
      <c r="D287" s="73" t="str">
        <f>Source!H87</f>
        <v>км кабеля</v>
      </c>
      <c r="E287" s="74">
        <f>Source!K87</f>
        <v>0.09</v>
      </c>
      <c r="F287" s="74"/>
      <c r="G287" s="74">
        <f>Source!I87</f>
        <v>0.09</v>
      </c>
      <c r="H287" s="75"/>
      <c r="I287" s="73"/>
      <c r="J287" s="75"/>
      <c r="K287" s="73"/>
      <c r="L287" s="75"/>
    </row>
    <row r="288" spans="1:83" x14ac:dyDescent="0.2">
      <c r="A288" s="76"/>
      <c r="B288" s="74">
        <v>1</v>
      </c>
      <c r="C288" s="76" t="s">
        <v>899</v>
      </c>
      <c r="D288" s="73" t="s">
        <v>484</v>
      </c>
      <c r="E288" s="77"/>
      <c r="F288" s="74"/>
      <c r="G288" s="74">
        <f>Source!U87</f>
        <v>2.4300000000000002</v>
      </c>
      <c r="H288" s="74"/>
      <c r="I288" s="74"/>
      <c r="J288" s="74"/>
      <c r="K288" s="74"/>
      <c r="L288" s="78">
        <f>SUM(L289:L289)-SUMIF(CE289:CE289, 1, L289:L289)</f>
        <v>918.15</v>
      </c>
    </row>
    <row r="289" spans="1:83" x14ac:dyDescent="0.2">
      <c r="A289" s="62"/>
      <c r="B289" s="62" t="s">
        <v>605</v>
      </c>
      <c r="C289" s="62" t="s">
        <v>606</v>
      </c>
      <c r="D289" s="73" t="s">
        <v>484</v>
      </c>
      <c r="E289" s="74">
        <v>27</v>
      </c>
      <c r="F289" s="74"/>
      <c r="G289" s="74">
        <f>SmtRes!CX72</f>
        <v>2.4300000000000002</v>
      </c>
      <c r="H289" s="75"/>
      <c r="I289" s="73"/>
      <c r="J289" s="75">
        <f>SmtRes!CZ72</f>
        <v>377.84</v>
      </c>
      <c r="K289" s="73"/>
      <c r="L289" s="75">
        <f>SmtRes!DI72</f>
        <v>918.15</v>
      </c>
    </row>
    <row r="290" spans="1:83" x14ac:dyDescent="0.2">
      <c r="A290" s="76"/>
      <c r="B290" s="74">
        <v>2</v>
      </c>
      <c r="C290" s="76" t="s">
        <v>890</v>
      </c>
      <c r="D290" s="73"/>
      <c r="E290" s="77"/>
      <c r="F290" s="74"/>
      <c r="G290" s="74"/>
      <c r="H290" s="74"/>
      <c r="I290" s="74"/>
      <c r="J290" s="74"/>
      <c r="K290" s="74"/>
      <c r="L290" s="78">
        <f>SUM(L291:L294)-SUMIF(CE291:CE294, 1, L291:L294)</f>
        <v>938.1600000000002</v>
      </c>
    </row>
    <row r="291" spans="1:83" x14ac:dyDescent="0.2">
      <c r="A291" s="76"/>
      <c r="B291" s="74"/>
      <c r="C291" s="76" t="s">
        <v>892</v>
      </c>
      <c r="D291" s="73" t="s">
        <v>484</v>
      </c>
      <c r="E291" s="77"/>
      <c r="F291" s="74"/>
      <c r="G291" s="74">
        <f>Source!V87</f>
        <v>0.66779999999999995</v>
      </c>
      <c r="H291" s="74"/>
      <c r="I291" s="74"/>
      <c r="J291" s="74"/>
      <c r="K291" s="74"/>
      <c r="L291" s="78">
        <f>SUMIF(CE292:CE294, 1, L292:L294)</f>
        <v>307.17</v>
      </c>
      <c r="CE291">
        <v>1</v>
      </c>
    </row>
    <row r="292" spans="1:83" ht="38.25" x14ac:dyDescent="0.2">
      <c r="A292" s="62"/>
      <c r="B292" s="62" t="s">
        <v>607</v>
      </c>
      <c r="C292" s="62" t="s">
        <v>609</v>
      </c>
      <c r="D292" s="73" t="s">
        <v>488</v>
      </c>
      <c r="E292" s="74">
        <v>7.42</v>
      </c>
      <c r="F292" s="74"/>
      <c r="G292" s="74">
        <f>SmtRes!CX74</f>
        <v>0.66779999999999995</v>
      </c>
      <c r="H292" s="75">
        <f>SmtRes!CZ74</f>
        <v>995.51</v>
      </c>
      <c r="I292" s="73">
        <f>SmtRes!AJ74</f>
        <v>1.35</v>
      </c>
      <c r="J292" s="75">
        <f>ROUND(H292*I292, 2)</f>
        <v>1343.94</v>
      </c>
      <c r="K292" s="73"/>
      <c r="L292" s="75">
        <f>SmtRes!DG74</f>
        <v>897.48</v>
      </c>
    </row>
    <row r="293" spans="1:83" x14ac:dyDescent="0.2">
      <c r="A293" s="62"/>
      <c r="B293" s="62" t="s">
        <v>497</v>
      </c>
      <c r="C293" s="62" t="s">
        <v>903</v>
      </c>
      <c r="D293" s="73" t="s">
        <v>484</v>
      </c>
      <c r="E293" s="74">
        <f>SmtRes!DO74*SmtRes!AT74</f>
        <v>7.42</v>
      </c>
      <c r="F293" s="74"/>
      <c r="G293" s="74">
        <f>ROUND(E293*G287, 7)</f>
        <v>0.66779999999999995</v>
      </c>
      <c r="H293" s="75"/>
      <c r="I293" s="73"/>
      <c r="J293" s="75">
        <f>ROUND(SmtRes!AG74/SmtRes!DO74, 2)</f>
        <v>459.98</v>
      </c>
      <c r="K293" s="73"/>
      <c r="L293" s="75">
        <f>SmtRes!DH74</f>
        <v>307.17</v>
      </c>
      <c r="CE293">
        <v>1</v>
      </c>
    </row>
    <row r="294" spans="1:83" ht="25.5" x14ac:dyDescent="0.2">
      <c r="A294" s="62"/>
      <c r="B294" s="62" t="s">
        <v>610</v>
      </c>
      <c r="C294" s="79" t="s">
        <v>612</v>
      </c>
      <c r="D294" s="80" t="s">
        <v>488</v>
      </c>
      <c r="E294" s="81">
        <v>7.42</v>
      </c>
      <c r="F294" s="81"/>
      <c r="G294" s="81">
        <f>SmtRes!CX75</f>
        <v>0.66779999999999995</v>
      </c>
      <c r="H294" s="82">
        <f>SmtRes!CZ75</f>
        <v>34.409999999999997</v>
      </c>
      <c r="I294" s="80">
        <f>SmtRes!AJ75</f>
        <v>1.77</v>
      </c>
      <c r="J294" s="82">
        <f>ROUND(H294*I294, 2)</f>
        <v>60.91</v>
      </c>
      <c r="K294" s="80"/>
      <c r="L294" s="82">
        <f>SmtRes!DG75</f>
        <v>40.68</v>
      </c>
    </row>
    <row r="295" spans="1:83" x14ac:dyDescent="0.2">
      <c r="A295" s="62"/>
      <c r="B295" s="62"/>
      <c r="C295" s="61" t="s">
        <v>394</v>
      </c>
      <c r="D295" s="73"/>
      <c r="E295" s="74"/>
      <c r="F295" s="74"/>
      <c r="G295" s="74"/>
      <c r="H295" s="75"/>
      <c r="I295" s="73"/>
      <c r="J295" s="75"/>
      <c r="K295" s="73"/>
      <c r="L295" s="75">
        <f>L288+L290+L291</f>
        <v>2163.48</v>
      </c>
    </row>
    <row r="296" spans="1:83" ht="38.25" x14ac:dyDescent="0.2">
      <c r="A296" s="72" t="s">
        <v>949</v>
      </c>
      <c r="B296" s="62" t="str">
        <f>Source!F88</f>
        <v>421/пр_2020_п.75_пп.а</v>
      </c>
      <c r="C296" s="62" t="str">
        <f>Source!G88</f>
        <v>Сметная стоимость вспомогательных ненормируемых материальных ресурсов, не учтенная в сметной норме, 2%</v>
      </c>
      <c r="D296" s="73" t="str">
        <f>Source!H88</f>
        <v>%</v>
      </c>
      <c r="E296" s="74">
        <f>SmtRes!AT76</f>
        <v>2</v>
      </c>
      <c r="F296" s="74"/>
      <c r="G296" s="74">
        <f>Source!I88</f>
        <v>2</v>
      </c>
      <c r="H296" s="75"/>
      <c r="I296" s="73"/>
      <c r="J296" s="75"/>
      <c r="K296" s="73"/>
      <c r="L296" s="75">
        <f>Source!P88</f>
        <v>18.36</v>
      </c>
      <c r="AD296">
        <f>ROUND((Source!AT88/100)*((ROUND(0*Source!I88, 2)+ROUND(0*Source!I88, 2))), 2)</f>
        <v>0</v>
      </c>
      <c r="AE296">
        <f>ROUND((Source!AU88/100)*((ROUND(0*Source!I88, 2)+ROUND(0*Source!I88, 2))), 2)</f>
        <v>0</v>
      </c>
      <c r="AN296">
        <f>L296</f>
        <v>18.36</v>
      </c>
      <c r="AW296">
        <f>L296</f>
        <v>18.36</v>
      </c>
      <c r="AZ296">
        <f>Source!X88</f>
        <v>0</v>
      </c>
      <c r="BA296">
        <f>Source!Y88</f>
        <v>0</v>
      </c>
      <c r="CD296">
        <v>2</v>
      </c>
    </row>
    <row r="297" spans="1:83" x14ac:dyDescent="0.2">
      <c r="A297" s="62"/>
      <c r="B297" s="62"/>
      <c r="C297" s="62" t="s">
        <v>893</v>
      </c>
      <c r="D297" s="73"/>
      <c r="E297" s="74"/>
      <c r="F297" s="74"/>
      <c r="G297" s="74"/>
      <c r="H297" s="75"/>
      <c r="I297" s="73"/>
      <c r="J297" s="75"/>
      <c r="K297" s="73"/>
      <c r="L297" s="75">
        <f>SUM(AR287:AR300)+SUM(AS287:AS300)+SUM(AT287:AT300)+SUM(AU287:AU300)+SUM(AV287:AV300)</f>
        <v>1225.32</v>
      </c>
    </row>
    <row r="298" spans="1:83" ht="25.5" x14ac:dyDescent="0.2">
      <c r="A298" s="62"/>
      <c r="B298" s="62" t="s">
        <v>189</v>
      </c>
      <c r="C298" s="62" t="s">
        <v>947</v>
      </c>
      <c r="D298" s="73" t="s">
        <v>194</v>
      </c>
      <c r="E298" s="74">
        <f>Source!BZ87</f>
        <v>111</v>
      </c>
      <c r="F298" s="74"/>
      <c r="G298" s="74">
        <f>Source!AT87</f>
        <v>111</v>
      </c>
      <c r="H298" s="75"/>
      <c r="I298" s="73"/>
      <c r="J298" s="75"/>
      <c r="K298" s="73"/>
      <c r="L298" s="75">
        <f>SUM(AZ287:AZ300)</f>
        <v>1360.11</v>
      </c>
    </row>
    <row r="299" spans="1:83" ht="25.5" x14ac:dyDescent="0.2">
      <c r="A299" s="79"/>
      <c r="B299" s="79" t="s">
        <v>190</v>
      </c>
      <c r="C299" s="79" t="s">
        <v>948</v>
      </c>
      <c r="D299" s="80" t="s">
        <v>194</v>
      </c>
      <c r="E299" s="81">
        <f>Source!CA87</f>
        <v>52</v>
      </c>
      <c r="F299" s="81"/>
      <c r="G299" s="81">
        <f>Source!AU87</f>
        <v>52</v>
      </c>
      <c r="H299" s="82"/>
      <c r="I299" s="80"/>
      <c r="J299" s="82"/>
      <c r="K299" s="80"/>
      <c r="L299" s="82">
        <f>SUM(BA287:BA300)</f>
        <v>637.16999999999996</v>
      </c>
    </row>
    <row r="300" spans="1:83" x14ac:dyDescent="0.2">
      <c r="A300" s="43"/>
      <c r="B300" s="43"/>
      <c r="C300" s="119" t="s">
        <v>896</v>
      </c>
      <c r="D300" s="119"/>
      <c r="E300" s="119"/>
      <c r="F300" s="119"/>
      <c r="G300" s="119"/>
      <c r="H300" s="119"/>
      <c r="I300" s="120">
        <f>IF(E287&lt;&gt;0,K300/E287, 0)</f>
        <v>46434.666666666664</v>
      </c>
      <c r="J300" s="120"/>
      <c r="K300" s="120">
        <f>L288+L290+L298+L299+L291+SUM(L296:L296)</f>
        <v>4179.12</v>
      </c>
      <c r="L300" s="120"/>
      <c r="AD300">
        <f>ROUND((Source!AT87/100)*((ROUND(SUMIF(SmtRes!AQ72:'SmtRes'!AQ76,"=1",SmtRes!AD72:'SmtRes'!AD76)*Source!I87, 2)+ROUND(SUMIF(SmtRes!AQ72:'SmtRes'!AQ76,"=1",SmtRes!AC72:'SmtRes'!AC76)*Source!I87, 2))), 2)</f>
        <v>83.71</v>
      </c>
      <c r="AE300">
        <f>ROUND((Source!AU87/100)*((ROUND(SUMIF(SmtRes!AQ72:'SmtRes'!AQ76,"=1",SmtRes!AD72:'SmtRes'!AD76)*Source!I87, 2)+ROUND(SUMIF(SmtRes!AQ72:'SmtRes'!AQ76,"=1",SmtRes!AC72:'SmtRes'!AC76)*Source!I87, 2))), 2)</f>
        <v>39.21</v>
      </c>
      <c r="AN300" s="22">
        <f>L288+L290+L298+L299+L291</f>
        <v>4160.76</v>
      </c>
      <c r="AO300" s="22">
        <f>L290</f>
        <v>938.1600000000002</v>
      </c>
      <c r="AQ300" t="s">
        <v>897</v>
      </c>
      <c r="AR300" s="22">
        <f>L288</f>
        <v>918.15</v>
      </c>
      <c r="AT300" s="22">
        <f>L291</f>
        <v>307.17</v>
      </c>
      <c r="AV300" t="s">
        <v>897</v>
      </c>
      <c r="AW300">
        <f>0</f>
        <v>0</v>
      </c>
      <c r="AZ300">
        <f>Source!X87</f>
        <v>1360.11</v>
      </c>
      <c r="BA300">
        <f>Source!Y87</f>
        <v>637.16999999999996</v>
      </c>
      <c r="CD300">
        <v>2</v>
      </c>
    </row>
    <row r="301" spans="1:83" ht="51" x14ac:dyDescent="0.2">
      <c r="A301" s="72" t="s">
        <v>207</v>
      </c>
      <c r="B301" s="62" t="str">
        <f>Source!F89</f>
        <v>01.7.06.08-0007</v>
      </c>
      <c r="C301" s="62" t="str">
        <f>Source!G89</f>
        <v>Ленты сигнальные из полиэтилена высокого давления «ГАЗ», фон желтый, надпись красная, ширина 200 мм, толщина 0,05 мм</v>
      </c>
      <c r="D301" s="73" t="str">
        <f>Source!H89</f>
        <v>100 м</v>
      </c>
      <c r="E301" s="74">
        <f>Source!K89</f>
        <v>0.9</v>
      </c>
      <c r="F301" s="74"/>
      <c r="G301" s="74">
        <f>Source!I89</f>
        <v>0.9</v>
      </c>
      <c r="H301" s="75">
        <f>Source!AL89</f>
        <v>151.51</v>
      </c>
      <c r="I301" s="73">
        <f>IF(Source!BC89&lt;&gt; 0, Source!BC89, 1)</f>
        <v>1.54</v>
      </c>
      <c r="J301" s="75">
        <f>ROUND(H301*I301, 2)</f>
        <v>233.33</v>
      </c>
      <c r="K301" s="73"/>
      <c r="L301" s="75">
        <f>Source!P89</f>
        <v>210</v>
      </c>
    </row>
    <row r="302" spans="1:83" x14ac:dyDescent="0.2">
      <c r="A302" s="63"/>
      <c r="B302" s="63"/>
      <c r="C302" s="64" t="str">
        <f>"Объем: "&amp;Source!I89&amp;"=90/"&amp;"100"</f>
        <v>Объем: 0,9=90/100</v>
      </c>
      <c r="D302" s="63"/>
      <c r="E302" s="63"/>
      <c r="F302" s="63"/>
      <c r="G302" s="63"/>
      <c r="H302" s="63"/>
      <c r="I302" s="63"/>
      <c r="J302" s="63"/>
      <c r="K302" s="63"/>
      <c r="L302" s="63"/>
    </row>
    <row r="303" spans="1:83" x14ac:dyDescent="0.2">
      <c r="A303" s="43"/>
      <c r="B303" s="43"/>
      <c r="C303" s="119" t="s">
        <v>896</v>
      </c>
      <c r="D303" s="119"/>
      <c r="E303" s="119"/>
      <c r="F303" s="119"/>
      <c r="G303" s="119"/>
      <c r="H303" s="119"/>
      <c r="I303" s="120">
        <f>IF(E301&lt;&gt;0,K303/E301, 0)</f>
        <v>233.33333333333331</v>
      </c>
      <c r="J303" s="120"/>
      <c r="K303" s="120">
        <f>L301</f>
        <v>210</v>
      </c>
      <c r="L303" s="120"/>
      <c r="AD303">
        <f>ROUND((Source!AT89/100)*((ROUND(ROUND(Source!AO89,2)*Source!I89, 2)+ROUND(ROUND(Source!AN89,2)*Source!I89, 2))), 2)</f>
        <v>0</v>
      </c>
      <c r="AE303">
        <f>ROUND((Source!AU89/100)*((ROUND(ROUND(Source!AO89,2)*Source!I89, 2)+ROUND(ROUND(Source!AN89,2)*Source!I89, 2))), 2)</f>
        <v>0</v>
      </c>
      <c r="AN303" s="22">
        <f>L301</f>
        <v>210</v>
      </c>
      <c r="AO303">
        <f>0</f>
        <v>0</v>
      </c>
      <c r="AQ303" t="s">
        <v>897</v>
      </c>
      <c r="AR303">
        <f>0</f>
        <v>0</v>
      </c>
      <c r="AT303">
        <f>0</f>
        <v>0</v>
      </c>
      <c r="AV303" t="s">
        <v>897</v>
      </c>
      <c r="AW303" s="22">
        <f>L301</f>
        <v>210</v>
      </c>
      <c r="AZ303">
        <f>Source!X89</f>
        <v>0</v>
      </c>
      <c r="BA303">
        <f>Source!Y89</f>
        <v>0</v>
      </c>
      <c r="CD303">
        <v>1</v>
      </c>
    </row>
    <row r="304" spans="1:83" x14ac:dyDescent="0.2">
      <c r="A304" s="72" t="s">
        <v>211</v>
      </c>
      <c r="B304" s="62" t="s">
        <v>950</v>
      </c>
      <c r="C304" s="62" t="str">
        <f>Source!G90</f>
        <v>Установка столбиков сигнальных</v>
      </c>
      <c r="D304" s="73" t="str">
        <f>Source!H90</f>
        <v>100 ШТ</v>
      </c>
      <c r="E304" s="74">
        <f>Source!K90</f>
        <v>0.02</v>
      </c>
      <c r="F304" s="74"/>
      <c r="G304" s="74">
        <f>Source!I90</f>
        <v>0.02</v>
      </c>
      <c r="H304" s="75"/>
      <c r="I304" s="73"/>
      <c r="J304" s="75"/>
      <c r="K304" s="73"/>
      <c r="L304" s="75"/>
    </row>
    <row r="305" spans="1:83" x14ac:dyDescent="0.2">
      <c r="A305" s="43"/>
      <c r="B305" s="43"/>
      <c r="C305" s="60" t="str">
        <f>"Объем: "&amp;Source!I90&amp;"=2/"&amp;"100"</f>
        <v>Объем: 0,02=2/100</v>
      </c>
      <c r="D305" s="43"/>
      <c r="E305" s="43"/>
      <c r="F305" s="43"/>
      <c r="G305" s="43"/>
      <c r="H305" s="43"/>
      <c r="I305" s="43"/>
      <c r="J305" s="43"/>
      <c r="K305" s="43"/>
      <c r="L305" s="43"/>
    </row>
    <row r="306" spans="1:83" x14ac:dyDescent="0.2">
      <c r="A306" s="76"/>
      <c r="B306" s="74">
        <v>1</v>
      </c>
      <c r="C306" s="76" t="s">
        <v>899</v>
      </c>
      <c r="D306" s="73" t="s">
        <v>484</v>
      </c>
      <c r="E306" s="77"/>
      <c r="F306" s="74"/>
      <c r="G306" s="74">
        <f>Source!U90</f>
        <v>0.22700000000000001</v>
      </c>
      <c r="H306" s="74"/>
      <c r="I306" s="74"/>
      <c r="J306" s="74"/>
      <c r="K306" s="74"/>
      <c r="L306" s="78">
        <f>SUM(L307:L307)-SUMIF(CE307:CE307, 1, L307:L307)</f>
        <v>76.62</v>
      </c>
    </row>
    <row r="307" spans="1:83" x14ac:dyDescent="0.2">
      <c r="A307" s="62"/>
      <c r="B307" s="62" t="s">
        <v>613</v>
      </c>
      <c r="C307" s="62" t="s">
        <v>614</v>
      </c>
      <c r="D307" s="73" t="s">
        <v>484</v>
      </c>
      <c r="E307" s="74">
        <v>11.35</v>
      </c>
      <c r="F307" s="74"/>
      <c r="G307" s="74">
        <f>SmtRes!CX77</f>
        <v>0.22700000000000001</v>
      </c>
      <c r="H307" s="75"/>
      <c r="I307" s="73"/>
      <c r="J307" s="75">
        <f>SmtRes!CZ77</f>
        <v>337.52</v>
      </c>
      <c r="K307" s="73"/>
      <c r="L307" s="75">
        <f>SmtRes!DI77</f>
        <v>76.62</v>
      </c>
    </row>
    <row r="308" spans="1:83" x14ac:dyDescent="0.2">
      <c r="A308" s="76"/>
      <c r="B308" s="74">
        <v>2</v>
      </c>
      <c r="C308" s="76" t="s">
        <v>890</v>
      </c>
      <c r="D308" s="73"/>
      <c r="E308" s="77"/>
      <c r="F308" s="74"/>
      <c r="G308" s="74"/>
      <c r="H308" s="74"/>
      <c r="I308" s="74"/>
      <c r="J308" s="74"/>
      <c r="K308" s="74"/>
      <c r="L308" s="78">
        <f>SUM(L309:L312)-SUMIF(CE309:CE312, 1, L309:L312)</f>
        <v>25.199999999999996</v>
      </c>
    </row>
    <row r="309" spans="1:83" x14ac:dyDescent="0.2">
      <c r="A309" s="76"/>
      <c r="B309" s="74"/>
      <c r="C309" s="76" t="s">
        <v>892</v>
      </c>
      <c r="D309" s="73" t="s">
        <v>484</v>
      </c>
      <c r="E309" s="77"/>
      <c r="F309" s="74"/>
      <c r="G309" s="74">
        <f>Source!V90</f>
        <v>1.8800000000000001E-2</v>
      </c>
      <c r="H309" s="74"/>
      <c r="I309" s="74"/>
      <c r="J309" s="74"/>
      <c r="K309" s="74"/>
      <c r="L309" s="78">
        <f>SUMIF(CE310:CE312, 1, L310:L312)</f>
        <v>7.52</v>
      </c>
      <c r="CE309">
        <v>1</v>
      </c>
    </row>
    <row r="310" spans="1:83" ht="38.25" x14ac:dyDescent="0.2">
      <c r="A310" s="62"/>
      <c r="B310" s="62" t="s">
        <v>615</v>
      </c>
      <c r="C310" s="62" t="s">
        <v>617</v>
      </c>
      <c r="D310" s="73" t="s">
        <v>488</v>
      </c>
      <c r="E310" s="74">
        <v>0.94</v>
      </c>
      <c r="F310" s="74"/>
      <c r="G310" s="74">
        <f>SmtRes!CX79</f>
        <v>1.8800000000000001E-2</v>
      </c>
      <c r="H310" s="75">
        <f>SmtRes!CZ79</f>
        <v>865.46</v>
      </c>
      <c r="I310" s="73">
        <f>SmtRes!AJ79</f>
        <v>1.39</v>
      </c>
      <c r="J310" s="75">
        <f>ROUND(H310*I310, 2)</f>
        <v>1202.99</v>
      </c>
      <c r="K310" s="73"/>
      <c r="L310" s="75">
        <f>SmtRes!DG79</f>
        <v>22.62</v>
      </c>
    </row>
    <row r="311" spans="1:83" x14ac:dyDescent="0.2">
      <c r="A311" s="62"/>
      <c r="B311" s="62" t="s">
        <v>514</v>
      </c>
      <c r="C311" s="62" t="s">
        <v>936</v>
      </c>
      <c r="D311" s="73" t="s">
        <v>484</v>
      </c>
      <c r="E311" s="74">
        <f>SmtRes!DO79*SmtRes!AT79</f>
        <v>0.94</v>
      </c>
      <c r="F311" s="74"/>
      <c r="G311" s="74">
        <f>ROUND(E311*G304, 7)</f>
        <v>1.8800000000000001E-2</v>
      </c>
      <c r="H311" s="75"/>
      <c r="I311" s="73"/>
      <c r="J311" s="75">
        <f>ROUND(SmtRes!AG79/SmtRes!DO79, 2)</f>
        <v>400.24</v>
      </c>
      <c r="K311" s="73"/>
      <c r="L311" s="75">
        <f>SmtRes!DH79</f>
        <v>7.52</v>
      </c>
      <c r="CE311">
        <v>1</v>
      </c>
    </row>
    <row r="312" spans="1:83" ht="38.25" x14ac:dyDescent="0.2">
      <c r="A312" s="62"/>
      <c r="B312" s="62" t="s">
        <v>618</v>
      </c>
      <c r="C312" s="62" t="s">
        <v>620</v>
      </c>
      <c r="D312" s="73" t="s">
        <v>488</v>
      </c>
      <c r="E312" s="74">
        <v>4.24</v>
      </c>
      <c r="F312" s="74"/>
      <c r="G312" s="74">
        <f>SmtRes!CX80</f>
        <v>8.48E-2</v>
      </c>
      <c r="H312" s="75"/>
      <c r="I312" s="73"/>
      <c r="J312" s="75">
        <f>SmtRes!CZ80</f>
        <v>30.37</v>
      </c>
      <c r="K312" s="73"/>
      <c r="L312" s="75">
        <f>SmtRes!DG80</f>
        <v>2.58</v>
      </c>
    </row>
    <row r="313" spans="1:83" x14ac:dyDescent="0.2">
      <c r="A313" s="62"/>
      <c r="B313" s="62"/>
      <c r="C313" s="79"/>
      <c r="D313" s="80"/>
      <c r="E313" s="81"/>
      <c r="F313" s="81"/>
      <c r="G313" s="81"/>
      <c r="H313" s="82"/>
      <c r="I313" s="80"/>
      <c r="J313" s="82"/>
      <c r="K313" s="80"/>
      <c r="L313" s="82"/>
    </row>
    <row r="314" spans="1:83" x14ac:dyDescent="0.2">
      <c r="A314" s="62"/>
      <c r="B314" s="62"/>
      <c r="C314" s="61" t="s">
        <v>394</v>
      </c>
      <c r="D314" s="73"/>
      <c r="E314" s="74"/>
      <c r="F314" s="74"/>
      <c r="G314" s="74"/>
      <c r="H314" s="75"/>
      <c r="I314" s="73"/>
      <c r="J314" s="75"/>
      <c r="K314" s="73"/>
      <c r="L314" s="75">
        <f>L306+L308+L309</f>
        <v>109.33999999999999</v>
      </c>
    </row>
    <row r="315" spans="1:83" x14ac:dyDescent="0.2">
      <c r="A315" s="62"/>
      <c r="B315" s="62"/>
      <c r="C315" s="62" t="s">
        <v>893</v>
      </c>
      <c r="D315" s="73"/>
      <c r="E315" s="74"/>
      <c r="F315" s="74"/>
      <c r="G315" s="74"/>
      <c r="H315" s="75"/>
      <c r="I315" s="73"/>
      <c r="J315" s="75"/>
      <c r="K315" s="73"/>
      <c r="L315" s="75">
        <f>SUM(AR304:AR318)+SUM(AS304:AS318)+SUM(AT304:AT318)+SUM(AU304:AU318)+SUM(AV304:AV318)</f>
        <v>84.14</v>
      </c>
    </row>
    <row r="316" spans="1:83" x14ac:dyDescent="0.2">
      <c r="A316" s="62"/>
      <c r="B316" s="62" t="s">
        <v>218</v>
      </c>
      <c r="C316" s="62" t="s">
        <v>951</v>
      </c>
      <c r="D316" s="73" t="s">
        <v>194</v>
      </c>
      <c r="E316" s="74">
        <f>Source!BZ90</f>
        <v>147</v>
      </c>
      <c r="F316" s="74"/>
      <c r="G316" s="74">
        <f>Source!AT90</f>
        <v>147</v>
      </c>
      <c r="H316" s="75"/>
      <c r="I316" s="73"/>
      <c r="J316" s="75"/>
      <c r="K316" s="73"/>
      <c r="L316" s="75">
        <f>SUM(AZ304:AZ318)</f>
        <v>123.69</v>
      </c>
    </row>
    <row r="317" spans="1:83" x14ac:dyDescent="0.2">
      <c r="A317" s="79"/>
      <c r="B317" s="79" t="s">
        <v>219</v>
      </c>
      <c r="C317" s="79" t="s">
        <v>952</v>
      </c>
      <c r="D317" s="80" t="s">
        <v>194</v>
      </c>
      <c r="E317" s="81">
        <f>Source!CA90</f>
        <v>134</v>
      </c>
      <c r="F317" s="81"/>
      <c r="G317" s="81">
        <f>Source!AU90</f>
        <v>134</v>
      </c>
      <c r="H317" s="82"/>
      <c r="I317" s="80"/>
      <c r="J317" s="82"/>
      <c r="K317" s="80"/>
      <c r="L317" s="82">
        <f>SUM(BA304:BA318)</f>
        <v>112.75</v>
      </c>
    </row>
    <row r="318" spans="1:83" x14ac:dyDescent="0.2">
      <c r="A318" s="43"/>
      <c r="B318" s="43"/>
      <c r="C318" s="119" t="s">
        <v>896</v>
      </c>
      <c r="D318" s="119"/>
      <c r="E318" s="119"/>
      <c r="F318" s="119"/>
      <c r="G318" s="119"/>
      <c r="H318" s="119"/>
      <c r="I318" s="120">
        <f>IF(E304&lt;&gt;0,K318/E304, 0)</f>
        <v>17289</v>
      </c>
      <c r="J318" s="120"/>
      <c r="K318" s="120">
        <f>L306+L308+L316+L317+L309</f>
        <v>345.78</v>
      </c>
      <c r="L318" s="120"/>
      <c r="AD318">
        <f>ROUND((Source!AT90/100)*((ROUND(SUMIF(SmtRes!AQ77:'SmtRes'!AQ80,"=1",SmtRes!AD77:'SmtRes'!AD80)*Source!I90, 2)+ROUND(SUMIF(SmtRes!AQ77:'SmtRes'!AQ80,"=1",SmtRes!AC77:'SmtRes'!AC80)*Source!I90, 2))), 2)</f>
        <v>21.68</v>
      </c>
      <c r="AE318">
        <f>ROUND((Source!AU90/100)*((ROUND(SUMIF(SmtRes!AQ77:'SmtRes'!AQ80,"=1",SmtRes!AD77:'SmtRes'!AD80)*Source!I90, 2)+ROUND(SUMIF(SmtRes!AQ77:'SmtRes'!AQ80,"=1",SmtRes!AC77:'SmtRes'!AC80)*Source!I90, 2))), 2)</f>
        <v>19.77</v>
      </c>
      <c r="AN318" s="22">
        <f>L306+L308+L316+L317+L309</f>
        <v>345.78</v>
      </c>
      <c r="AO318" s="22">
        <f>L308</f>
        <v>25.199999999999996</v>
      </c>
      <c r="AQ318" t="s">
        <v>897</v>
      </c>
      <c r="AR318" s="22">
        <f>L306</f>
        <v>76.62</v>
      </c>
      <c r="AT318" s="22">
        <f>L309</f>
        <v>7.52</v>
      </c>
      <c r="AV318" t="s">
        <v>897</v>
      </c>
      <c r="AW318">
        <f>0</f>
        <v>0</v>
      </c>
      <c r="AZ318">
        <f>Source!X90</f>
        <v>123.69</v>
      </c>
      <c r="BA318">
        <f>Source!Y90</f>
        <v>112.75</v>
      </c>
      <c r="CD318">
        <v>1</v>
      </c>
    </row>
    <row r="319" spans="1:83" ht="51" x14ac:dyDescent="0.2">
      <c r="A319" s="83" t="s">
        <v>220</v>
      </c>
      <c r="B319" s="79" t="str">
        <f>Source!F91</f>
        <v>20.1.02.23-0174</v>
      </c>
      <c r="C319" s="79" t="str">
        <f>Source!G91</f>
        <v>Столбик замерный, опознавательный, пластиковый для подземных кабельных линий связи, диаметр 83 мм, высота 2200 мм</v>
      </c>
      <c r="D319" s="80" t="str">
        <f>Source!H91</f>
        <v>ШТ</v>
      </c>
      <c r="E319" s="81">
        <f>Source!K91</f>
        <v>2</v>
      </c>
      <c r="F319" s="81"/>
      <c r="G319" s="81">
        <f>Source!I91</f>
        <v>2</v>
      </c>
      <c r="H319" s="82">
        <f>Source!AL91</f>
        <v>713.25</v>
      </c>
      <c r="I319" s="80">
        <f>IF(Source!BC91&lt;&gt; 0, Source!BC91, 1)</f>
        <v>1.39</v>
      </c>
      <c r="J319" s="82">
        <f>ROUND(H319*I319, 2)</f>
        <v>991.42</v>
      </c>
      <c r="K319" s="80"/>
      <c r="L319" s="82">
        <f>Source!P91</f>
        <v>1982.84</v>
      </c>
    </row>
    <row r="320" spans="1:83" x14ac:dyDescent="0.2">
      <c r="A320" s="43"/>
      <c r="B320" s="43"/>
      <c r="C320" s="119" t="s">
        <v>896</v>
      </c>
      <c r="D320" s="119"/>
      <c r="E320" s="119"/>
      <c r="F320" s="119"/>
      <c r="G320" s="119"/>
      <c r="H320" s="119"/>
      <c r="I320" s="120">
        <f>IF(E319&lt;&gt;0,K320/E319, 0)</f>
        <v>991.42</v>
      </c>
      <c r="J320" s="120"/>
      <c r="K320" s="120">
        <f>L319</f>
        <v>1982.84</v>
      </c>
      <c r="L320" s="120"/>
      <c r="AD320">
        <f>ROUND((Source!AT91/100)*((ROUND(ROUND(Source!AO91,2)*Source!I91, 2)+ROUND(ROUND(Source!AN91,2)*Source!I91, 2))), 2)</f>
        <v>0</v>
      </c>
      <c r="AE320">
        <f>ROUND((Source!AU91/100)*((ROUND(ROUND(Source!AO91,2)*Source!I91, 2)+ROUND(ROUND(Source!AN91,2)*Source!I91, 2))), 2)</f>
        <v>0</v>
      </c>
      <c r="AN320" s="22">
        <f>L319</f>
        <v>1982.84</v>
      </c>
      <c r="AO320">
        <f>0</f>
        <v>0</v>
      </c>
      <c r="AQ320" t="s">
        <v>897</v>
      </c>
      <c r="AR320">
        <f>0</f>
        <v>0</v>
      </c>
      <c r="AT320">
        <f>0</f>
        <v>0</v>
      </c>
      <c r="AV320" t="s">
        <v>897</v>
      </c>
      <c r="AW320" s="22">
        <f>L319</f>
        <v>1982.84</v>
      </c>
      <c r="AZ320">
        <f>Source!X91</f>
        <v>0</v>
      </c>
      <c r="BA320">
        <f>Source!Y91</f>
        <v>0</v>
      </c>
      <c r="CD320">
        <v>2</v>
      </c>
    </row>
    <row r="321" spans="1:83" ht="38.25" x14ac:dyDescent="0.2">
      <c r="A321" s="72" t="s">
        <v>224</v>
      </c>
      <c r="B321" s="62" t="str">
        <f>Source!F92</f>
        <v>22.2.02.23-0302</v>
      </c>
      <c r="C321" s="62" t="str">
        <f>Source!G92</f>
        <v>Таблички-указатели кабельных трасс пластиковые односторонние, размеры 300х400х5 мм</v>
      </c>
      <c r="D321" s="73" t="str">
        <f>Source!H92</f>
        <v>100 ШТ</v>
      </c>
      <c r="E321" s="74">
        <f>Source!K92</f>
        <v>0.03</v>
      </c>
      <c r="F321" s="74"/>
      <c r="G321" s="74">
        <f>Source!I92</f>
        <v>0.03</v>
      </c>
      <c r="H321" s="75">
        <f>Source!AL92</f>
        <v>69225.399999999994</v>
      </c>
      <c r="I321" s="73">
        <f>IF(Source!BC92&lt;&gt; 0, Source!BC92, 1)</f>
        <v>1.39</v>
      </c>
      <c r="J321" s="75">
        <f>ROUND(H321*I321, 2)</f>
        <v>96223.31</v>
      </c>
      <c r="K321" s="73"/>
      <c r="L321" s="75">
        <f>Source!P92</f>
        <v>2886.7</v>
      </c>
    </row>
    <row r="322" spans="1:83" x14ac:dyDescent="0.2">
      <c r="A322" s="63"/>
      <c r="B322" s="63"/>
      <c r="C322" s="64" t="str">
        <f>"Объем: "&amp;Source!I92&amp;"=3/"&amp;"100"</f>
        <v>Объем: 0,03=3/100</v>
      </c>
      <c r="D322" s="63"/>
      <c r="E322" s="63"/>
      <c r="F322" s="63"/>
      <c r="G322" s="63"/>
      <c r="H322" s="63"/>
      <c r="I322" s="63"/>
      <c r="J322" s="63"/>
      <c r="K322" s="63"/>
      <c r="L322" s="63"/>
    </row>
    <row r="323" spans="1:83" x14ac:dyDescent="0.2">
      <c r="A323" s="43"/>
      <c r="B323" s="43"/>
      <c r="C323" s="119" t="s">
        <v>896</v>
      </c>
      <c r="D323" s="119"/>
      <c r="E323" s="119"/>
      <c r="F323" s="119"/>
      <c r="G323" s="119"/>
      <c r="H323" s="119"/>
      <c r="I323" s="120">
        <f>IF(E321&lt;&gt;0,K323/E321, 0)</f>
        <v>96223.333333333328</v>
      </c>
      <c r="J323" s="120"/>
      <c r="K323" s="120">
        <f>L321</f>
        <v>2886.7</v>
      </c>
      <c r="L323" s="120"/>
      <c r="AD323">
        <f>ROUND((Source!AT92/100)*((ROUND(ROUND(Source!AO92,2)*Source!I92, 2)+ROUND(ROUND(Source!AN92,2)*Source!I92, 2))), 2)</f>
        <v>0</v>
      </c>
      <c r="AE323">
        <f>ROUND((Source!AU92/100)*((ROUND(ROUND(Source!AO92,2)*Source!I92, 2)+ROUND(ROUND(Source!AN92,2)*Source!I92, 2))), 2)</f>
        <v>0</v>
      </c>
      <c r="AN323" s="22">
        <f>L321</f>
        <v>2886.7</v>
      </c>
      <c r="AO323">
        <f>0</f>
        <v>0</v>
      </c>
      <c r="AQ323" t="s">
        <v>897</v>
      </c>
      <c r="AR323">
        <f>0</f>
        <v>0</v>
      </c>
      <c r="AT323">
        <f>0</f>
        <v>0</v>
      </c>
      <c r="AV323" t="s">
        <v>897</v>
      </c>
      <c r="AW323" s="22">
        <f>L321</f>
        <v>2886.7</v>
      </c>
      <c r="AZ323">
        <f>Source!X92</f>
        <v>0</v>
      </c>
      <c r="BA323">
        <f>Source!Y92</f>
        <v>0</v>
      </c>
      <c r="CD323">
        <v>2</v>
      </c>
    </row>
    <row r="324" spans="1:83" x14ac:dyDescent="0.2">
      <c r="A324" s="72" t="s">
        <v>228</v>
      </c>
      <c r="B324" s="62" t="s">
        <v>953</v>
      </c>
      <c r="C324" s="62" t="str">
        <f>Source!G93</f>
        <v>Устройство бетонной подготовки</v>
      </c>
      <c r="D324" s="73" t="str">
        <f>Source!H93</f>
        <v>100 м3</v>
      </c>
      <c r="E324" s="74">
        <f>Source!K93</f>
        <v>5.4599999999999996E-3</v>
      </c>
      <c r="F324" s="74"/>
      <c r="G324" s="74">
        <f>Source!I93</f>
        <v>5.4599999999999996E-3</v>
      </c>
      <c r="H324" s="75"/>
      <c r="I324" s="73"/>
      <c r="J324" s="75"/>
      <c r="K324" s="73"/>
      <c r="L324" s="75"/>
    </row>
    <row r="325" spans="1:83" x14ac:dyDescent="0.2">
      <c r="A325" s="43"/>
      <c r="B325" s="43"/>
      <c r="C325" s="60" t="str">
        <f>"Объем: "&amp;Source!I93&amp;"=0,546/"&amp;"100"</f>
        <v>Объем: 0,00546=0,546/100</v>
      </c>
      <c r="D325" s="43"/>
      <c r="E325" s="43"/>
      <c r="F325" s="43"/>
      <c r="G325" s="43"/>
      <c r="H325" s="43"/>
      <c r="I325" s="43"/>
      <c r="J325" s="43"/>
      <c r="K325" s="43"/>
      <c r="L325" s="43"/>
    </row>
    <row r="326" spans="1:83" x14ac:dyDescent="0.2">
      <c r="A326" s="76"/>
      <c r="B326" s="74">
        <v>1</v>
      </c>
      <c r="C326" s="76" t="s">
        <v>899</v>
      </c>
      <c r="D326" s="73" t="s">
        <v>484</v>
      </c>
      <c r="E326" s="77"/>
      <c r="F326" s="74"/>
      <c r="G326" s="74">
        <f>Source!U93</f>
        <v>0.73709999999999998</v>
      </c>
      <c r="H326" s="74"/>
      <c r="I326" s="74"/>
      <c r="J326" s="74"/>
      <c r="K326" s="74"/>
      <c r="L326" s="78">
        <f>SUM(L327:L327)-SUMIF(CE327:CE327, 1, L327:L327)</f>
        <v>239.98</v>
      </c>
    </row>
    <row r="327" spans="1:83" x14ac:dyDescent="0.2">
      <c r="A327" s="62"/>
      <c r="B327" s="62" t="s">
        <v>490</v>
      </c>
      <c r="C327" s="62" t="s">
        <v>491</v>
      </c>
      <c r="D327" s="73" t="s">
        <v>484</v>
      </c>
      <c r="E327" s="74">
        <v>135</v>
      </c>
      <c r="F327" s="74"/>
      <c r="G327" s="74">
        <f>SmtRes!CX81</f>
        <v>0.73709999999999998</v>
      </c>
      <c r="H327" s="75"/>
      <c r="I327" s="73"/>
      <c r="J327" s="75">
        <f>SmtRes!CZ81</f>
        <v>325.57</v>
      </c>
      <c r="K327" s="73"/>
      <c r="L327" s="75">
        <f>SmtRes!DI81</f>
        <v>239.98</v>
      </c>
    </row>
    <row r="328" spans="1:83" x14ac:dyDescent="0.2">
      <c r="A328" s="76"/>
      <c r="B328" s="74">
        <v>2</v>
      </c>
      <c r="C328" s="76" t="s">
        <v>890</v>
      </c>
      <c r="D328" s="73"/>
      <c r="E328" s="77"/>
      <c r="F328" s="74"/>
      <c r="G328" s="74"/>
      <c r="H328" s="74"/>
      <c r="I328" s="74"/>
      <c r="J328" s="74"/>
      <c r="K328" s="74"/>
      <c r="L328" s="78">
        <f>SUM(L329:L334)-SUMIF(CE329:CE334, 1, L329:L334)</f>
        <v>98.86999999999999</v>
      </c>
    </row>
    <row r="329" spans="1:83" x14ac:dyDescent="0.2">
      <c r="A329" s="76"/>
      <c r="B329" s="74"/>
      <c r="C329" s="76" t="s">
        <v>892</v>
      </c>
      <c r="D329" s="73" t="s">
        <v>484</v>
      </c>
      <c r="E329" s="77"/>
      <c r="F329" s="74"/>
      <c r="G329" s="74">
        <f>Source!V93</f>
        <v>9.8935200000000001E-2</v>
      </c>
      <c r="H329" s="74"/>
      <c r="I329" s="74"/>
      <c r="J329" s="74"/>
      <c r="K329" s="74"/>
      <c r="L329" s="78">
        <f>SUMIF(CE330:CE334, 1, L330:L334)</f>
        <v>53.1</v>
      </c>
      <c r="CE329">
        <v>1</v>
      </c>
    </row>
    <row r="330" spans="1:83" x14ac:dyDescent="0.2">
      <c r="A330" s="62"/>
      <c r="B330" s="62" t="s">
        <v>621</v>
      </c>
      <c r="C330" s="62" t="s">
        <v>623</v>
      </c>
      <c r="D330" s="73" t="s">
        <v>488</v>
      </c>
      <c r="E330" s="74">
        <v>18</v>
      </c>
      <c r="F330" s="74"/>
      <c r="G330" s="74">
        <f>SmtRes!CX83</f>
        <v>9.8280000000000006E-2</v>
      </c>
      <c r="H330" s="75">
        <f>SmtRes!CZ83</f>
        <v>622.62</v>
      </c>
      <c r="I330" s="73">
        <f>SmtRes!AJ83</f>
        <v>1.6</v>
      </c>
      <c r="J330" s="75">
        <f>ROUND(H330*I330, 2)</f>
        <v>996.19</v>
      </c>
      <c r="K330" s="73"/>
      <c r="L330" s="75">
        <f>SmtRes!DG83</f>
        <v>97.91</v>
      </c>
    </row>
    <row r="331" spans="1:83" x14ac:dyDescent="0.2">
      <c r="A331" s="62"/>
      <c r="B331" s="62" t="s">
        <v>489</v>
      </c>
      <c r="C331" s="62" t="s">
        <v>891</v>
      </c>
      <c r="D331" s="73" t="s">
        <v>484</v>
      </c>
      <c r="E331" s="74">
        <f>SmtRes!DO83*SmtRes!AT83</f>
        <v>18</v>
      </c>
      <c r="F331" s="74"/>
      <c r="G331" s="74">
        <f>ROUND(E331*G324, 7)</f>
        <v>9.8280000000000006E-2</v>
      </c>
      <c r="H331" s="75"/>
      <c r="I331" s="73"/>
      <c r="J331" s="75">
        <f>ROUND(SmtRes!AG83/SmtRes!DO83, 2)</f>
        <v>537.64</v>
      </c>
      <c r="K331" s="73"/>
      <c r="L331" s="75">
        <f>SmtRes!DH83</f>
        <v>52.84</v>
      </c>
      <c r="CE331">
        <v>1</v>
      </c>
    </row>
    <row r="332" spans="1:83" x14ac:dyDescent="0.2">
      <c r="A332" s="62"/>
      <c r="B332" s="62" t="s">
        <v>624</v>
      </c>
      <c r="C332" s="62" t="s">
        <v>626</v>
      </c>
      <c r="D332" s="73" t="s">
        <v>488</v>
      </c>
      <c r="E332" s="74">
        <v>5.93</v>
      </c>
      <c r="F332" s="74"/>
      <c r="G332" s="74">
        <f>SmtRes!CX84</f>
        <v>3.2377799999999998E-2</v>
      </c>
      <c r="H332" s="75">
        <f>SmtRes!CZ84</f>
        <v>8.5399999999999991</v>
      </c>
      <c r="I332" s="73">
        <f>SmtRes!AJ84</f>
        <v>1.91</v>
      </c>
      <c r="J332" s="75">
        <f>ROUND(H332*I332, 2)</f>
        <v>16.309999999999999</v>
      </c>
      <c r="K332" s="73"/>
      <c r="L332" s="75">
        <f>SmtRes!DG84</f>
        <v>0.53</v>
      </c>
    </row>
    <row r="333" spans="1:83" ht="25.5" x14ac:dyDescent="0.2">
      <c r="A333" s="62"/>
      <c r="B333" s="62" t="s">
        <v>545</v>
      </c>
      <c r="C333" s="62" t="s">
        <v>547</v>
      </c>
      <c r="D333" s="73" t="s">
        <v>488</v>
      </c>
      <c r="E333" s="74">
        <v>0.12</v>
      </c>
      <c r="F333" s="74"/>
      <c r="G333" s="74">
        <f>SmtRes!CX85</f>
        <v>6.5519999999999999E-4</v>
      </c>
      <c r="H333" s="75"/>
      <c r="I333" s="73"/>
      <c r="J333" s="75">
        <f>SmtRes!CZ85</f>
        <v>655.95</v>
      </c>
      <c r="K333" s="73"/>
      <c r="L333" s="75">
        <f>SmtRes!DG85</f>
        <v>0.43</v>
      </c>
    </row>
    <row r="334" spans="1:83" x14ac:dyDescent="0.2">
      <c r="A334" s="62"/>
      <c r="B334" s="62" t="s">
        <v>514</v>
      </c>
      <c r="C334" s="62" t="s">
        <v>936</v>
      </c>
      <c r="D334" s="73" t="s">
        <v>484</v>
      </c>
      <c r="E334" s="74">
        <f>SmtRes!DO85*SmtRes!AT85</f>
        <v>0.12</v>
      </c>
      <c r="F334" s="74"/>
      <c r="G334" s="74">
        <f>ROUND(E334*G324, 7)</f>
        <v>6.5519999999999999E-4</v>
      </c>
      <c r="H334" s="75"/>
      <c r="I334" s="73"/>
      <c r="J334" s="75">
        <f>ROUND(SmtRes!AG85/SmtRes!DO85, 2)</f>
        <v>400.24</v>
      </c>
      <c r="K334" s="73"/>
      <c r="L334" s="75">
        <f>SmtRes!DH85</f>
        <v>0.26</v>
      </c>
      <c r="CE334">
        <v>1</v>
      </c>
    </row>
    <row r="335" spans="1:83" x14ac:dyDescent="0.2">
      <c r="A335" s="76"/>
      <c r="B335" s="74">
        <v>4</v>
      </c>
      <c r="C335" s="76" t="s">
        <v>937</v>
      </c>
      <c r="D335" s="73"/>
      <c r="E335" s="77"/>
      <c r="F335" s="74"/>
      <c r="G335" s="74"/>
      <c r="H335" s="74"/>
      <c r="I335" s="74"/>
      <c r="J335" s="74"/>
      <c r="K335" s="74"/>
      <c r="L335" s="78">
        <f>SUM(L336:L337)-SUMIF(CE336:CE337, 1, L336:L337)</f>
        <v>19.38</v>
      </c>
    </row>
    <row r="336" spans="1:83" x14ac:dyDescent="0.2">
      <c r="A336" s="62"/>
      <c r="B336" s="62" t="s">
        <v>627</v>
      </c>
      <c r="C336" s="62" t="s">
        <v>629</v>
      </c>
      <c r="D336" s="73" t="s">
        <v>48</v>
      </c>
      <c r="E336" s="74">
        <v>1.75</v>
      </c>
      <c r="F336" s="74"/>
      <c r="G336" s="74">
        <f>SmtRes!CX86</f>
        <v>9.5549999999999993E-3</v>
      </c>
      <c r="H336" s="75">
        <f>SmtRes!CZ86</f>
        <v>35.71</v>
      </c>
      <c r="I336" s="73">
        <f>SmtRes!AI86</f>
        <v>0.88</v>
      </c>
      <c r="J336" s="75">
        <f>ROUND(H336*I336, 2)</f>
        <v>31.42</v>
      </c>
      <c r="K336" s="73"/>
      <c r="L336" s="75">
        <f>SmtRes!DF86</f>
        <v>0.3</v>
      </c>
    </row>
    <row r="337" spans="1:83" x14ac:dyDescent="0.2">
      <c r="A337" s="62"/>
      <c r="B337" s="62" t="s">
        <v>630</v>
      </c>
      <c r="C337" s="62" t="s">
        <v>632</v>
      </c>
      <c r="D337" s="73" t="s">
        <v>633</v>
      </c>
      <c r="E337" s="74">
        <v>250</v>
      </c>
      <c r="F337" s="74"/>
      <c r="G337" s="74">
        <f>SmtRes!CX87</f>
        <v>1.365</v>
      </c>
      <c r="H337" s="75">
        <f>SmtRes!CZ87</f>
        <v>12.83</v>
      </c>
      <c r="I337" s="73">
        <f>SmtRes!AI87</f>
        <v>1.0900000000000001</v>
      </c>
      <c r="J337" s="75">
        <f>ROUND(H337*I337, 2)</f>
        <v>13.98</v>
      </c>
      <c r="K337" s="73"/>
      <c r="L337" s="75">
        <f>SmtRes!DF87</f>
        <v>19.079999999999998</v>
      </c>
    </row>
    <row r="338" spans="1:83" x14ac:dyDescent="0.2">
      <c r="A338" s="62"/>
      <c r="B338" s="62" t="str">
        <f>EtalonRes!I99</f>
        <v>04.1.02.05</v>
      </c>
      <c r="C338" s="79" t="str">
        <f>EtalonRes!K99</f>
        <v>Смеси бетонные тяжелого бетона</v>
      </c>
      <c r="D338" s="80" t="str">
        <f>EtalonRes!O99</f>
        <v>м3</v>
      </c>
      <c r="E338" s="81">
        <f>EtalonRes!X99</f>
        <v>102</v>
      </c>
      <c r="F338" s="81"/>
      <c r="G338" s="81">
        <f>ROUND(EtalonRes!AG99*Source!I93, 7)</f>
        <v>0.55691999999999997</v>
      </c>
      <c r="H338" s="82"/>
      <c r="I338" s="80"/>
      <c r="J338" s="82"/>
      <c r="K338" s="80"/>
      <c r="L338" s="82"/>
    </row>
    <row r="339" spans="1:83" x14ac:dyDescent="0.2">
      <c r="A339" s="62"/>
      <c r="B339" s="62"/>
      <c r="C339" s="61" t="s">
        <v>394</v>
      </c>
      <c r="D339" s="73"/>
      <c r="E339" s="74"/>
      <c r="F339" s="74"/>
      <c r="G339" s="74"/>
      <c r="H339" s="75"/>
      <c r="I339" s="73"/>
      <c r="J339" s="75"/>
      <c r="K339" s="73"/>
      <c r="L339" s="75">
        <f>L326+L328+L329+L335</f>
        <v>411.33</v>
      </c>
    </row>
    <row r="340" spans="1:83" ht="25.5" x14ac:dyDescent="0.2">
      <c r="A340" s="72" t="s">
        <v>954</v>
      </c>
      <c r="B340" s="62" t="str">
        <f>Source!F94</f>
        <v>04.1.02.05-0264</v>
      </c>
      <c r="C340" s="62" t="str">
        <f>Source!G94</f>
        <v>Смеси бетонные тяжелого бетона (БСТ) на щебне из гравия, класс В15, F(1)200, W6</v>
      </c>
      <c r="D340" s="73" t="str">
        <f>Source!H94</f>
        <v>м3</v>
      </c>
      <c r="E340" s="74">
        <f>SmtRes!AT88</f>
        <v>102</v>
      </c>
      <c r="F340" s="74"/>
      <c r="G340" s="74">
        <f>Source!I94</f>
        <v>0.55691999999999997</v>
      </c>
      <c r="H340" s="75">
        <f>Source!AL94+Source!AO94+Source!AM94+Source!AN94</f>
        <v>4768.6099999999997</v>
      </c>
      <c r="I340" s="73">
        <f>IF(Source!BC94&lt;&gt; 0, Source!BC94, 1)</f>
        <v>1.45</v>
      </c>
      <c r="J340" s="75">
        <f>ROUND(H340*I340, 2)</f>
        <v>6914.48</v>
      </c>
      <c r="K340" s="73"/>
      <c r="L340" s="75">
        <f>Source!P94</f>
        <v>3850.81</v>
      </c>
      <c r="AD340">
        <f>ROUND((Source!AT94/100)*((ROUND(ROUND(Source!AO94,2)*Source!I94, 2)+ROUND(ROUND(Source!AN94,2)*Source!I94, 2))), 2)</f>
        <v>0</v>
      </c>
      <c r="AE340">
        <f>ROUND((Source!AU94/100)*((ROUND(ROUND(Source!AO94,2)*Source!I94, 2)+ROUND(ROUND(Source!AN94,2)*Source!I94, 2))), 2)</f>
        <v>0</v>
      </c>
      <c r="AN340">
        <f>L340</f>
        <v>3850.81</v>
      </c>
      <c r="AW340">
        <f>L340</f>
        <v>3850.81</v>
      </c>
      <c r="AZ340">
        <f>Source!X94</f>
        <v>0</v>
      </c>
      <c r="BA340">
        <f>Source!Y94</f>
        <v>0</v>
      </c>
      <c r="CD340">
        <v>1</v>
      </c>
    </row>
    <row r="341" spans="1:83" x14ac:dyDescent="0.2">
      <c r="A341" s="62"/>
      <c r="B341" s="62"/>
      <c r="C341" s="62" t="s">
        <v>893</v>
      </c>
      <c r="D341" s="73"/>
      <c r="E341" s="74"/>
      <c r="F341" s="74"/>
      <c r="G341" s="74"/>
      <c r="H341" s="75"/>
      <c r="I341" s="73"/>
      <c r="J341" s="75"/>
      <c r="K341" s="73"/>
      <c r="L341" s="75">
        <f>SUM(AR324:AR344)+SUM(AS324:AS344)+SUM(AT324:AT344)+SUM(AU324:AU344)+SUM(AV324:AV344)</f>
        <v>293.08</v>
      </c>
    </row>
    <row r="342" spans="1:83" ht="38.25" x14ac:dyDescent="0.2">
      <c r="A342" s="62"/>
      <c r="B342" s="62" t="s">
        <v>234</v>
      </c>
      <c r="C342" s="62" t="s">
        <v>955</v>
      </c>
      <c r="D342" s="73" t="s">
        <v>194</v>
      </c>
      <c r="E342" s="74">
        <f>Source!BZ93</f>
        <v>102</v>
      </c>
      <c r="F342" s="74"/>
      <c r="G342" s="74">
        <f>Source!AT93</f>
        <v>102</v>
      </c>
      <c r="H342" s="75"/>
      <c r="I342" s="73"/>
      <c r="J342" s="75"/>
      <c r="K342" s="73"/>
      <c r="L342" s="75">
        <f>SUM(AZ324:AZ344)</f>
        <v>298.94</v>
      </c>
    </row>
    <row r="343" spans="1:83" ht="38.25" x14ac:dyDescent="0.2">
      <c r="A343" s="79"/>
      <c r="B343" s="79" t="s">
        <v>235</v>
      </c>
      <c r="C343" s="79" t="s">
        <v>956</v>
      </c>
      <c r="D343" s="80" t="s">
        <v>194</v>
      </c>
      <c r="E343" s="81">
        <f>Source!CA93</f>
        <v>58</v>
      </c>
      <c r="F343" s="81"/>
      <c r="G343" s="81">
        <f>Source!AU93</f>
        <v>58</v>
      </c>
      <c r="H343" s="82"/>
      <c r="I343" s="80"/>
      <c r="J343" s="82"/>
      <c r="K343" s="80"/>
      <c r="L343" s="82">
        <f>SUM(BA324:BA344)</f>
        <v>169.99</v>
      </c>
    </row>
    <row r="344" spans="1:83" x14ac:dyDescent="0.2">
      <c r="A344" s="43"/>
      <c r="B344" s="43"/>
      <c r="C344" s="119" t="s">
        <v>896</v>
      </c>
      <c r="D344" s="119"/>
      <c r="E344" s="119"/>
      <c r="F344" s="119"/>
      <c r="G344" s="119"/>
      <c r="H344" s="119"/>
      <c r="I344" s="120">
        <f>IF(E324&lt;&gt;0,K344/E324, 0)</f>
        <v>866496.33699633705</v>
      </c>
      <c r="J344" s="120"/>
      <c r="K344" s="120">
        <f>L326+L328+L335+L342+L343+L329+SUM(L340:L340)</f>
        <v>4731.07</v>
      </c>
      <c r="L344" s="120"/>
      <c r="AD344">
        <f>ROUND((Source!AT93/100)*((ROUND(SUMIF(SmtRes!AQ81:'SmtRes'!AQ88,"=1",SmtRes!AD81:'SmtRes'!AD88)*Source!I93, 2)+ROUND(SUMIF(SmtRes!AQ81:'SmtRes'!AQ88,"=1",SmtRes!AC81:'SmtRes'!AC88)*Source!I93, 2))), 2)</f>
        <v>7.04</v>
      </c>
      <c r="AE344">
        <f>ROUND((Source!AU93/100)*((ROUND(SUMIF(SmtRes!AQ81:'SmtRes'!AQ88,"=1",SmtRes!AD81:'SmtRes'!AD88)*Source!I93, 2)+ROUND(SUMIF(SmtRes!AQ81:'SmtRes'!AQ88,"=1",SmtRes!AC81:'SmtRes'!AC88)*Source!I93, 2))), 2)</f>
        <v>4</v>
      </c>
      <c r="AN344" s="22">
        <f>L326+L328+L335+L342+L343+L329</f>
        <v>880.26</v>
      </c>
      <c r="AO344" s="22">
        <f>L328</f>
        <v>98.86999999999999</v>
      </c>
      <c r="AQ344" t="s">
        <v>897</v>
      </c>
      <c r="AR344" s="22">
        <f>L326</f>
        <v>239.98</v>
      </c>
      <c r="AT344" s="22">
        <f>L329</f>
        <v>53.1</v>
      </c>
      <c r="AV344" t="s">
        <v>897</v>
      </c>
      <c r="AW344" s="22">
        <f>L335</f>
        <v>19.38</v>
      </c>
      <c r="AZ344">
        <f>Source!X93</f>
        <v>298.94</v>
      </c>
      <c r="BA344">
        <f>Source!Y93</f>
        <v>169.99</v>
      </c>
      <c r="CD344">
        <v>1</v>
      </c>
    </row>
    <row r="345" spans="1:83" ht="25.5" x14ac:dyDescent="0.2">
      <c r="A345" s="72" t="s">
        <v>240</v>
      </c>
      <c r="B345" s="62" t="s">
        <v>957</v>
      </c>
      <c r="C345" s="62" t="str">
        <f>Source!G95</f>
        <v>Установка анкерных болтов: в готовые гнезда с заделкой длиной до 1 м</v>
      </c>
      <c r="D345" s="73" t="str">
        <f>Source!H95</f>
        <v>т</v>
      </c>
      <c r="E345" s="74">
        <f>Source!K95</f>
        <v>1E-3</v>
      </c>
      <c r="F345" s="74"/>
      <c r="G345" s="74">
        <f>Source!I95</f>
        <v>1E-3</v>
      </c>
      <c r="H345" s="75"/>
      <c r="I345" s="73"/>
      <c r="J345" s="75"/>
      <c r="K345" s="73"/>
      <c r="L345" s="75"/>
    </row>
    <row r="346" spans="1:83" x14ac:dyDescent="0.2">
      <c r="A346" s="76"/>
      <c r="B346" s="74">
        <v>1</v>
      </c>
      <c r="C346" s="76" t="s">
        <v>899</v>
      </c>
      <c r="D346" s="73" t="s">
        <v>484</v>
      </c>
      <c r="E346" s="77"/>
      <c r="F346" s="74"/>
      <c r="G346" s="74">
        <f>Source!U95</f>
        <v>0.28899999999999998</v>
      </c>
      <c r="H346" s="74"/>
      <c r="I346" s="74"/>
      <c r="J346" s="74"/>
      <c r="K346" s="74"/>
      <c r="L346" s="78">
        <f>SUM(L347:L347)-SUMIF(CE347:CE347, 1, L347:L347)</f>
        <v>106.61</v>
      </c>
    </row>
    <row r="347" spans="1:83" x14ac:dyDescent="0.2">
      <c r="A347" s="62"/>
      <c r="B347" s="62" t="s">
        <v>634</v>
      </c>
      <c r="C347" s="62" t="s">
        <v>635</v>
      </c>
      <c r="D347" s="73" t="s">
        <v>484</v>
      </c>
      <c r="E347" s="74">
        <v>289</v>
      </c>
      <c r="F347" s="74"/>
      <c r="G347" s="74">
        <f>SmtRes!CX89</f>
        <v>0.28899999999999998</v>
      </c>
      <c r="H347" s="75"/>
      <c r="I347" s="73"/>
      <c r="J347" s="75">
        <f>SmtRes!CZ89</f>
        <v>368.88</v>
      </c>
      <c r="K347" s="73"/>
      <c r="L347" s="75">
        <f>SmtRes!DI89</f>
        <v>106.61</v>
      </c>
    </row>
    <row r="348" spans="1:83" x14ac:dyDescent="0.2">
      <c r="A348" s="76"/>
      <c r="B348" s="74">
        <v>2</v>
      </c>
      <c r="C348" s="76" t="s">
        <v>890</v>
      </c>
      <c r="D348" s="73"/>
      <c r="E348" s="77"/>
      <c r="F348" s="74"/>
      <c r="G348" s="74"/>
      <c r="H348" s="74"/>
      <c r="I348" s="74"/>
      <c r="J348" s="74"/>
      <c r="K348" s="74"/>
      <c r="L348" s="78">
        <f>SUM(L349:L353)-SUMIF(CE349:CE353, 1, L349:L353)</f>
        <v>0.68000000000000016</v>
      </c>
    </row>
    <row r="349" spans="1:83" x14ac:dyDescent="0.2">
      <c r="A349" s="76"/>
      <c r="B349" s="74"/>
      <c r="C349" s="76" t="s">
        <v>892</v>
      </c>
      <c r="D349" s="73" t="s">
        <v>484</v>
      </c>
      <c r="E349" s="77"/>
      <c r="F349" s="74"/>
      <c r="G349" s="74">
        <f>Source!V95</f>
        <v>5.9000000000000003E-4</v>
      </c>
      <c r="H349" s="74"/>
      <c r="I349" s="74"/>
      <c r="J349" s="74"/>
      <c r="K349" s="74"/>
      <c r="L349" s="78">
        <f>SUMIF(CE350:CE353, 1, L350:L353)</f>
        <v>0.27</v>
      </c>
      <c r="CE349">
        <v>1</v>
      </c>
    </row>
    <row r="350" spans="1:83" ht="25.5" x14ac:dyDescent="0.2">
      <c r="A350" s="62"/>
      <c r="B350" s="62" t="s">
        <v>636</v>
      </c>
      <c r="C350" s="62" t="s">
        <v>638</v>
      </c>
      <c r="D350" s="73" t="s">
        <v>488</v>
      </c>
      <c r="E350" s="74">
        <v>0.25</v>
      </c>
      <c r="F350" s="74"/>
      <c r="G350" s="74">
        <f>SmtRes!CX91</f>
        <v>2.5000000000000001E-4</v>
      </c>
      <c r="H350" s="75"/>
      <c r="I350" s="73"/>
      <c r="J350" s="75">
        <f>SmtRes!CZ91</f>
        <v>1836.16</v>
      </c>
      <c r="K350" s="73"/>
      <c r="L350" s="75">
        <f>SmtRes!DG91</f>
        <v>0.46</v>
      </c>
    </row>
    <row r="351" spans="1:83" x14ac:dyDescent="0.2">
      <c r="A351" s="62"/>
      <c r="B351" s="62" t="s">
        <v>489</v>
      </c>
      <c r="C351" s="62" t="s">
        <v>891</v>
      </c>
      <c r="D351" s="73" t="s">
        <v>484</v>
      </c>
      <c r="E351" s="74">
        <f>SmtRes!DO91*SmtRes!AT91</f>
        <v>0.25</v>
      </c>
      <c r="F351" s="74"/>
      <c r="G351" s="74">
        <f>ROUND(E351*G345, 7)</f>
        <v>2.5000000000000001E-4</v>
      </c>
      <c r="H351" s="75"/>
      <c r="I351" s="73"/>
      <c r="J351" s="75">
        <f>ROUND(SmtRes!AG91/SmtRes!DO91, 2)</f>
        <v>537.64</v>
      </c>
      <c r="K351" s="73"/>
      <c r="L351" s="75">
        <f>SmtRes!DH91</f>
        <v>0.13</v>
      </c>
      <c r="CE351">
        <v>1</v>
      </c>
    </row>
    <row r="352" spans="1:83" ht="25.5" x14ac:dyDescent="0.2">
      <c r="A352" s="62"/>
      <c r="B352" s="62" t="s">
        <v>545</v>
      </c>
      <c r="C352" s="62" t="s">
        <v>547</v>
      </c>
      <c r="D352" s="73" t="s">
        <v>488</v>
      </c>
      <c r="E352" s="74">
        <v>0.34</v>
      </c>
      <c r="F352" s="74"/>
      <c r="G352" s="74">
        <f>SmtRes!CX92</f>
        <v>3.4000000000000002E-4</v>
      </c>
      <c r="H352" s="75"/>
      <c r="I352" s="73"/>
      <c r="J352" s="75">
        <f>SmtRes!CZ92</f>
        <v>655.95</v>
      </c>
      <c r="K352" s="73"/>
      <c r="L352" s="75">
        <f>SmtRes!DG92</f>
        <v>0.22</v>
      </c>
    </row>
    <row r="353" spans="1:83" x14ac:dyDescent="0.2">
      <c r="A353" s="62"/>
      <c r="B353" s="62" t="s">
        <v>514</v>
      </c>
      <c r="C353" s="62" t="s">
        <v>936</v>
      </c>
      <c r="D353" s="73" t="s">
        <v>484</v>
      </c>
      <c r="E353" s="74">
        <f>SmtRes!DO92*SmtRes!AT92</f>
        <v>0.34</v>
      </c>
      <c r="F353" s="74"/>
      <c r="G353" s="74">
        <f>ROUND(E353*G345, 7)</f>
        <v>3.4000000000000002E-4</v>
      </c>
      <c r="H353" s="75"/>
      <c r="I353" s="73"/>
      <c r="J353" s="75">
        <f>ROUND(SmtRes!AG92/SmtRes!DO92, 2)</f>
        <v>400.24</v>
      </c>
      <c r="K353" s="73"/>
      <c r="L353" s="75">
        <f>SmtRes!DH92</f>
        <v>0.14000000000000001</v>
      </c>
      <c r="CE353">
        <v>1</v>
      </c>
    </row>
    <row r="354" spans="1:83" x14ac:dyDescent="0.2">
      <c r="A354" s="76"/>
      <c r="B354" s="74">
        <v>4</v>
      </c>
      <c r="C354" s="76" t="s">
        <v>937</v>
      </c>
      <c r="D354" s="73"/>
      <c r="E354" s="77"/>
      <c r="F354" s="74"/>
      <c r="G354" s="74"/>
      <c r="H354" s="74"/>
      <c r="I354" s="74"/>
      <c r="J354" s="74"/>
      <c r="K354" s="74"/>
      <c r="L354" s="78">
        <f>SUM(L355:L355)-SUMIF(CE355:CE355, 1, L355:L355)</f>
        <v>0.82</v>
      </c>
    </row>
    <row r="355" spans="1:83" x14ac:dyDescent="0.2">
      <c r="A355" s="62"/>
      <c r="B355" s="62" t="s">
        <v>639</v>
      </c>
      <c r="C355" s="62" t="s">
        <v>641</v>
      </c>
      <c r="D355" s="73" t="s">
        <v>130</v>
      </c>
      <c r="E355" s="74">
        <v>0.01</v>
      </c>
      <c r="F355" s="74"/>
      <c r="G355" s="74">
        <f>SmtRes!CX93</f>
        <v>1.0000000000000001E-5</v>
      </c>
      <c r="H355" s="75">
        <f>SmtRes!CZ93</f>
        <v>61015.76</v>
      </c>
      <c r="I355" s="73">
        <f>SmtRes!AI93</f>
        <v>1.35</v>
      </c>
      <c r="J355" s="75">
        <f>ROUND(H355*I355, 2)</f>
        <v>82371.28</v>
      </c>
      <c r="K355" s="73"/>
      <c r="L355" s="75">
        <f>SmtRes!DF93</f>
        <v>0.82</v>
      </c>
    </row>
    <row r="356" spans="1:83" x14ac:dyDescent="0.2">
      <c r="A356" s="62"/>
      <c r="B356" s="62" t="str">
        <f>EtalonRes!I105</f>
        <v>08.4.01.01</v>
      </c>
      <c r="C356" s="79" t="str">
        <f>EtalonRes!K105</f>
        <v>Анкеры стальные фундаментные</v>
      </c>
      <c r="D356" s="80" t="str">
        <f>EtalonRes!O105</f>
        <v>т</v>
      </c>
      <c r="E356" s="81">
        <f>EtalonRes!X105</f>
        <v>1</v>
      </c>
      <c r="F356" s="81"/>
      <c r="G356" s="81">
        <f>ROUND(EtalonRes!AG105*Source!I95, 7)</f>
        <v>1E-3</v>
      </c>
      <c r="H356" s="82"/>
      <c r="I356" s="80"/>
      <c r="J356" s="82"/>
      <c r="K356" s="80"/>
      <c r="L356" s="82"/>
    </row>
    <row r="357" spans="1:83" x14ac:dyDescent="0.2">
      <c r="A357" s="62"/>
      <c r="B357" s="62"/>
      <c r="C357" s="61" t="s">
        <v>394</v>
      </c>
      <c r="D357" s="73"/>
      <c r="E357" s="74"/>
      <c r="F357" s="74"/>
      <c r="G357" s="74"/>
      <c r="H357" s="75"/>
      <c r="I357" s="73"/>
      <c r="J357" s="75"/>
      <c r="K357" s="73"/>
      <c r="L357" s="75">
        <f>L346+L348+L349+L354</f>
        <v>108.38</v>
      </c>
    </row>
    <row r="358" spans="1:83" ht="38.25" x14ac:dyDescent="0.2">
      <c r="A358" s="72" t="s">
        <v>958</v>
      </c>
      <c r="B358" s="62" t="str">
        <f>Source!F96</f>
        <v>08.4.01.01-0028</v>
      </c>
      <c r="C358" s="62" t="str">
        <f>Source!G96</f>
        <v>Болты анкерные фундаментные стальные в комплекте с двумя гайками М24 и шайбами М24, тип 1, диаметр М24</v>
      </c>
      <c r="D358" s="73" t="str">
        <f>Source!H96</f>
        <v>т</v>
      </c>
      <c r="E358" s="74">
        <f>SmtRes!AT94</f>
        <v>1</v>
      </c>
      <c r="F358" s="74"/>
      <c r="G358" s="74">
        <f>Source!I96</f>
        <v>1E-3</v>
      </c>
      <c r="H358" s="75">
        <f>Source!AL96+Source!AO96+Source!AM96+Source!AN96</f>
        <v>155569.65</v>
      </c>
      <c r="I358" s="73">
        <f>IF(Source!BC96&lt;&gt; 0, Source!BC96, 1)</f>
        <v>1.1200000000000001</v>
      </c>
      <c r="J358" s="75">
        <f>ROUND(H358*I358, 2)</f>
        <v>174238.01</v>
      </c>
      <c r="K358" s="73"/>
      <c r="L358" s="75">
        <f>Source!P96</f>
        <v>174.24</v>
      </c>
      <c r="AD358">
        <f>ROUND((Source!AT96/100)*((ROUND(ROUND(Source!AO96,2)*Source!I96, 2)+ROUND(ROUND(Source!AN96,2)*Source!I96, 2))), 2)</f>
        <v>0</v>
      </c>
      <c r="AE358">
        <f>ROUND((Source!AU96/100)*((ROUND(ROUND(Source!AO96,2)*Source!I96, 2)+ROUND(ROUND(Source!AN96,2)*Source!I96, 2))), 2)</f>
        <v>0</v>
      </c>
      <c r="AN358">
        <f>L358</f>
        <v>174.24</v>
      </c>
      <c r="AW358">
        <f>L358</f>
        <v>174.24</v>
      </c>
      <c r="AZ358">
        <f>Source!X96</f>
        <v>0</v>
      </c>
      <c r="BA358">
        <f>Source!Y96</f>
        <v>0</v>
      </c>
      <c r="CD358">
        <v>1</v>
      </c>
    </row>
    <row r="359" spans="1:83" x14ac:dyDescent="0.2">
      <c r="A359" s="62"/>
      <c r="B359" s="62"/>
      <c r="C359" s="62" t="s">
        <v>893</v>
      </c>
      <c r="D359" s="73"/>
      <c r="E359" s="74"/>
      <c r="F359" s="74"/>
      <c r="G359" s="74"/>
      <c r="H359" s="75"/>
      <c r="I359" s="73"/>
      <c r="J359" s="75"/>
      <c r="K359" s="73"/>
      <c r="L359" s="75">
        <f>SUM(AR345:AR362)+SUM(AS345:AS362)+SUM(AT345:AT362)+SUM(AU345:AU362)+SUM(AV345:AV362)</f>
        <v>106.88</v>
      </c>
    </row>
    <row r="360" spans="1:83" ht="38.25" x14ac:dyDescent="0.2">
      <c r="A360" s="62"/>
      <c r="B360" s="62" t="s">
        <v>234</v>
      </c>
      <c r="C360" s="62" t="s">
        <v>955</v>
      </c>
      <c r="D360" s="73" t="s">
        <v>194</v>
      </c>
      <c r="E360" s="74">
        <f>Source!BZ95</f>
        <v>102</v>
      </c>
      <c r="F360" s="74"/>
      <c r="G360" s="74">
        <f>Source!AT95</f>
        <v>102</v>
      </c>
      <c r="H360" s="75"/>
      <c r="I360" s="73"/>
      <c r="J360" s="75"/>
      <c r="K360" s="73"/>
      <c r="L360" s="75">
        <f>SUM(AZ345:AZ362)</f>
        <v>109.02</v>
      </c>
    </row>
    <row r="361" spans="1:83" ht="38.25" x14ac:dyDescent="0.2">
      <c r="A361" s="79"/>
      <c r="B361" s="79" t="s">
        <v>235</v>
      </c>
      <c r="C361" s="79" t="s">
        <v>956</v>
      </c>
      <c r="D361" s="80" t="s">
        <v>194</v>
      </c>
      <c r="E361" s="81">
        <f>Source!CA95</f>
        <v>58</v>
      </c>
      <c r="F361" s="81"/>
      <c r="G361" s="81">
        <f>Source!AU95</f>
        <v>58</v>
      </c>
      <c r="H361" s="82"/>
      <c r="I361" s="80"/>
      <c r="J361" s="82"/>
      <c r="K361" s="80"/>
      <c r="L361" s="82">
        <f>SUM(BA345:BA362)</f>
        <v>61.99</v>
      </c>
    </row>
    <row r="362" spans="1:83" x14ac:dyDescent="0.2">
      <c r="A362" s="43"/>
      <c r="B362" s="43"/>
      <c r="C362" s="119" t="s">
        <v>896</v>
      </c>
      <c r="D362" s="119"/>
      <c r="E362" s="119"/>
      <c r="F362" s="119"/>
      <c r="G362" s="119"/>
      <c r="H362" s="119"/>
      <c r="I362" s="120">
        <f>IF(E345&lt;&gt;0,K362/E345, 0)</f>
        <v>453630</v>
      </c>
      <c r="J362" s="120"/>
      <c r="K362" s="120">
        <f>L346+L348+L354+L360+L361+L349+SUM(L358:L358)</f>
        <v>453.63</v>
      </c>
      <c r="L362" s="120"/>
      <c r="AD362">
        <f>ROUND((Source!AT95/100)*((ROUND(SUMIF(SmtRes!AQ89:'SmtRes'!AQ94,"=1",SmtRes!AD89:'SmtRes'!AD94)*Source!I95, 2)+ROUND(SUMIF(SmtRes!AQ89:'SmtRes'!AQ94,"=1",SmtRes!AC89:'SmtRes'!AC94)*Source!I95, 2))), 2)</f>
        <v>1.34</v>
      </c>
      <c r="AE362">
        <f>ROUND((Source!AU95/100)*((ROUND(SUMIF(SmtRes!AQ89:'SmtRes'!AQ94,"=1",SmtRes!AD89:'SmtRes'!AD94)*Source!I95, 2)+ROUND(SUMIF(SmtRes!AQ89:'SmtRes'!AQ94,"=1",SmtRes!AC89:'SmtRes'!AC94)*Source!I95, 2))), 2)</f>
        <v>0.76</v>
      </c>
      <c r="AN362" s="22">
        <f>L346+L348+L354+L360+L361+L349</f>
        <v>279.39</v>
      </c>
      <c r="AO362" s="22">
        <f>L348</f>
        <v>0.68000000000000016</v>
      </c>
      <c r="AQ362" t="s">
        <v>897</v>
      </c>
      <c r="AR362" s="22">
        <f>L346</f>
        <v>106.61</v>
      </c>
      <c r="AT362" s="22">
        <f>L349</f>
        <v>0.27</v>
      </c>
      <c r="AV362" t="s">
        <v>897</v>
      </c>
      <c r="AW362" s="22">
        <f>L354</f>
        <v>0.82</v>
      </c>
      <c r="AZ362">
        <f>Source!X95</f>
        <v>109.02</v>
      </c>
      <c r="BA362">
        <f>Source!Y95</f>
        <v>61.99</v>
      </c>
      <c r="CD362">
        <v>1</v>
      </c>
    </row>
    <row r="363" spans="1:83" ht="38.25" x14ac:dyDescent="0.2">
      <c r="A363" s="72" t="s">
        <v>249</v>
      </c>
      <c r="B363" s="62" t="s">
        <v>959</v>
      </c>
      <c r="C363" s="62" t="str">
        <f>Source!G97</f>
        <v>Очистка полости трубопровода продувкой воздухом, номинальный диаметр газопровода: 50 мм</v>
      </c>
      <c r="D363" s="73" t="str">
        <f>Source!H97</f>
        <v>100 м</v>
      </c>
      <c r="E363" s="74">
        <f>Source!K97</f>
        <v>1.06</v>
      </c>
      <c r="F363" s="74"/>
      <c r="G363" s="74">
        <f>Source!I97</f>
        <v>1.06</v>
      </c>
      <c r="H363" s="75"/>
      <c r="I363" s="73"/>
      <c r="J363" s="75"/>
      <c r="K363" s="73"/>
      <c r="L363" s="75"/>
    </row>
    <row r="364" spans="1:83" x14ac:dyDescent="0.2">
      <c r="A364" s="43"/>
      <c r="B364" s="43"/>
      <c r="C364" s="60" t="str">
        <f>"Объем: "&amp;Source!I97&amp;"=106/"&amp;"100"</f>
        <v>Объем: 1,06=106/100</v>
      </c>
      <c r="D364" s="43"/>
      <c r="E364" s="43"/>
      <c r="F364" s="43"/>
      <c r="G364" s="43"/>
      <c r="H364" s="43"/>
      <c r="I364" s="43"/>
      <c r="J364" s="43"/>
      <c r="K364" s="43"/>
      <c r="L364" s="43"/>
    </row>
    <row r="365" spans="1:83" x14ac:dyDescent="0.2">
      <c r="A365" s="76"/>
      <c r="B365" s="74">
        <v>1</v>
      </c>
      <c r="C365" s="76" t="s">
        <v>899</v>
      </c>
      <c r="D365" s="73" t="s">
        <v>484</v>
      </c>
      <c r="E365" s="77"/>
      <c r="F365" s="74"/>
      <c r="G365" s="74">
        <f>Source!U97</f>
        <v>0.43459999999999999</v>
      </c>
      <c r="H365" s="74"/>
      <c r="I365" s="74"/>
      <c r="J365" s="74"/>
      <c r="K365" s="74"/>
      <c r="L365" s="78">
        <f>SUM(L366:L366)-SUMIF(CE366:CE366, 1, L366:L366)</f>
        <v>173.94</v>
      </c>
    </row>
    <row r="366" spans="1:83" x14ac:dyDescent="0.2">
      <c r="A366" s="62"/>
      <c r="B366" s="62" t="s">
        <v>642</v>
      </c>
      <c r="C366" s="62" t="s">
        <v>643</v>
      </c>
      <c r="D366" s="73" t="s">
        <v>484</v>
      </c>
      <c r="E366" s="74">
        <v>0.41</v>
      </c>
      <c r="F366" s="74"/>
      <c r="G366" s="74">
        <f>SmtRes!CX95</f>
        <v>0.43459999999999999</v>
      </c>
      <c r="H366" s="75"/>
      <c r="I366" s="73"/>
      <c r="J366" s="75">
        <f>SmtRes!CZ95</f>
        <v>400.24</v>
      </c>
      <c r="K366" s="73"/>
      <c r="L366" s="75">
        <f>SmtRes!DI95</f>
        <v>173.94</v>
      </c>
    </row>
    <row r="367" spans="1:83" x14ac:dyDescent="0.2">
      <c r="A367" s="76"/>
      <c r="B367" s="74">
        <v>2</v>
      </c>
      <c r="C367" s="76" t="s">
        <v>890</v>
      </c>
      <c r="D367" s="73"/>
      <c r="E367" s="77"/>
      <c r="F367" s="74"/>
      <c r="G367" s="74"/>
      <c r="H367" s="74"/>
      <c r="I367" s="74"/>
      <c r="J367" s="74"/>
      <c r="K367" s="74"/>
      <c r="L367" s="78">
        <f>SUM(L368:L370)-SUMIF(CE368:CE370, 1, L368:L370)</f>
        <v>88.43</v>
      </c>
    </row>
    <row r="368" spans="1:83" x14ac:dyDescent="0.2">
      <c r="A368" s="76"/>
      <c r="B368" s="74"/>
      <c r="C368" s="76" t="s">
        <v>892</v>
      </c>
      <c r="D368" s="73" t="s">
        <v>484</v>
      </c>
      <c r="E368" s="77"/>
      <c r="F368" s="74"/>
      <c r="G368" s="74">
        <f>Source!V97</f>
        <v>0.21199999999999999</v>
      </c>
      <c r="H368" s="74"/>
      <c r="I368" s="74"/>
      <c r="J368" s="74"/>
      <c r="K368" s="74"/>
      <c r="L368" s="78">
        <f>SUMIF(CE369:CE370, 1, L369:L370)</f>
        <v>84.85</v>
      </c>
      <c r="CE368">
        <v>1</v>
      </c>
    </row>
    <row r="369" spans="1:83" ht="51" x14ac:dyDescent="0.2">
      <c r="A369" s="62"/>
      <c r="B369" s="62" t="s">
        <v>511</v>
      </c>
      <c r="C369" s="62" t="s">
        <v>513</v>
      </c>
      <c r="D369" s="73" t="s">
        <v>488</v>
      </c>
      <c r="E369" s="74">
        <v>0.2</v>
      </c>
      <c r="F369" s="74"/>
      <c r="G369" s="74">
        <f>SmtRes!CX97</f>
        <v>0.21199999999999999</v>
      </c>
      <c r="H369" s="75"/>
      <c r="I369" s="73"/>
      <c r="J369" s="75">
        <f>SmtRes!CZ97</f>
        <v>417.12</v>
      </c>
      <c r="K369" s="73"/>
      <c r="L369" s="75">
        <f>SmtRes!DG97</f>
        <v>88.43</v>
      </c>
    </row>
    <row r="370" spans="1:83" x14ac:dyDescent="0.2">
      <c r="A370" s="62"/>
      <c r="B370" s="62" t="s">
        <v>514</v>
      </c>
      <c r="C370" s="79" t="s">
        <v>936</v>
      </c>
      <c r="D370" s="80" t="s">
        <v>484</v>
      </c>
      <c r="E370" s="81">
        <f>SmtRes!DO97*SmtRes!AT97</f>
        <v>0.2</v>
      </c>
      <c r="F370" s="81"/>
      <c r="G370" s="81">
        <f>ROUND(E370*G363, 7)</f>
        <v>0.21199999999999999</v>
      </c>
      <c r="H370" s="82"/>
      <c r="I370" s="80"/>
      <c r="J370" s="82">
        <f>ROUND(SmtRes!AG97/SmtRes!DO97, 2)</f>
        <v>400.24</v>
      </c>
      <c r="K370" s="80"/>
      <c r="L370" s="82">
        <f>SmtRes!DH97</f>
        <v>84.85</v>
      </c>
      <c r="CE370">
        <v>1</v>
      </c>
    </row>
    <row r="371" spans="1:83" x14ac:dyDescent="0.2">
      <c r="A371" s="62"/>
      <c r="B371" s="62"/>
      <c r="C371" s="61" t="s">
        <v>394</v>
      </c>
      <c r="D371" s="73"/>
      <c r="E371" s="74"/>
      <c r="F371" s="74"/>
      <c r="G371" s="74"/>
      <c r="H371" s="75"/>
      <c r="I371" s="73"/>
      <c r="J371" s="75"/>
      <c r="K371" s="73"/>
      <c r="L371" s="75">
        <f>L365+L367+L368</f>
        <v>347.22</v>
      </c>
    </row>
    <row r="372" spans="1:83" x14ac:dyDescent="0.2">
      <c r="A372" s="62"/>
      <c r="B372" s="62"/>
      <c r="C372" s="62" t="s">
        <v>893</v>
      </c>
      <c r="D372" s="73"/>
      <c r="E372" s="74"/>
      <c r="F372" s="74"/>
      <c r="G372" s="74"/>
      <c r="H372" s="75"/>
      <c r="I372" s="73"/>
      <c r="J372" s="75"/>
      <c r="K372" s="73"/>
      <c r="L372" s="75">
        <f>SUM(AR363:AR375)+SUM(AS363:AS375)+SUM(AT363:AT375)+SUM(AU363:AU375)+SUM(AV363:AV375)</f>
        <v>258.78999999999996</v>
      </c>
    </row>
    <row r="373" spans="1:83" ht="38.25" x14ac:dyDescent="0.2">
      <c r="A373" s="62"/>
      <c r="B373" s="62" t="s">
        <v>43</v>
      </c>
      <c r="C373" s="62" t="s">
        <v>904</v>
      </c>
      <c r="D373" s="73" t="s">
        <v>194</v>
      </c>
      <c r="E373" s="74">
        <f>Source!BZ97</f>
        <v>117</v>
      </c>
      <c r="F373" s="74"/>
      <c r="G373" s="74">
        <f>Source!AT97</f>
        <v>117</v>
      </c>
      <c r="H373" s="75"/>
      <c r="I373" s="73"/>
      <c r="J373" s="75"/>
      <c r="K373" s="73"/>
      <c r="L373" s="75">
        <f>SUM(AZ363:AZ375)</f>
        <v>302.77999999999997</v>
      </c>
    </row>
    <row r="374" spans="1:83" ht="38.25" x14ac:dyDescent="0.2">
      <c r="A374" s="79"/>
      <c r="B374" s="79" t="s">
        <v>44</v>
      </c>
      <c r="C374" s="79" t="s">
        <v>905</v>
      </c>
      <c r="D374" s="80" t="s">
        <v>194</v>
      </c>
      <c r="E374" s="81">
        <f>Source!CA97</f>
        <v>74</v>
      </c>
      <c r="F374" s="81"/>
      <c r="G374" s="81">
        <f>Source!AU97</f>
        <v>74</v>
      </c>
      <c r="H374" s="82"/>
      <c r="I374" s="80"/>
      <c r="J374" s="82"/>
      <c r="K374" s="80"/>
      <c r="L374" s="82">
        <f>SUM(BA363:BA375)</f>
        <v>191.5</v>
      </c>
    </row>
    <row r="375" spans="1:83" x14ac:dyDescent="0.2">
      <c r="A375" s="43"/>
      <c r="B375" s="43"/>
      <c r="C375" s="119" t="s">
        <v>896</v>
      </c>
      <c r="D375" s="119"/>
      <c r="E375" s="119"/>
      <c r="F375" s="119"/>
      <c r="G375" s="119"/>
      <c r="H375" s="119"/>
      <c r="I375" s="120">
        <f>IF(E363&lt;&gt;0,K375/E363, 0)</f>
        <v>793.86792452830184</v>
      </c>
      <c r="J375" s="120"/>
      <c r="K375" s="120">
        <f>L365+L367+L373+L374+L368</f>
        <v>841.5</v>
      </c>
      <c r="L375" s="120"/>
      <c r="AD375">
        <f>ROUND((Source!AT97/100)*((ROUND(SUMIF(SmtRes!AQ95:'SmtRes'!AQ97,"=1",SmtRes!AD95:'SmtRes'!AD97)*Source!I97, 2)+ROUND(SUMIF(SmtRes!AQ95:'SmtRes'!AQ97,"=1",SmtRes!AC95:'SmtRes'!AC97)*Source!I97, 2))), 2)</f>
        <v>992.75</v>
      </c>
      <c r="AE375">
        <f>ROUND((Source!AU97/100)*((ROUND(SUMIF(SmtRes!AQ95:'SmtRes'!AQ97,"=1",SmtRes!AD95:'SmtRes'!AD97)*Source!I97, 2)+ROUND(SUMIF(SmtRes!AQ95:'SmtRes'!AQ97,"=1",SmtRes!AC95:'SmtRes'!AC97)*Source!I97, 2))), 2)</f>
        <v>627.89</v>
      </c>
      <c r="AN375" s="22">
        <f>L365+L367+L373+L374+L368</f>
        <v>841.5</v>
      </c>
      <c r="AO375" s="22">
        <f>L367</f>
        <v>88.43</v>
      </c>
      <c r="AQ375" t="s">
        <v>897</v>
      </c>
      <c r="AR375" s="22">
        <f>L365</f>
        <v>173.94</v>
      </c>
      <c r="AT375" s="22">
        <f>L368</f>
        <v>84.85</v>
      </c>
      <c r="AV375" t="s">
        <v>897</v>
      </c>
      <c r="AW375">
        <f>0</f>
        <v>0</v>
      </c>
      <c r="AZ375">
        <f>Source!X97</f>
        <v>302.77999999999997</v>
      </c>
      <c r="BA375">
        <f>Source!Y97</f>
        <v>191.5</v>
      </c>
      <c r="CD375">
        <v>1</v>
      </c>
    </row>
    <row r="376" spans="1:83" ht="51" x14ac:dyDescent="0.2">
      <c r="A376" s="72" t="s">
        <v>253</v>
      </c>
      <c r="B376" s="62" t="s">
        <v>960</v>
      </c>
      <c r="C376" s="62" t="str">
        <f>Source!G98</f>
        <v>Подъем давления при испытании воздухом газопроводов низкого и среднего давления (до 0,3 МПа) номинальным диаметром: 50 мм</v>
      </c>
      <c r="D376" s="73" t="str">
        <f>Source!H98</f>
        <v>100 м</v>
      </c>
      <c r="E376" s="74">
        <f>Source!K98</f>
        <v>0.02</v>
      </c>
      <c r="F376" s="74"/>
      <c r="G376" s="74">
        <f>Source!I98</f>
        <v>0.02</v>
      </c>
      <c r="H376" s="75"/>
      <c r="I376" s="73"/>
      <c r="J376" s="75"/>
      <c r="K376" s="73"/>
      <c r="L376" s="75"/>
    </row>
    <row r="377" spans="1:83" x14ac:dyDescent="0.2">
      <c r="A377" s="43"/>
      <c r="B377" s="43"/>
      <c r="C377" s="60" t="str">
        <f>"Объем: "&amp;Source!I98&amp;"=2/"&amp;"100"</f>
        <v>Объем: 0,02=2/100</v>
      </c>
      <c r="D377" s="43"/>
      <c r="E377" s="43"/>
      <c r="F377" s="43"/>
      <c r="G377" s="43"/>
      <c r="H377" s="43"/>
      <c r="I377" s="43"/>
      <c r="J377" s="43"/>
      <c r="K377" s="43"/>
      <c r="L377" s="43"/>
    </row>
    <row r="378" spans="1:83" x14ac:dyDescent="0.2">
      <c r="A378" s="76"/>
      <c r="B378" s="74">
        <v>1</v>
      </c>
      <c r="C378" s="76" t="s">
        <v>899</v>
      </c>
      <c r="D378" s="73" t="s">
        <v>484</v>
      </c>
      <c r="E378" s="77"/>
      <c r="F378" s="74"/>
      <c r="G378" s="74">
        <f>Source!U98</f>
        <v>1.6000000000000001E-3</v>
      </c>
      <c r="H378" s="74"/>
      <c r="I378" s="74"/>
      <c r="J378" s="74"/>
      <c r="K378" s="74"/>
      <c r="L378" s="78">
        <f>SUM(L379:L379)-SUMIF(CE379:CE379, 1, L379:L379)</f>
        <v>0.64</v>
      </c>
    </row>
    <row r="379" spans="1:83" x14ac:dyDescent="0.2">
      <c r="A379" s="62"/>
      <c r="B379" s="62" t="s">
        <v>642</v>
      </c>
      <c r="C379" s="62" t="s">
        <v>643</v>
      </c>
      <c r="D379" s="73" t="s">
        <v>484</v>
      </c>
      <c r="E379" s="74">
        <v>0.08</v>
      </c>
      <c r="F379" s="74"/>
      <c r="G379" s="74">
        <f>SmtRes!CX98</f>
        <v>1.6000000000000001E-3</v>
      </c>
      <c r="H379" s="75"/>
      <c r="I379" s="73"/>
      <c r="J379" s="75">
        <f>SmtRes!CZ98</f>
        <v>400.24</v>
      </c>
      <c r="K379" s="73"/>
      <c r="L379" s="75">
        <f>SmtRes!DI98</f>
        <v>0.64</v>
      </c>
    </row>
    <row r="380" spans="1:83" x14ac:dyDescent="0.2">
      <c r="A380" s="76"/>
      <c r="B380" s="74">
        <v>2</v>
      </c>
      <c r="C380" s="76" t="s">
        <v>890</v>
      </c>
      <c r="D380" s="73"/>
      <c r="E380" s="77"/>
      <c r="F380" s="74"/>
      <c r="G380" s="74"/>
      <c r="H380" s="74"/>
      <c r="I380" s="74"/>
      <c r="J380" s="74"/>
      <c r="K380" s="74"/>
      <c r="L380" s="78">
        <f>SUM(L381:L385)-SUMIF(CE381:CE385, 1, L381:L385)</f>
        <v>0.9700000000000002</v>
      </c>
    </row>
    <row r="381" spans="1:83" x14ac:dyDescent="0.2">
      <c r="A381" s="76"/>
      <c r="B381" s="74"/>
      <c r="C381" s="76" t="s">
        <v>892</v>
      </c>
      <c r="D381" s="73" t="s">
        <v>484</v>
      </c>
      <c r="E381" s="77"/>
      <c r="F381" s="74"/>
      <c r="G381" s="74">
        <f>Source!V98</f>
        <v>1.2000000000000001E-3</v>
      </c>
      <c r="H381" s="74"/>
      <c r="I381" s="74"/>
      <c r="J381" s="74"/>
      <c r="K381" s="74"/>
      <c r="L381" s="78">
        <f>SUMIF(CE382:CE385, 1, L382:L385)</f>
        <v>0.54</v>
      </c>
      <c r="CE381">
        <v>1</v>
      </c>
    </row>
    <row r="382" spans="1:83" ht="25.5" x14ac:dyDescent="0.2">
      <c r="A382" s="62"/>
      <c r="B382" s="62" t="s">
        <v>644</v>
      </c>
      <c r="C382" s="62" t="s">
        <v>646</v>
      </c>
      <c r="D382" s="73" t="s">
        <v>488</v>
      </c>
      <c r="E382" s="74">
        <v>0.02</v>
      </c>
      <c r="F382" s="74"/>
      <c r="G382" s="74">
        <f>SmtRes!CX100</f>
        <v>4.0000000000000002E-4</v>
      </c>
      <c r="H382" s="75">
        <f>SmtRes!CZ100</f>
        <v>1070.99</v>
      </c>
      <c r="I382" s="73">
        <f>SmtRes!AJ100</f>
        <v>1.49</v>
      </c>
      <c r="J382" s="75">
        <f>ROUND(H382*I382, 2)</f>
        <v>1595.78</v>
      </c>
      <c r="K382" s="73"/>
      <c r="L382" s="75">
        <f>SmtRes!DG100</f>
        <v>0.64</v>
      </c>
    </row>
    <row r="383" spans="1:83" x14ac:dyDescent="0.2">
      <c r="A383" s="62"/>
      <c r="B383" s="62" t="s">
        <v>489</v>
      </c>
      <c r="C383" s="62" t="s">
        <v>891</v>
      </c>
      <c r="D383" s="73" t="s">
        <v>484</v>
      </c>
      <c r="E383" s="74">
        <f>SmtRes!DO100*SmtRes!AT100</f>
        <v>0.02</v>
      </c>
      <c r="F383" s="74"/>
      <c r="G383" s="74">
        <f>ROUND(E383*G376, 7)</f>
        <v>4.0000000000000002E-4</v>
      </c>
      <c r="H383" s="75"/>
      <c r="I383" s="73"/>
      <c r="J383" s="75">
        <f>ROUND(SmtRes!AG100/SmtRes!DO100, 2)</f>
        <v>537.64</v>
      </c>
      <c r="K383" s="73"/>
      <c r="L383" s="75">
        <f>SmtRes!DH100</f>
        <v>0.22</v>
      </c>
      <c r="CE383">
        <v>1</v>
      </c>
    </row>
    <row r="384" spans="1:83" ht="51" x14ac:dyDescent="0.2">
      <c r="A384" s="62"/>
      <c r="B384" s="62" t="s">
        <v>511</v>
      </c>
      <c r="C384" s="62" t="s">
        <v>513</v>
      </c>
      <c r="D384" s="73" t="s">
        <v>488</v>
      </c>
      <c r="E384" s="74">
        <v>0.04</v>
      </c>
      <c r="F384" s="74"/>
      <c r="G384" s="74">
        <f>SmtRes!CX101</f>
        <v>8.0000000000000004E-4</v>
      </c>
      <c r="H384" s="75"/>
      <c r="I384" s="73"/>
      <c r="J384" s="75">
        <f>SmtRes!CZ101</f>
        <v>417.12</v>
      </c>
      <c r="K384" s="73"/>
      <c r="L384" s="75">
        <f>SmtRes!DG101</f>
        <v>0.33</v>
      </c>
    </row>
    <row r="385" spans="1:83" x14ac:dyDescent="0.2">
      <c r="A385" s="62"/>
      <c r="B385" s="62" t="s">
        <v>514</v>
      </c>
      <c r="C385" s="79" t="s">
        <v>936</v>
      </c>
      <c r="D385" s="80" t="s">
        <v>484</v>
      </c>
      <c r="E385" s="81">
        <f>SmtRes!DO101*SmtRes!AT101</f>
        <v>0.04</v>
      </c>
      <c r="F385" s="81"/>
      <c r="G385" s="81">
        <f>ROUND(E385*G376, 7)</f>
        <v>8.0000000000000004E-4</v>
      </c>
      <c r="H385" s="82"/>
      <c r="I385" s="80"/>
      <c r="J385" s="82">
        <f>ROUND(SmtRes!AG101/SmtRes!DO101, 2)</f>
        <v>400.24</v>
      </c>
      <c r="K385" s="80"/>
      <c r="L385" s="82">
        <f>SmtRes!DH101</f>
        <v>0.32</v>
      </c>
      <c r="CE385">
        <v>1</v>
      </c>
    </row>
    <row r="386" spans="1:83" x14ac:dyDescent="0.2">
      <c r="A386" s="62"/>
      <c r="B386" s="62"/>
      <c r="C386" s="61" t="s">
        <v>394</v>
      </c>
      <c r="D386" s="73"/>
      <c r="E386" s="74"/>
      <c r="F386" s="74"/>
      <c r="G386" s="74"/>
      <c r="H386" s="75"/>
      <c r="I386" s="73"/>
      <c r="J386" s="75"/>
      <c r="K386" s="73"/>
      <c r="L386" s="75">
        <f>L378+L380+L381</f>
        <v>2.1500000000000004</v>
      </c>
    </row>
    <row r="387" spans="1:83" x14ac:dyDescent="0.2">
      <c r="A387" s="62"/>
      <c r="B387" s="62"/>
      <c r="C387" s="62" t="s">
        <v>893</v>
      </c>
      <c r="D387" s="73"/>
      <c r="E387" s="74"/>
      <c r="F387" s="74"/>
      <c r="G387" s="74"/>
      <c r="H387" s="75"/>
      <c r="I387" s="73"/>
      <c r="J387" s="75"/>
      <c r="K387" s="73"/>
      <c r="L387" s="75">
        <f>SUM(AR376:AR390)+SUM(AS376:AS390)+SUM(AT376:AT390)+SUM(AU376:AU390)+SUM(AV376:AV390)</f>
        <v>1.1800000000000002</v>
      </c>
    </row>
    <row r="388" spans="1:83" ht="38.25" x14ac:dyDescent="0.2">
      <c r="A388" s="62"/>
      <c r="B388" s="62" t="s">
        <v>43</v>
      </c>
      <c r="C388" s="62" t="s">
        <v>904</v>
      </c>
      <c r="D388" s="73" t="s">
        <v>194</v>
      </c>
      <c r="E388" s="74">
        <f>Source!BZ98</f>
        <v>117</v>
      </c>
      <c r="F388" s="74"/>
      <c r="G388" s="74">
        <f>Source!AT98</f>
        <v>117</v>
      </c>
      <c r="H388" s="75"/>
      <c r="I388" s="73"/>
      <c r="J388" s="75"/>
      <c r="K388" s="73"/>
      <c r="L388" s="75">
        <f>SUM(AZ376:AZ390)</f>
        <v>1.38</v>
      </c>
    </row>
    <row r="389" spans="1:83" ht="38.25" x14ac:dyDescent="0.2">
      <c r="A389" s="79"/>
      <c r="B389" s="79" t="s">
        <v>44</v>
      </c>
      <c r="C389" s="79" t="s">
        <v>905</v>
      </c>
      <c r="D389" s="80" t="s">
        <v>194</v>
      </c>
      <c r="E389" s="81">
        <f>Source!CA98</f>
        <v>74</v>
      </c>
      <c r="F389" s="81"/>
      <c r="G389" s="81">
        <f>Source!AU98</f>
        <v>74</v>
      </c>
      <c r="H389" s="82"/>
      <c r="I389" s="80"/>
      <c r="J389" s="82"/>
      <c r="K389" s="80"/>
      <c r="L389" s="82">
        <f>SUM(BA376:BA390)</f>
        <v>0.87</v>
      </c>
    </row>
    <row r="390" spans="1:83" x14ac:dyDescent="0.2">
      <c r="A390" s="43"/>
      <c r="B390" s="43"/>
      <c r="C390" s="119" t="s">
        <v>896</v>
      </c>
      <c r="D390" s="119"/>
      <c r="E390" s="119"/>
      <c r="F390" s="119"/>
      <c r="G390" s="119"/>
      <c r="H390" s="119"/>
      <c r="I390" s="120">
        <f>IF(E376&lt;&gt;0,K390/E376, 0)</f>
        <v>220</v>
      </c>
      <c r="J390" s="120"/>
      <c r="K390" s="120">
        <f>L378+L380+L388+L389+L381</f>
        <v>4.4000000000000004</v>
      </c>
      <c r="L390" s="120"/>
      <c r="AD390">
        <f>ROUND((Source!AT98/100)*((ROUND(SUMIF(SmtRes!AQ98:'SmtRes'!AQ101,"=1",SmtRes!AD98:'SmtRes'!AD101)*Source!I98, 2)+ROUND(SUMIF(SmtRes!AQ98:'SmtRes'!AQ101,"=1",SmtRes!AC98:'SmtRes'!AC101)*Source!I98, 2))), 2)</f>
        <v>31.31</v>
      </c>
      <c r="AE390">
        <f>ROUND((Source!AU98/100)*((ROUND(SUMIF(SmtRes!AQ98:'SmtRes'!AQ101,"=1",SmtRes!AD98:'SmtRes'!AD101)*Source!I98, 2)+ROUND(SUMIF(SmtRes!AQ98:'SmtRes'!AQ101,"=1",SmtRes!AC98:'SmtRes'!AC101)*Source!I98, 2))), 2)</f>
        <v>19.8</v>
      </c>
      <c r="AN390" s="22">
        <f>L378+L380+L388+L389+L381</f>
        <v>4.4000000000000004</v>
      </c>
      <c r="AO390" s="22">
        <f>L380</f>
        <v>0.9700000000000002</v>
      </c>
      <c r="AQ390" t="s">
        <v>897</v>
      </c>
      <c r="AR390" s="22">
        <f>L378</f>
        <v>0.64</v>
      </c>
      <c r="AT390" s="22">
        <f>L381</f>
        <v>0.54</v>
      </c>
      <c r="AV390" t="s">
        <v>897</v>
      </c>
      <c r="AW390">
        <f>0</f>
        <v>0</v>
      </c>
      <c r="AZ390">
        <f>Source!X98</f>
        <v>1.38</v>
      </c>
      <c r="BA390">
        <f>Source!Y98</f>
        <v>0.87</v>
      </c>
      <c r="CD390">
        <v>1</v>
      </c>
    </row>
    <row r="391" spans="1:83" ht="25.5" x14ac:dyDescent="0.2">
      <c r="A391" s="72" t="s">
        <v>257</v>
      </c>
      <c r="B391" s="62" t="s">
        <v>961</v>
      </c>
      <c r="C391" s="62" t="str">
        <f>Source!G99</f>
        <v>Опрессовка газопровода из полиэтиленовых труб, диаметром: 63 мм</v>
      </c>
      <c r="D391" s="73" t="str">
        <f>Source!H99</f>
        <v>км</v>
      </c>
      <c r="E391" s="74">
        <f>Source!K99</f>
        <v>0.104</v>
      </c>
      <c r="F391" s="74"/>
      <c r="G391" s="74">
        <f>Source!I99</f>
        <v>0.104</v>
      </c>
      <c r="H391" s="75"/>
      <c r="I391" s="73"/>
      <c r="J391" s="75"/>
      <c r="K391" s="73"/>
      <c r="L391" s="75"/>
    </row>
    <row r="392" spans="1:83" x14ac:dyDescent="0.2">
      <c r="A392" s="76"/>
      <c r="B392" s="74">
        <v>1</v>
      </c>
      <c r="C392" s="76" t="s">
        <v>899</v>
      </c>
      <c r="D392" s="73" t="s">
        <v>484</v>
      </c>
      <c r="E392" s="77"/>
      <c r="F392" s="74"/>
      <c r="G392" s="74">
        <f>Source!U99</f>
        <v>4.1391999999999998</v>
      </c>
      <c r="H392" s="74"/>
      <c r="I392" s="74"/>
      <c r="J392" s="74"/>
      <c r="K392" s="74"/>
      <c r="L392" s="78">
        <f>SUM(L393:L394)-SUMIF(CE393:CE394, 1, L393:L394)</f>
        <v>1780.31</v>
      </c>
    </row>
    <row r="393" spans="1:83" x14ac:dyDescent="0.2">
      <c r="A393" s="62"/>
      <c r="B393" s="62" t="s">
        <v>586</v>
      </c>
      <c r="C393" s="62" t="s">
        <v>587</v>
      </c>
      <c r="D393" s="73" t="s">
        <v>585</v>
      </c>
      <c r="E393" s="74">
        <v>19.899999999999999</v>
      </c>
      <c r="F393" s="74"/>
      <c r="G393" s="74">
        <f>SmtRes!CX102</f>
        <v>2.0695999999999999</v>
      </c>
      <c r="H393" s="75"/>
      <c r="I393" s="73"/>
      <c r="J393" s="75">
        <f>SmtRes!CZ102</f>
        <v>400.24</v>
      </c>
      <c r="K393" s="73"/>
      <c r="L393" s="75">
        <f>SmtRes!DI102</f>
        <v>828.34</v>
      </c>
    </row>
    <row r="394" spans="1:83" x14ac:dyDescent="0.2">
      <c r="A394" s="62"/>
      <c r="B394" s="62" t="s">
        <v>647</v>
      </c>
      <c r="C394" s="62" t="s">
        <v>648</v>
      </c>
      <c r="D394" s="73" t="s">
        <v>585</v>
      </c>
      <c r="E394" s="74">
        <v>19.899999999999999</v>
      </c>
      <c r="F394" s="74"/>
      <c r="G394" s="74">
        <f>SmtRes!CX103</f>
        <v>2.0695999999999999</v>
      </c>
      <c r="H394" s="75"/>
      <c r="I394" s="73"/>
      <c r="J394" s="75">
        <f>SmtRes!CZ103</f>
        <v>459.98</v>
      </c>
      <c r="K394" s="73"/>
      <c r="L394" s="75">
        <f>SmtRes!DI103</f>
        <v>951.97</v>
      </c>
    </row>
    <row r="395" spans="1:83" x14ac:dyDescent="0.2">
      <c r="A395" s="76"/>
      <c r="B395" s="74">
        <v>2</v>
      </c>
      <c r="C395" s="76" t="s">
        <v>890</v>
      </c>
      <c r="D395" s="73"/>
      <c r="E395" s="77"/>
      <c r="F395" s="74"/>
      <c r="G395" s="74"/>
      <c r="H395" s="74"/>
      <c r="I395" s="74"/>
      <c r="J395" s="74"/>
      <c r="K395" s="74"/>
      <c r="L395" s="78">
        <f>SUM(L396:L398)-SUMIF(CE396:CE398, 1, L396:L398)</f>
        <v>4.5</v>
      </c>
    </row>
    <row r="396" spans="1:83" x14ac:dyDescent="0.2">
      <c r="A396" s="76"/>
      <c r="B396" s="74"/>
      <c r="C396" s="76" t="s">
        <v>892</v>
      </c>
      <c r="D396" s="73" t="s">
        <v>484</v>
      </c>
      <c r="E396" s="77"/>
      <c r="F396" s="74"/>
      <c r="G396" s="74">
        <f>Source!V99</f>
        <v>1.0399999999999999E-3</v>
      </c>
      <c r="H396" s="74"/>
      <c r="I396" s="74"/>
      <c r="J396" s="74"/>
      <c r="K396" s="74"/>
      <c r="L396" s="78">
        <f>SUMIF(CE397:CE398, 1, L397:L398)</f>
        <v>0.42</v>
      </c>
      <c r="CE396">
        <v>1</v>
      </c>
    </row>
    <row r="397" spans="1:83" ht="51" x14ac:dyDescent="0.2">
      <c r="A397" s="62"/>
      <c r="B397" s="62" t="s">
        <v>649</v>
      </c>
      <c r="C397" s="62" t="s">
        <v>651</v>
      </c>
      <c r="D397" s="73" t="s">
        <v>488</v>
      </c>
      <c r="E397" s="74">
        <v>0.01</v>
      </c>
      <c r="F397" s="74"/>
      <c r="G397" s="74">
        <f>SmtRes!CX105</f>
        <v>1.0399999999999999E-3</v>
      </c>
      <c r="H397" s="75">
        <f>SmtRes!CZ105</f>
        <v>2445.0500000000002</v>
      </c>
      <c r="I397" s="73">
        <f>SmtRes!AJ105</f>
        <v>1.77</v>
      </c>
      <c r="J397" s="75">
        <f>ROUND(H397*I397, 2)</f>
        <v>4327.74</v>
      </c>
      <c r="K397" s="73"/>
      <c r="L397" s="75">
        <f>SmtRes!DG105</f>
        <v>4.5</v>
      </c>
    </row>
    <row r="398" spans="1:83" x14ac:dyDescent="0.2">
      <c r="A398" s="62"/>
      <c r="B398" s="62" t="s">
        <v>514</v>
      </c>
      <c r="C398" s="62" t="s">
        <v>936</v>
      </c>
      <c r="D398" s="73" t="s">
        <v>484</v>
      </c>
      <c r="E398" s="74">
        <f>SmtRes!DO105*SmtRes!AT105</f>
        <v>0.01</v>
      </c>
      <c r="F398" s="74"/>
      <c r="G398" s="74">
        <f>ROUND(E398*G391, 7)</f>
        <v>1.0399999999999999E-3</v>
      </c>
      <c r="H398" s="75"/>
      <c r="I398" s="73"/>
      <c r="J398" s="75">
        <f>ROUND(SmtRes!AG105/SmtRes!DO105, 2)</f>
        <v>400.24</v>
      </c>
      <c r="K398" s="73"/>
      <c r="L398" s="75">
        <f>SmtRes!DH105</f>
        <v>0.42</v>
      </c>
      <c r="CE398">
        <v>1</v>
      </c>
    </row>
    <row r="399" spans="1:83" x14ac:dyDescent="0.2">
      <c r="A399" s="76"/>
      <c r="B399" s="74">
        <v>4</v>
      </c>
      <c r="C399" s="76" t="s">
        <v>937</v>
      </c>
      <c r="D399" s="73"/>
      <c r="E399" s="77"/>
      <c r="F399" s="74"/>
      <c r="G399" s="74"/>
      <c r="H399" s="74"/>
      <c r="I399" s="74"/>
      <c r="J399" s="74"/>
      <c r="K399" s="74"/>
      <c r="L399" s="78">
        <f>SUM(L400:L401)-SUMIF(CE400:CE401, 1, L400:L401)</f>
        <v>0.45</v>
      </c>
    </row>
    <row r="400" spans="1:83" x14ac:dyDescent="0.2">
      <c r="A400" s="62"/>
      <c r="B400" s="62" t="s">
        <v>627</v>
      </c>
      <c r="C400" s="62" t="s">
        <v>629</v>
      </c>
      <c r="D400" s="73" t="s">
        <v>48</v>
      </c>
      <c r="E400" s="74">
        <v>0.1</v>
      </c>
      <c r="F400" s="74"/>
      <c r="G400" s="74">
        <f>SmtRes!CX106</f>
        <v>1.04E-2</v>
      </c>
      <c r="H400" s="75">
        <f>SmtRes!CZ106</f>
        <v>35.71</v>
      </c>
      <c r="I400" s="73">
        <f>SmtRes!AI106</f>
        <v>0.88</v>
      </c>
      <c r="J400" s="75">
        <f>ROUND(H400*I400, 2)</f>
        <v>31.42</v>
      </c>
      <c r="K400" s="73"/>
      <c r="L400" s="75">
        <f>SmtRes!DF106</f>
        <v>0.33</v>
      </c>
    </row>
    <row r="401" spans="1:83" x14ac:dyDescent="0.2">
      <c r="A401" s="62"/>
      <c r="B401" s="62" t="s">
        <v>652</v>
      </c>
      <c r="C401" s="62" t="s">
        <v>654</v>
      </c>
      <c r="D401" s="73" t="s">
        <v>314</v>
      </c>
      <c r="E401" s="74">
        <v>0.01</v>
      </c>
      <c r="F401" s="74"/>
      <c r="G401" s="74">
        <f>SmtRes!CX107</f>
        <v>1.0399999999999999E-3</v>
      </c>
      <c r="H401" s="75"/>
      <c r="I401" s="73"/>
      <c r="J401" s="75">
        <f>SmtRes!CZ107</f>
        <v>114.25</v>
      </c>
      <c r="K401" s="73"/>
      <c r="L401" s="75">
        <f>SmtRes!DF107</f>
        <v>0.12</v>
      </c>
    </row>
    <row r="402" spans="1:83" x14ac:dyDescent="0.2">
      <c r="A402" s="62"/>
      <c r="B402" s="62" t="str">
        <f>EtalonRes!I119</f>
        <v>24.3.05.02</v>
      </c>
      <c r="C402" s="79" t="str">
        <f>EtalonRes!K119</f>
        <v>Заглушки полиэтиленовые</v>
      </c>
      <c r="D402" s="80" t="str">
        <f>EtalonRes!O119</f>
        <v>ШТ</v>
      </c>
      <c r="E402" s="81">
        <f>EtalonRes!X119</f>
        <v>0</v>
      </c>
      <c r="F402" s="81"/>
      <c r="G402" s="81">
        <f>ROUND(EtalonRes!AG119*Source!I99, 7)</f>
        <v>0</v>
      </c>
      <c r="H402" s="82"/>
      <c r="I402" s="80"/>
      <c r="J402" s="82"/>
      <c r="K402" s="80"/>
      <c r="L402" s="82"/>
    </row>
    <row r="403" spans="1:83" x14ac:dyDescent="0.2">
      <c r="A403" s="62"/>
      <c r="B403" s="62"/>
      <c r="C403" s="61" t="s">
        <v>394</v>
      </c>
      <c r="D403" s="73"/>
      <c r="E403" s="74"/>
      <c r="F403" s="74"/>
      <c r="G403" s="74"/>
      <c r="H403" s="75"/>
      <c r="I403" s="73"/>
      <c r="J403" s="75"/>
      <c r="K403" s="73"/>
      <c r="L403" s="75">
        <f>L392+L395+L396+L399</f>
        <v>1785.68</v>
      </c>
    </row>
    <row r="404" spans="1:83" x14ac:dyDescent="0.2">
      <c r="A404" s="62"/>
      <c r="B404" s="62"/>
      <c r="C404" s="62" t="s">
        <v>893</v>
      </c>
      <c r="D404" s="73"/>
      <c r="E404" s="74"/>
      <c r="F404" s="74"/>
      <c r="G404" s="74"/>
      <c r="H404" s="75"/>
      <c r="I404" s="73"/>
      <c r="J404" s="75"/>
      <c r="K404" s="73"/>
      <c r="L404" s="75">
        <f>SUM(AR391:AR407)+SUM(AS391:AS407)+SUM(AT391:AT407)+SUM(AU391:AU407)+SUM(AV391:AV407)</f>
        <v>1780.73</v>
      </c>
    </row>
    <row r="405" spans="1:83" ht="38.25" x14ac:dyDescent="0.2">
      <c r="A405" s="62"/>
      <c r="B405" s="62" t="s">
        <v>43</v>
      </c>
      <c r="C405" s="62" t="s">
        <v>904</v>
      </c>
      <c r="D405" s="73" t="s">
        <v>194</v>
      </c>
      <c r="E405" s="74">
        <f>Source!BZ99</f>
        <v>117</v>
      </c>
      <c r="F405" s="74"/>
      <c r="G405" s="74">
        <f>Source!AT99</f>
        <v>117</v>
      </c>
      <c r="H405" s="75"/>
      <c r="I405" s="73"/>
      <c r="J405" s="75"/>
      <c r="K405" s="73"/>
      <c r="L405" s="75">
        <f>SUM(AZ391:AZ407)</f>
        <v>2083.4499999999998</v>
      </c>
    </row>
    <row r="406" spans="1:83" ht="38.25" x14ac:dyDescent="0.2">
      <c r="A406" s="79"/>
      <c r="B406" s="79" t="s">
        <v>44</v>
      </c>
      <c r="C406" s="79" t="s">
        <v>905</v>
      </c>
      <c r="D406" s="80" t="s">
        <v>194</v>
      </c>
      <c r="E406" s="81">
        <f>Source!CA99</f>
        <v>74</v>
      </c>
      <c r="F406" s="81"/>
      <c r="G406" s="81">
        <f>Source!AU99</f>
        <v>74</v>
      </c>
      <c r="H406" s="82"/>
      <c r="I406" s="80"/>
      <c r="J406" s="82"/>
      <c r="K406" s="80"/>
      <c r="L406" s="82">
        <f>SUM(BA391:BA407)</f>
        <v>1317.74</v>
      </c>
    </row>
    <row r="407" spans="1:83" x14ac:dyDescent="0.2">
      <c r="A407" s="43"/>
      <c r="B407" s="43"/>
      <c r="C407" s="119" t="s">
        <v>896</v>
      </c>
      <c r="D407" s="119"/>
      <c r="E407" s="119"/>
      <c r="F407" s="119"/>
      <c r="G407" s="119"/>
      <c r="H407" s="119"/>
      <c r="I407" s="120">
        <f>IF(E391&lt;&gt;0,K407/E391, 0)</f>
        <v>49873.75</v>
      </c>
      <c r="J407" s="120"/>
      <c r="K407" s="120">
        <f>L392+L395+L399+L405+L406+L396</f>
        <v>5186.87</v>
      </c>
      <c r="L407" s="120"/>
      <c r="AD407">
        <f>ROUND((Source!AT99/100)*((ROUND(SUMIF(SmtRes!AQ102:'SmtRes'!AQ107,"=1",SmtRes!AD102:'SmtRes'!AD107)*Source!I99, 2)+ROUND(SUMIF(SmtRes!AQ102:'SmtRes'!AQ107,"=1",SmtRes!AC102:'SmtRes'!AC107)*Source!I99, 2))), 2)</f>
        <v>153.36000000000001</v>
      </c>
      <c r="AE407">
        <f>ROUND((Source!AU99/100)*((ROUND(SUMIF(SmtRes!AQ102:'SmtRes'!AQ107,"=1",SmtRes!AD102:'SmtRes'!AD107)*Source!I99, 2)+ROUND(SUMIF(SmtRes!AQ102:'SmtRes'!AQ107,"=1",SmtRes!AC102:'SmtRes'!AC107)*Source!I99, 2))), 2)</f>
        <v>97</v>
      </c>
      <c r="AN407" s="22">
        <f>L392+L395+L399+L405+L406+L396</f>
        <v>5186.87</v>
      </c>
      <c r="AO407" s="22">
        <f>L395</f>
        <v>4.5</v>
      </c>
      <c r="AQ407" t="s">
        <v>897</v>
      </c>
      <c r="AR407" s="22">
        <f>L392</f>
        <v>1780.31</v>
      </c>
      <c r="AT407" s="22">
        <f>L396</f>
        <v>0.42</v>
      </c>
      <c r="AV407" t="s">
        <v>897</v>
      </c>
      <c r="AW407" s="22">
        <f>L399</f>
        <v>0.45</v>
      </c>
      <c r="AZ407">
        <f>Source!X99</f>
        <v>2083.4499999999998</v>
      </c>
      <c r="BA407">
        <f>Source!Y99</f>
        <v>1317.74</v>
      </c>
      <c r="CD407">
        <v>1</v>
      </c>
    </row>
    <row r="408" spans="1:83" ht="51" x14ac:dyDescent="0.2">
      <c r="A408" s="72" t="s">
        <v>262</v>
      </c>
      <c r="B408" s="62" t="s">
        <v>962</v>
      </c>
      <c r="C408" s="62" t="str">
        <f>Source!G100</f>
        <v>Выдержка под давлением до 0,6 МПа при испытании на прочность и герметичность участка газопровода номинальным диаметром: 50-300 мм</v>
      </c>
      <c r="D408" s="73" t="str">
        <f>Source!H100</f>
        <v>участок</v>
      </c>
      <c r="E408" s="74">
        <f>Source!K100</f>
        <v>1</v>
      </c>
      <c r="F408" s="74"/>
      <c r="G408" s="74">
        <f>Source!I100</f>
        <v>1</v>
      </c>
      <c r="H408" s="75"/>
      <c r="I408" s="73"/>
      <c r="J408" s="75"/>
      <c r="K408" s="73"/>
      <c r="L408" s="75"/>
    </row>
    <row r="409" spans="1:83" x14ac:dyDescent="0.2">
      <c r="A409" s="76"/>
      <c r="B409" s="74">
        <v>1</v>
      </c>
      <c r="C409" s="76" t="s">
        <v>899</v>
      </c>
      <c r="D409" s="73" t="s">
        <v>484</v>
      </c>
      <c r="E409" s="77"/>
      <c r="F409" s="74"/>
      <c r="G409" s="74">
        <f>Source!U100</f>
        <v>14</v>
      </c>
      <c r="H409" s="74"/>
      <c r="I409" s="74"/>
      <c r="J409" s="74"/>
      <c r="K409" s="74"/>
      <c r="L409" s="78">
        <f>SUM(L410:L410)-SUMIF(CE410:CE410, 1, L410:L410)</f>
        <v>5603.36</v>
      </c>
    </row>
    <row r="410" spans="1:83" x14ac:dyDescent="0.2">
      <c r="A410" s="62"/>
      <c r="B410" s="62" t="s">
        <v>642</v>
      </c>
      <c r="C410" s="62" t="s">
        <v>643</v>
      </c>
      <c r="D410" s="73" t="s">
        <v>484</v>
      </c>
      <c r="E410" s="74">
        <v>14</v>
      </c>
      <c r="F410" s="74"/>
      <c r="G410" s="74">
        <f>SmtRes!CX108</f>
        <v>14</v>
      </c>
      <c r="H410" s="75"/>
      <c r="I410" s="73"/>
      <c r="J410" s="75">
        <f>SmtRes!CZ108</f>
        <v>400.24</v>
      </c>
      <c r="K410" s="73"/>
      <c r="L410" s="75">
        <f>SmtRes!DI108</f>
        <v>5603.36</v>
      </c>
    </row>
    <row r="411" spans="1:83" x14ac:dyDescent="0.2">
      <c r="A411" s="76"/>
      <c r="B411" s="74">
        <v>2</v>
      </c>
      <c r="C411" s="76" t="s">
        <v>890</v>
      </c>
      <c r="D411" s="73"/>
      <c r="E411" s="77"/>
      <c r="F411" s="74"/>
      <c r="G411" s="74"/>
      <c r="H411" s="74"/>
      <c r="I411" s="74"/>
      <c r="J411" s="74"/>
      <c r="K411" s="74"/>
      <c r="L411" s="78">
        <f>SUM(L412:L416)-SUMIF(CE412:CE416, 1, L412:L416)</f>
        <v>7388.02</v>
      </c>
    </row>
    <row r="412" spans="1:83" x14ac:dyDescent="0.2">
      <c r="A412" s="76"/>
      <c r="B412" s="74"/>
      <c r="C412" s="76" t="s">
        <v>892</v>
      </c>
      <c r="D412" s="73" t="s">
        <v>484</v>
      </c>
      <c r="E412" s="77"/>
      <c r="F412" s="74"/>
      <c r="G412" s="74">
        <f>Source!V100</f>
        <v>9.8000000000000007</v>
      </c>
      <c r="H412" s="74"/>
      <c r="I412" s="74"/>
      <c r="J412" s="74"/>
      <c r="K412" s="74"/>
      <c r="L412" s="78">
        <f>SUMIF(CE413:CE416, 1, L413:L416)</f>
        <v>4307.07</v>
      </c>
      <c r="CE412">
        <v>1</v>
      </c>
    </row>
    <row r="413" spans="1:83" ht="25.5" x14ac:dyDescent="0.2">
      <c r="A413" s="62"/>
      <c r="B413" s="62" t="s">
        <v>644</v>
      </c>
      <c r="C413" s="62" t="s">
        <v>646</v>
      </c>
      <c r="D413" s="73" t="s">
        <v>488</v>
      </c>
      <c r="E413" s="74">
        <v>2.8</v>
      </c>
      <c r="F413" s="74"/>
      <c r="G413" s="74">
        <f>SmtRes!CX110</f>
        <v>2.8</v>
      </c>
      <c r="H413" s="75">
        <f>SmtRes!CZ110</f>
        <v>1070.99</v>
      </c>
      <c r="I413" s="73">
        <f>SmtRes!AJ110</f>
        <v>1.49</v>
      </c>
      <c r="J413" s="75">
        <f>ROUND(H413*I413, 2)</f>
        <v>1595.78</v>
      </c>
      <c r="K413" s="73"/>
      <c r="L413" s="75">
        <f>SmtRes!DG110</f>
        <v>4468.18</v>
      </c>
    </row>
    <row r="414" spans="1:83" x14ac:dyDescent="0.2">
      <c r="A414" s="62"/>
      <c r="B414" s="62" t="s">
        <v>489</v>
      </c>
      <c r="C414" s="62" t="s">
        <v>891</v>
      </c>
      <c r="D414" s="73" t="s">
        <v>484</v>
      </c>
      <c r="E414" s="74">
        <f>SmtRes!DO110*SmtRes!AT110</f>
        <v>2.8</v>
      </c>
      <c r="F414" s="74"/>
      <c r="G414" s="74">
        <f>ROUND(E414*G408, 7)</f>
        <v>2.8</v>
      </c>
      <c r="H414" s="75"/>
      <c r="I414" s="73"/>
      <c r="J414" s="75">
        <f>ROUND(SmtRes!AG110/SmtRes!DO110, 2)</f>
        <v>537.64</v>
      </c>
      <c r="K414" s="73"/>
      <c r="L414" s="75">
        <f>SmtRes!DH110</f>
        <v>1505.39</v>
      </c>
      <c r="CE414">
        <v>1</v>
      </c>
    </row>
    <row r="415" spans="1:83" ht="51" x14ac:dyDescent="0.2">
      <c r="A415" s="62"/>
      <c r="B415" s="62" t="s">
        <v>511</v>
      </c>
      <c r="C415" s="62" t="s">
        <v>513</v>
      </c>
      <c r="D415" s="73" t="s">
        <v>488</v>
      </c>
      <c r="E415" s="74">
        <v>7</v>
      </c>
      <c r="F415" s="74"/>
      <c r="G415" s="74">
        <f>SmtRes!CX111</f>
        <v>7</v>
      </c>
      <c r="H415" s="75"/>
      <c r="I415" s="73"/>
      <c r="J415" s="75">
        <f>SmtRes!CZ111</f>
        <v>417.12</v>
      </c>
      <c r="K415" s="73"/>
      <c r="L415" s="75">
        <f>SmtRes!DG111</f>
        <v>2919.84</v>
      </c>
    </row>
    <row r="416" spans="1:83" x14ac:dyDescent="0.2">
      <c r="A416" s="62"/>
      <c r="B416" s="62" t="s">
        <v>514</v>
      </c>
      <c r="C416" s="79" t="s">
        <v>936</v>
      </c>
      <c r="D416" s="80" t="s">
        <v>484</v>
      </c>
      <c r="E416" s="81">
        <f>SmtRes!DO111*SmtRes!AT111</f>
        <v>7</v>
      </c>
      <c r="F416" s="81"/>
      <c r="G416" s="81">
        <f>ROUND(E416*G408, 7)</f>
        <v>7</v>
      </c>
      <c r="H416" s="82"/>
      <c r="I416" s="80"/>
      <c r="J416" s="82">
        <f>ROUND(SmtRes!AG111/SmtRes!DO111, 2)</f>
        <v>400.24</v>
      </c>
      <c r="K416" s="80"/>
      <c r="L416" s="82">
        <f>SmtRes!DH111</f>
        <v>2801.68</v>
      </c>
      <c r="CE416">
        <v>1</v>
      </c>
    </row>
    <row r="417" spans="1:82" x14ac:dyDescent="0.2">
      <c r="A417" s="62"/>
      <c r="B417" s="62"/>
      <c r="C417" s="61" t="s">
        <v>394</v>
      </c>
      <c r="D417" s="73"/>
      <c r="E417" s="74"/>
      <c r="F417" s="74"/>
      <c r="G417" s="74"/>
      <c r="H417" s="75"/>
      <c r="I417" s="73"/>
      <c r="J417" s="75"/>
      <c r="K417" s="73"/>
      <c r="L417" s="75">
        <f>L409+L411+L412</f>
        <v>17298.45</v>
      </c>
    </row>
    <row r="418" spans="1:82" x14ac:dyDescent="0.2">
      <c r="A418" s="62"/>
      <c r="B418" s="62"/>
      <c r="C418" s="62" t="s">
        <v>893</v>
      </c>
      <c r="D418" s="73"/>
      <c r="E418" s="74"/>
      <c r="F418" s="74"/>
      <c r="G418" s="74"/>
      <c r="H418" s="75"/>
      <c r="I418" s="73"/>
      <c r="J418" s="75"/>
      <c r="K418" s="73"/>
      <c r="L418" s="75">
        <f>SUM(AR408:AR421)+SUM(AS408:AS421)+SUM(AT408:AT421)+SUM(AU408:AU421)+SUM(AV408:AV421)</f>
        <v>9910.43</v>
      </c>
    </row>
    <row r="419" spans="1:82" ht="38.25" x14ac:dyDescent="0.2">
      <c r="A419" s="62"/>
      <c r="B419" s="62" t="s">
        <v>43</v>
      </c>
      <c r="C419" s="62" t="s">
        <v>904</v>
      </c>
      <c r="D419" s="73" t="s">
        <v>194</v>
      </c>
      <c r="E419" s="74">
        <f>Source!BZ100</f>
        <v>117</v>
      </c>
      <c r="F419" s="74"/>
      <c r="G419" s="74">
        <f>Source!AT100</f>
        <v>117</v>
      </c>
      <c r="H419" s="75"/>
      <c r="I419" s="73"/>
      <c r="J419" s="75"/>
      <c r="K419" s="73"/>
      <c r="L419" s="75">
        <f>SUM(AZ408:AZ421)</f>
        <v>11595.2</v>
      </c>
    </row>
    <row r="420" spans="1:82" ht="38.25" x14ac:dyDescent="0.2">
      <c r="A420" s="79"/>
      <c r="B420" s="79" t="s">
        <v>44</v>
      </c>
      <c r="C420" s="79" t="s">
        <v>905</v>
      </c>
      <c r="D420" s="80" t="s">
        <v>194</v>
      </c>
      <c r="E420" s="81">
        <f>Source!CA100</f>
        <v>74</v>
      </c>
      <c r="F420" s="81"/>
      <c r="G420" s="81">
        <f>Source!AU100</f>
        <v>74</v>
      </c>
      <c r="H420" s="82"/>
      <c r="I420" s="80"/>
      <c r="J420" s="82"/>
      <c r="K420" s="80"/>
      <c r="L420" s="82">
        <f>SUM(BA408:BA421)</f>
        <v>7333.72</v>
      </c>
    </row>
    <row r="421" spans="1:82" x14ac:dyDescent="0.2">
      <c r="A421" s="43"/>
      <c r="B421" s="43"/>
      <c r="C421" s="119" t="s">
        <v>896</v>
      </c>
      <c r="D421" s="119"/>
      <c r="E421" s="119"/>
      <c r="F421" s="119"/>
      <c r="G421" s="119"/>
      <c r="H421" s="119"/>
      <c r="I421" s="120">
        <f>IF(E408&lt;&gt;0,K421/E408, 0)</f>
        <v>36227.370000000003</v>
      </c>
      <c r="J421" s="120"/>
      <c r="K421" s="120">
        <f>L409+L411+L419+L420+L412</f>
        <v>36227.370000000003</v>
      </c>
      <c r="L421" s="120"/>
      <c r="AD421">
        <f>ROUND((Source!AT100/100)*((ROUND(SUMIF(SmtRes!AQ108:'SmtRes'!AQ111,"=1",SmtRes!AD108:'SmtRes'!AD111)*Source!I100, 2)+ROUND(SUMIF(SmtRes!AQ108:'SmtRes'!AQ111,"=1",SmtRes!AC108:'SmtRes'!AC111)*Source!I100, 2))), 2)</f>
        <v>1565.6</v>
      </c>
      <c r="AE421">
        <f>ROUND((Source!AU100/100)*((ROUND(SUMIF(SmtRes!AQ108:'SmtRes'!AQ111,"=1",SmtRes!AD108:'SmtRes'!AD111)*Source!I100, 2)+ROUND(SUMIF(SmtRes!AQ108:'SmtRes'!AQ111,"=1",SmtRes!AC108:'SmtRes'!AC111)*Source!I100, 2))), 2)</f>
        <v>990.21</v>
      </c>
      <c r="AN421" s="22">
        <f>L409+L411+L419+L420+L412</f>
        <v>36227.370000000003</v>
      </c>
      <c r="AO421" s="22">
        <f>L411</f>
        <v>7388.02</v>
      </c>
      <c r="AQ421" t="s">
        <v>897</v>
      </c>
      <c r="AR421" s="22">
        <f>L409</f>
        <v>5603.36</v>
      </c>
      <c r="AT421" s="22">
        <f>L412</f>
        <v>4307.07</v>
      </c>
      <c r="AV421" t="s">
        <v>897</v>
      </c>
      <c r="AW421">
        <f>0</f>
        <v>0</v>
      </c>
      <c r="AZ421">
        <f>Source!X100</f>
        <v>11595.2</v>
      </c>
      <c r="BA421">
        <f>Source!Y100</f>
        <v>7333.72</v>
      </c>
      <c r="CD421">
        <v>1</v>
      </c>
    </row>
    <row r="422" spans="1:82" x14ac:dyDescent="0.2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</row>
    <row r="423" spans="1:82" x14ac:dyDescent="0.2">
      <c r="A423" s="84"/>
      <c r="B423" s="61"/>
      <c r="C423" s="118" t="s">
        <v>908</v>
      </c>
      <c r="D423" s="118"/>
      <c r="E423" s="118"/>
      <c r="F423" s="118"/>
      <c r="G423" s="118"/>
      <c r="H423" s="118"/>
      <c r="I423" s="78"/>
      <c r="J423" s="84"/>
      <c r="K423" s="85"/>
      <c r="L423" s="78">
        <f>L425+L426+L432+L436</f>
        <v>85339.239999999976</v>
      </c>
    </row>
    <row r="424" spans="1:82" x14ac:dyDescent="0.2">
      <c r="A424" s="86"/>
      <c r="B424" s="62"/>
      <c r="C424" s="124" t="s">
        <v>909</v>
      </c>
      <c r="D424" s="124"/>
      <c r="E424" s="124"/>
      <c r="F424" s="124"/>
      <c r="G424" s="124"/>
      <c r="H424" s="124"/>
      <c r="I424" s="75"/>
      <c r="J424" s="86"/>
      <c r="K424" s="74"/>
      <c r="L424" s="75"/>
    </row>
    <row r="425" spans="1:82" x14ac:dyDescent="0.2">
      <c r="A425" s="86"/>
      <c r="B425" s="62"/>
      <c r="C425" s="124" t="s">
        <v>910</v>
      </c>
      <c r="D425" s="124"/>
      <c r="E425" s="124"/>
      <c r="F425" s="124"/>
      <c r="G425" s="124"/>
      <c r="H425" s="124"/>
      <c r="I425" s="75"/>
      <c r="J425" s="86"/>
      <c r="K425" s="74"/>
      <c r="L425" s="75">
        <f>SUM(AR132:AR421)</f>
        <v>18165.41</v>
      </c>
    </row>
    <row r="426" spans="1:82" hidden="1" x14ac:dyDescent="0.2">
      <c r="A426" s="86"/>
      <c r="B426" s="62"/>
      <c r="C426" s="124" t="s">
        <v>911</v>
      </c>
      <c r="D426" s="124"/>
      <c r="E426" s="124"/>
      <c r="F426" s="124"/>
      <c r="G426" s="124"/>
      <c r="H426" s="124"/>
      <c r="I426" s="75"/>
      <c r="J426" s="86"/>
      <c r="K426" s="74"/>
      <c r="L426" s="75">
        <f>L428+L431+L430</f>
        <v>15503.21</v>
      </c>
    </row>
    <row r="427" spans="1:82" hidden="1" x14ac:dyDescent="0.2">
      <c r="A427" s="86"/>
      <c r="B427" s="62"/>
      <c r="C427" s="124" t="s">
        <v>912</v>
      </c>
      <c r="D427" s="124"/>
      <c r="E427" s="124"/>
      <c r="F427" s="124"/>
      <c r="G427" s="124"/>
      <c r="H427" s="124"/>
      <c r="I427" s="75"/>
      <c r="J427" s="86"/>
      <c r="K427" s="74"/>
      <c r="L427" s="75"/>
    </row>
    <row r="428" spans="1:82" x14ac:dyDescent="0.2">
      <c r="A428" s="86"/>
      <c r="B428" s="62"/>
      <c r="C428" s="124" t="s">
        <v>911</v>
      </c>
      <c r="D428" s="124"/>
      <c r="E428" s="124"/>
      <c r="F428" s="124"/>
      <c r="G428" s="124"/>
      <c r="H428" s="124"/>
      <c r="I428" s="75"/>
      <c r="J428" s="86"/>
      <c r="K428" s="74"/>
      <c r="L428" s="75">
        <f>SUM(AO132:AO421)</f>
        <v>10296.779999999999</v>
      </c>
    </row>
    <row r="429" spans="1:82" hidden="1" x14ac:dyDescent="0.2">
      <c r="A429" s="86"/>
      <c r="B429" s="62"/>
      <c r="C429" s="124" t="s">
        <v>913</v>
      </c>
      <c r="D429" s="124"/>
      <c r="E429" s="124"/>
      <c r="F429" s="124"/>
      <c r="G429" s="124"/>
      <c r="H429" s="124"/>
      <c r="I429" s="75"/>
      <c r="J429" s="86"/>
      <c r="K429" s="74"/>
      <c r="L429" s="75"/>
    </row>
    <row r="430" spans="1:82" x14ac:dyDescent="0.2">
      <c r="A430" s="86"/>
      <c r="B430" s="62"/>
      <c r="C430" s="124" t="s">
        <v>933</v>
      </c>
      <c r="D430" s="124"/>
      <c r="E430" s="124"/>
      <c r="F430" s="124"/>
      <c r="G430" s="124"/>
      <c r="H430" s="124"/>
      <c r="I430" s="75"/>
      <c r="J430" s="86"/>
      <c r="K430" s="74"/>
      <c r="L430" s="75">
        <f>SUM(AT132:AT421)</f>
        <v>5206.4299999999994</v>
      </c>
    </row>
    <row r="431" spans="1:82" hidden="1" x14ac:dyDescent="0.2">
      <c r="A431" s="86"/>
      <c r="B431" s="62"/>
      <c r="C431" s="124" t="s">
        <v>914</v>
      </c>
      <c r="D431" s="124"/>
      <c r="E431" s="124"/>
      <c r="F431" s="124"/>
      <c r="G431" s="124"/>
      <c r="H431" s="124"/>
      <c r="I431" s="75"/>
      <c r="J431" s="86"/>
      <c r="K431" s="74"/>
      <c r="L431" s="75">
        <f>SUM(AV132:AV421)</f>
        <v>0</v>
      </c>
    </row>
    <row r="432" spans="1:82" x14ac:dyDescent="0.2">
      <c r="A432" s="86"/>
      <c r="B432" s="62"/>
      <c r="C432" s="124" t="s">
        <v>915</v>
      </c>
      <c r="D432" s="124"/>
      <c r="E432" s="124"/>
      <c r="F432" s="124"/>
      <c r="G432" s="124"/>
      <c r="H432" s="124"/>
      <c r="I432" s="75"/>
      <c r="J432" s="86"/>
      <c r="K432" s="74"/>
      <c r="L432" s="75">
        <f>L434+L435</f>
        <v>51670.619999999981</v>
      </c>
    </row>
    <row r="433" spans="1:12" x14ac:dyDescent="0.2">
      <c r="A433" s="86"/>
      <c r="B433" s="62"/>
      <c r="C433" s="124" t="s">
        <v>912</v>
      </c>
      <c r="D433" s="124"/>
      <c r="E433" s="124"/>
      <c r="F433" s="124"/>
      <c r="G433" s="124"/>
      <c r="H433" s="124"/>
      <c r="I433" s="75"/>
      <c r="J433" s="86"/>
      <c r="K433" s="74"/>
      <c r="L433" s="75"/>
    </row>
    <row r="434" spans="1:12" x14ac:dyDescent="0.2">
      <c r="A434" s="86"/>
      <c r="B434" s="62"/>
      <c r="C434" s="124" t="s">
        <v>916</v>
      </c>
      <c r="D434" s="124"/>
      <c r="E434" s="124"/>
      <c r="F434" s="124"/>
      <c r="G434" s="124"/>
      <c r="H434" s="124"/>
      <c r="I434" s="75"/>
      <c r="J434" s="86"/>
      <c r="K434" s="74"/>
      <c r="L434" s="75">
        <f>SUM(AW132:AW421)-SUM(BK132:BK421)</f>
        <v>51670.619999999981</v>
      </c>
    </row>
    <row r="435" spans="1:12" hidden="1" x14ac:dyDescent="0.2">
      <c r="A435" s="86"/>
      <c r="B435" s="62"/>
      <c r="C435" s="124" t="s">
        <v>917</v>
      </c>
      <c r="D435" s="124"/>
      <c r="E435" s="124"/>
      <c r="F435" s="124"/>
      <c r="G435" s="124"/>
      <c r="H435" s="124"/>
      <c r="I435" s="75"/>
      <c r="J435" s="86"/>
      <c r="K435" s="74"/>
      <c r="L435" s="75">
        <f>SUM(BC132:BC421)</f>
        <v>0</v>
      </c>
    </row>
    <row r="436" spans="1:12" hidden="1" x14ac:dyDescent="0.2">
      <c r="A436" s="86"/>
      <c r="B436" s="62"/>
      <c r="C436" s="124" t="s">
        <v>918</v>
      </c>
      <c r="D436" s="124"/>
      <c r="E436" s="124"/>
      <c r="F436" s="124"/>
      <c r="G436" s="124"/>
      <c r="H436" s="124"/>
      <c r="I436" s="75"/>
      <c r="J436" s="86"/>
      <c r="K436" s="74"/>
      <c r="L436" s="75">
        <f>SUM(BB132:BB421)</f>
        <v>0</v>
      </c>
    </row>
    <row r="437" spans="1:12" x14ac:dyDescent="0.2">
      <c r="A437" s="86"/>
      <c r="B437" s="62"/>
      <c r="C437" s="124" t="s">
        <v>919</v>
      </c>
      <c r="D437" s="124"/>
      <c r="E437" s="124"/>
      <c r="F437" s="124"/>
      <c r="G437" s="124"/>
      <c r="H437" s="124"/>
      <c r="I437" s="75"/>
      <c r="J437" s="86"/>
      <c r="K437" s="74"/>
      <c r="L437" s="75">
        <f>SUM(AR132:AR421)+SUM(AT132:AT421)+SUM(AV132:AV421)</f>
        <v>23371.84</v>
      </c>
    </row>
    <row r="438" spans="1:12" x14ac:dyDescent="0.2">
      <c r="A438" s="86"/>
      <c r="B438" s="62"/>
      <c r="C438" s="124" t="s">
        <v>920</v>
      </c>
      <c r="D438" s="124"/>
      <c r="E438" s="124"/>
      <c r="F438" s="124"/>
      <c r="G438" s="124"/>
      <c r="H438" s="124"/>
      <c r="I438" s="75"/>
      <c r="J438" s="86"/>
      <c r="K438" s="74"/>
      <c r="L438" s="75">
        <f>SUM(AZ132:AZ421)</f>
        <v>27170.620000000003</v>
      </c>
    </row>
    <row r="439" spans="1:12" x14ac:dyDescent="0.2">
      <c r="A439" s="86"/>
      <c r="B439" s="62"/>
      <c r="C439" s="124" t="s">
        <v>921</v>
      </c>
      <c r="D439" s="124"/>
      <c r="E439" s="124"/>
      <c r="F439" s="124"/>
      <c r="G439" s="124"/>
      <c r="H439" s="124"/>
      <c r="I439" s="75"/>
      <c r="J439" s="86"/>
      <c r="K439" s="74"/>
      <c r="L439" s="75">
        <f>SUM(BA132:BA421)</f>
        <v>16769.490000000002</v>
      </c>
    </row>
    <row r="440" spans="1:12" hidden="1" x14ac:dyDescent="0.2">
      <c r="A440" s="86"/>
      <c r="B440" s="62"/>
      <c r="C440" s="124" t="s">
        <v>922</v>
      </c>
      <c r="D440" s="124"/>
      <c r="E440" s="124"/>
      <c r="F440" s="124"/>
      <c r="G440" s="124"/>
      <c r="H440" s="124"/>
      <c r="I440" s="75"/>
      <c r="J440" s="86"/>
      <c r="K440" s="74"/>
      <c r="L440" s="75">
        <f>L442+L443</f>
        <v>0</v>
      </c>
    </row>
    <row r="441" spans="1:12" hidden="1" x14ac:dyDescent="0.2">
      <c r="A441" s="86"/>
      <c r="B441" s="62"/>
      <c r="C441" s="124" t="s">
        <v>909</v>
      </c>
      <c r="D441" s="124"/>
      <c r="E441" s="124"/>
      <c r="F441" s="124"/>
      <c r="G441" s="124"/>
      <c r="H441" s="124"/>
      <c r="I441" s="75"/>
      <c r="J441" s="86"/>
      <c r="K441" s="74"/>
      <c r="L441" s="75"/>
    </row>
    <row r="442" spans="1:12" hidden="1" x14ac:dyDescent="0.2">
      <c r="A442" s="86"/>
      <c r="B442" s="62"/>
      <c r="C442" s="124" t="s">
        <v>923</v>
      </c>
      <c r="D442" s="124"/>
      <c r="E442" s="124"/>
      <c r="F442" s="124"/>
      <c r="G442" s="124"/>
      <c r="H442" s="124"/>
      <c r="I442" s="75"/>
      <c r="J442" s="86"/>
      <c r="K442" s="74"/>
      <c r="L442" s="75">
        <f>SUM(BK132:BK421)</f>
        <v>0</v>
      </c>
    </row>
    <row r="443" spans="1:12" hidden="1" x14ac:dyDescent="0.2">
      <c r="A443" s="86"/>
      <c r="B443" s="62"/>
      <c r="C443" s="124" t="s">
        <v>924</v>
      </c>
      <c r="D443" s="124"/>
      <c r="E443" s="124"/>
      <c r="F443" s="124"/>
      <c r="G443" s="124"/>
      <c r="H443" s="124"/>
      <c r="I443" s="75"/>
      <c r="J443" s="86"/>
      <c r="K443" s="74"/>
      <c r="L443" s="75">
        <f>SUM(BD132:BD421)</f>
        <v>0</v>
      </c>
    </row>
    <row r="444" spans="1:12" hidden="1" x14ac:dyDescent="0.2">
      <c r="A444" s="86"/>
      <c r="B444" s="62"/>
      <c r="C444" s="124" t="s">
        <v>925</v>
      </c>
      <c r="D444" s="124"/>
      <c r="E444" s="124"/>
      <c r="F444" s="124"/>
      <c r="G444" s="124"/>
      <c r="H444" s="124"/>
      <c r="I444" s="75"/>
      <c r="J444" s="86"/>
      <c r="K444" s="74"/>
      <c r="L444" s="75"/>
    </row>
    <row r="445" spans="1:12" hidden="1" x14ac:dyDescent="0.2">
      <c r="A445" s="86"/>
      <c r="B445" s="62"/>
      <c r="C445" s="124" t="s">
        <v>925</v>
      </c>
      <c r="D445" s="124"/>
      <c r="E445" s="124"/>
      <c r="F445" s="124"/>
      <c r="G445" s="124"/>
      <c r="H445" s="124"/>
      <c r="I445" s="75"/>
      <c r="J445" s="86"/>
      <c r="K445" s="74"/>
      <c r="L445" s="75">
        <f>SUM(BQ132:BQ421)</f>
        <v>0</v>
      </c>
    </row>
    <row r="446" spans="1:12" hidden="1" x14ac:dyDescent="0.2">
      <c r="A446" s="86"/>
      <c r="B446" s="62"/>
      <c r="C446" s="124" t="s">
        <v>926</v>
      </c>
      <c r="D446" s="124"/>
      <c r="E446" s="124"/>
      <c r="F446" s="124"/>
      <c r="G446" s="124"/>
      <c r="H446" s="124"/>
      <c r="I446" s="75"/>
      <c r="J446" s="86"/>
      <c r="K446" s="74"/>
      <c r="L446" s="75">
        <f>SUM(BO132:BO421)</f>
        <v>0</v>
      </c>
    </row>
    <row r="447" spans="1:12" x14ac:dyDescent="0.2">
      <c r="A447" s="84"/>
      <c r="B447" s="61"/>
      <c r="C447" s="118" t="s">
        <v>927</v>
      </c>
      <c r="D447" s="118"/>
      <c r="E447" s="118"/>
      <c r="F447" s="118"/>
      <c r="G447" s="118"/>
      <c r="H447" s="118"/>
      <c r="I447" s="78"/>
      <c r="J447" s="84"/>
      <c r="K447" s="85"/>
      <c r="L447" s="78">
        <f>L423+L438+L439+L440+L445+L446</f>
        <v>129279.34999999999</v>
      </c>
    </row>
    <row r="448" spans="1:12" x14ac:dyDescent="0.2">
      <c r="A448" s="86"/>
      <c r="B448" s="62"/>
      <c r="C448" s="124" t="s">
        <v>928</v>
      </c>
      <c r="D448" s="124"/>
      <c r="E448" s="124"/>
      <c r="F448" s="124"/>
      <c r="G448" s="124"/>
      <c r="H448" s="124"/>
      <c r="I448" s="75"/>
      <c r="J448" s="86"/>
      <c r="K448" s="74"/>
      <c r="L448" s="75"/>
    </row>
    <row r="449" spans="1:83" hidden="1" x14ac:dyDescent="0.2">
      <c r="A449" s="86"/>
      <c r="B449" s="62"/>
      <c r="C449" s="124" t="s">
        <v>929</v>
      </c>
      <c r="D449" s="124"/>
      <c r="E449" s="124"/>
      <c r="F449" s="124"/>
      <c r="G449" s="124"/>
      <c r="H449" s="124"/>
      <c r="I449" s="75"/>
      <c r="J449" s="86"/>
      <c r="K449" s="74"/>
      <c r="L449" s="75">
        <f>SUM(AX132:AX421)</f>
        <v>0</v>
      </c>
    </row>
    <row r="450" spans="1:83" hidden="1" x14ac:dyDescent="0.2">
      <c r="A450" s="86"/>
      <c r="B450" s="62"/>
      <c r="C450" s="124" t="s">
        <v>930</v>
      </c>
      <c r="D450" s="124"/>
      <c r="E450" s="124"/>
      <c r="F450" s="124"/>
      <c r="G450" s="124"/>
      <c r="H450" s="124"/>
      <c r="I450" s="75"/>
      <c r="J450" s="86"/>
      <c r="K450" s="74"/>
      <c r="L450" s="75">
        <f>SUM(AY132:AY421)</f>
        <v>0</v>
      </c>
    </row>
    <row r="451" spans="1:83" x14ac:dyDescent="0.2">
      <c r="A451" s="86"/>
      <c r="B451" s="62"/>
      <c r="C451" s="124" t="s">
        <v>931</v>
      </c>
      <c r="D451" s="124"/>
      <c r="E451" s="124"/>
      <c r="F451" s="125"/>
      <c r="G451" s="77">
        <f>Source!F124</f>
        <v>44.6997</v>
      </c>
      <c r="H451" s="86"/>
      <c r="I451" s="86"/>
      <c r="J451" s="86"/>
      <c r="K451" s="86"/>
      <c r="L451" s="86"/>
    </row>
    <row r="452" spans="1:83" x14ac:dyDescent="0.2">
      <c r="A452" s="86"/>
      <c r="B452" s="62"/>
      <c r="C452" s="124" t="s">
        <v>932</v>
      </c>
      <c r="D452" s="124"/>
      <c r="E452" s="124"/>
      <c r="F452" s="125"/>
      <c r="G452" s="77">
        <f>Source!F125</f>
        <v>11.789585199999999</v>
      </c>
      <c r="H452" s="86"/>
      <c r="I452" s="86"/>
      <c r="J452" s="86"/>
      <c r="K452" s="86"/>
      <c r="L452" s="86"/>
    </row>
    <row r="453" spans="1:83" x14ac:dyDescent="0.2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</row>
    <row r="454" spans="1:83" x14ac:dyDescent="0.2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</row>
    <row r="455" spans="1:83" x14ac:dyDescent="0.2">
      <c r="A455" s="118" t="s">
        <v>963</v>
      </c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</row>
    <row r="456" spans="1:83" ht="25.5" x14ac:dyDescent="0.2">
      <c r="A456" s="72" t="s">
        <v>268</v>
      </c>
      <c r="B456" s="62" t="s">
        <v>935</v>
      </c>
      <c r="C456" s="62" t="str">
        <f>Source!G136</f>
        <v>Надземная прокладка стальных газопроводов, диаметр газопровода: 50 мм</v>
      </c>
      <c r="D456" s="73" t="str">
        <f>Source!H136</f>
        <v>100 м</v>
      </c>
      <c r="E456" s="74">
        <f>Source!K136</f>
        <v>2.2499999999999999E-2</v>
      </c>
      <c r="F456" s="74"/>
      <c r="G456" s="74">
        <f>Source!I136</f>
        <v>2.2499999999999999E-2</v>
      </c>
      <c r="H456" s="75"/>
      <c r="I456" s="73"/>
      <c r="J456" s="75"/>
      <c r="K456" s="73"/>
      <c r="L456" s="75"/>
    </row>
    <row r="457" spans="1:83" x14ac:dyDescent="0.2">
      <c r="A457" s="43"/>
      <c r="B457" s="43"/>
      <c r="C457" s="60" t="str">
        <f>"Объем: "&amp;Source!I136&amp;"=2,25/"&amp;"100"</f>
        <v>Объем: 0,0225=2,25/100</v>
      </c>
      <c r="D457" s="43"/>
      <c r="E457" s="43"/>
      <c r="F457" s="43"/>
      <c r="G457" s="43"/>
      <c r="H457" s="43"/>
      <c r="I457" s="43"/>
      <c r="J457" s="43"/>
      <c r="K457" s="43"/>
      <c r="L457" s="43"/>
    </row>
    <row r="458" spans="1:83" x14ac:dyDescent="0.2">
      <c r="A458" s="76"/>
      <c r="B458" s="74">
        <v>1</v>
      </c>
      <c r="C458" s="76" t="s">
        <v>899</v>
      </c>
      <c r="D458" s="73" t="s">
        <v>484</v>
      </c>
      <c r="E458" s="77"/>
      <c r="F458" s="74"/>
      <c r="G458" s="74">
        <f>Source!U136</f>
        <v>0.46147500000000002</v>
      </c>
      <c r="H458" s="74"/>
      <c r="I458" s="74"/>
      <c r="J458" s="74"/>
      <c r="K458" s="74"/>
      <c r="L458" s="78">
        <f>SUM(L459:L459)-SUMIF(CE459:CE459, 1, L459:L459)</f>
        <v>172.3</v>
      </c>
    </row>
    <row r="459" spans="1:83" x14ac:dyDescent="0.2">
      <c r="A459" s="62"/>
      <c r="B459" s="62" t="s">
        <v>503</v>
      </c>
      <c r="C459" s="62" t="s">
        <v>504</v>
      </c>
      <c r="D459" s="73" t="s">
        <v>484</v>
      </c>
      <c r="E459" s="74">
        <v>20.51</v>
      </c>
      <c r="F459" s="74"/>
      <c r="G459" s="74">
        <f>SmtRes!CX112</f>
        <v>0.46147500000000002</v>
      </c>
      <c r="H459" s="75"/>
      <c r="I459" s="73"/>
      <c r="J459" s="75">
        <f>SmtRes!CZ112</f>
        <v>373.36</v>
      </c>
      <c r="K459" s="73"/>
      <c r="L459" s="75">
        <f>SmtRes!DI112</f>
        <v>172.3</v>
      </c>
    </row>
    <row r="460" spans="1:83" x14ac:dyDescent="0.2">
      <c r="A460" s="76"/>
      <c r="B460" s="74">
        <v>2</v>
      </c>
      <c r="C460" s="76" t="s">
        <v>890</v>
      </c>
      <c r="D460" s="73"/>
      <c r="E460" s="77"/>
      <c r="F460" s="74"/>
      <c r="G460" s="74"/>
      <c r="H460" s="74"/>
      <c r="I460" s="74"/>
      <c r="J460" s="74"/>
      <c r="K460" s="74"/>
      <c r="L460" s="78">
        <f>SUM(L461:L467)-SUMIF(CE461:CE467, 1, L461:L467)</f>
        <v>308.90999999999991</v>
      </c>
    </row>
    <row r="461" spans="1:83" x14ac:dyDescent="0.2">
      <c r="A461" s="76"/>
      <c r="B461" s="74"/>
      <c r="C461" s="76" t="s">
        <v>892</v>
      </c>
      <c r="D461" s="73" t="s">
        <v>484</v>
      </c>
      <c r="E461" s="77"/>
      <c r="F461" s="74"/>
      <c r="G461" s="74">
        <f>Source!V136</f>
        <v>0.26910000000000001</v>
      </c>
      <c r="H461" s="74"/>
      <c r="I461" s="74"/>
      <c r="J461" s="74"/>
      <c r="K461" s="74"/>
      <c r="L461" s="78">
        <f>SUMIF(CE462:CE467, 1, L462:L467)</f>
        <v>123.08000000000001</v>
      </c>
      <c r="CE461">
        <v>1</v>
      </c>
    </row>
    <row r="462" spans="1:83" ht="25.5" x14ac:dyDescent="0.2">
      <c r="A462" s="62"/>
      <c r="B462" s="62" t="s">
        <v>505</v>
      </c>
      <c r="C462" s="62" t="s">
        <v>507</v>
      </c>
      <c r="D462" s="73" t="s">
        <v>488</v>
      </c>
      <c r="E462" s="74">
        <v>11.44</v>
      </c>
      <c r="F462" s="74"/>
      <c r="G462" s="74">
        <f>SmtRes!CX114</f>
        <v>0.25740000000000002</v>
      </c>
      <c r="H462" s="75">
        <f>SmtRes!CZ114</f>
        <v>994.01</v>
      </c>
      <c r="I462" s="73">
        <f>SmtRes!AJ114</f>
        <v>1.18</v>
      </c>
      <c r="J462" s="75">
        <f>ROUND(H462*I462, 2)</f>
        <v>1172.93</v>
      </c>
      <c r="K462" s="73"/>
      <c r="L462" s="75">
        <f>SmtRes!DG114</f>
        <v>301.91000000000003</v>
      </c>
    </row>
    <row r="463" spans="1:83" x14ac:dyDescent="0.2">
      <c r="A463" s="62"/>
      <c r="B463" s="62" t="s">
        <v>497</v>
      </c>
      <c r="C463" s="62" t="s">
        <v>903</v>
      </c>
      <c r="D463" s="73" t="s">
        <v>484</v>
      </c>
      <c r="E463" s="74">
        <f>SmtRes!DO114*SmtRes!AT114</f>
        <v>11.44</v>
      </c>
      <c r="F463" s="74"/>
      <c r="G463" s="74">
        <f>ROUND(E463*G456, 7)</f>
        <v>0.25740000000000002</v>
      </c>
      <c r="H463" s="75"/>
      <c r="I463" s="73"/>
      <c r="J463" s="75">
        <f>ROUND(SmtRes!AG114/SmtRes!DO114, 2)</f>
        <v>459.98</v>
      </c>
      <c r="K463" s="73"/>
      <c r="L463" s="75">
        <f>SmtRes!DH114</f>
        <v>118.4</v>
      </c>
      <c r="CE463">
        <v>1</v>
      </c>
    </row>
    <row r="464" spans="1:83" ht="25.5" x14ac:dyDescent="0.2">
      <c r="A464" s="62"/>
      <c r="B464" s="62" t="s">
        <v>508</v>
      </c>
      <c r="C464" s="62" t="s">
        <v>510</v>
      </c>
      <c r="D464" s="73" t="s">
        <v>488</v>
      </c>
      <c r="E464" s="74">
        <v>2.0699999999999998</v>
      </c>
      <c r="F464" s="74"/>
      <c r="G464" s="74">
        <f>SmtRes!CX115</f>
        <v>4.6574999999999998E-2</v>
      </c>
      <c r="H464" s="75"/>
      <c r="I464" s="73"/>
      <c r="J464" s="75">
        <f>SmtRes!CZ115</f>
        <v>43.87</v>
      </c>
      <c r="K464" s="73"/>
      <c r="L464" s="75">
        <f>SmtRes!DG115</f>
        <v>2.04</v>
      </c>
    </row>
    <row r="465" spans="1:83" ht="51" x14ac:dyDescent="0.2">
      <c r="A465" s="62"/>
      <c r="B465" s="62" t="s">
        <v>511</v>
      </c>
      <c r="C465" s="62" t="s">
        <v>513</v>
      </c>
      <c r="D465" s="73" t="s">
        <v>488</v>
      </c>
      <c r="E465" s="74">
        <v>0.52</v>
      </c>
      <c r="F465" s="74"/>
      <c r="G465" s="74">
        <f>SmtRes!CX116</f>
        <v>1.17E-2</v>
      </c>
      <c r="H465" s="75"/>
      <c r="I465" s="73"/>
      <c r="J465" s="75">
        <f>SmtRes!CZ116</f>
        <v>417.12</v>
      </c>
      <c r="K465" s="73"/>
      <c r="L465" s="75">
        <f>SmtRes!DG116</f>
        <v>4.88</v>
      </c>
    </row>
    <row r="466" spans="1:83" x14ac:dyDescent="0.2">
      <c r="A466" s="62"/>
      <c r="B466" s="62" t="s">
        <v>514</v>
      </c>
      <c r="C466" s="62" t="s">
        <v>936</v>
      </c>
      <c r="D466" s="73" t="s">
        <v>484</v>
      </c>
      <c r="E466" s="74">
        <f>SmtRes!DO116*SmtRes!AT116</f>
        <v>0.52</v>
      </c>
      <c r="F466" s="74"/>
      <c r="G466" s="74">
        <f>ROUND(E466*G456, 7)</f>
        <v>1.17E-2</v>
      </c>
      <c r="H466" s="75"/>
      <c r="I466" s="73"/>
      <c r="J466" s="75">
        <f>ROUND(SmtRes!AG116/SmtRes!DO116, 2)</f>
        <v>400.24</v>
      </c>
      <c r="K466" s="73"/>
      <c r="L466" s="75">
        <f>SmtRes!DH116</f>
        <v>4.68</v>
      </c>
      <c r="CE466">
        <v>1</v>
      </c>
    </row>
    <row r="467" spans="1:83" ht="38.25" x14ac:dyDescent="0.2">
      <c r="A467" s="62"/>
      <c r="B467" s="62" t="s">
        <v>515</v>
      </c>
      <c r="C467" s="62" t="s">
        <v>517</v>
      </c>
      <c r="D467" s="73" t="s">
        <v>488</v>
      </c>
      <c r="E467" s="74">
        <v>0.52</v>
      </c>
      <c r="F467" s="74"/>
      <c r="G467" s="74">
        <f>SmtRes!CX117</f>
        <v>1.17E-2</v>
      </c>
      <c r="H467" s="75">
        <f>SmtRes!CZ117</f>
        <v>4.5199999999999996</v>
      </c>
      <c r="I467" s="73">
        <f>SmtRes!AJ117</f>
        <v>1.48</v>
      </c>
      <c r="J467" s="75">
        <f>ROUND(H467*I467, 2)</f>
        <v>6.69</v>
      </c>
      <c r="K467" s="73"/>
      <c r="L467" s="75">
        <f>SmtRes!DG117</f>
        <v>0.08</v>
      </c>
    </row>
    <row r="468" spans="1:83" x14ac:dyDescent="0.2">
      <c r="A468" s="76"/>
      <c r="B468" s="74">
        <v>4</v>
      </c>
      <c r="C468" s="76" t="s">
        <v>937</v>
      </c>
      <c r="D468" s="73"/>
      <c r="E468" s="77"/>
      <c r="F468" s="74"/>
      <c r="G468" s="74"/>
      <c r="H468" s="74"/>
      <c r="I468" s="74"/>
      <c r="J468" s="74"/>
      <c r="K468" s="74"/>
      <c r="L468" s="78">
        <f>SUM(L469:L476)-SUMIF(CE469:CE476, 1, L469:L476)</f>
        <v>43.290000000000006</v>
      </c>
    </row>
    <row r="469" spans="1:83" x14ac:dyDescent="0.2">
      <c r="A469" s="62"/>
      <c r="B469" s="62" t="s">
        <v>518</v>
      </c>
      <c r="C469" s="62" t="s">
        <v>520</v>
      </c>
      <c r="D469" s="73" t="s">
        <v>521</v>
      </c>
      <c r="E469" s="74">
        <v>1.3859999999999999</v>
      </c>
      <c r="F469" s="74"/>
      <c r="G469" s="74">
        <f>SmtRes!CX118</f>
        <v>3.1185000000000001E-2</v>
      </c>
      <c r="H469" s="75"/>
      <c r="I469" s="73"/>
      <c r="J469" s="75">
        <f>SmtRes!CZ118</f>
        <v>9.5500000000000007</v>
      </c>
      <c r="K469" s="73"/>
      <c r="L469" s="75">
        <f>SmtRes!DF118</f>
        <v>0.3</v>
      </c>
    </row>
    <row r="470" spans="1:83" ht="38.25" x14ac:dyDescent="0.2">
      <c r="A470" s="62"/>
      <c r="B470" s="62" t="s">
        <v>522</v>
      </c>
      <c r="C470" s="62" t="s">
        <v>524</v>
      </c>
      <c r="D470" s="73" t="s">
        <v>314</v>
      </c>
      <c r="E470" s="74">
        <v>0.7</v>
      </c>
      <c r="F470" s="74"/>
      <c r="G470" s="74">
        <f>SmtRes!CX119</f>
        <v>1.575E-2</v>
      </c>
      <c r="H470" s="75"/>
      <c r="I470" s="73"/>
      <c r="J470" s="75">
        <f>SmtRes!CZ119</f>
        <v>131.85</v>
      </c>
      <c r="K470" s="73"/>
      <c r="L470" s="75">
        <f>SmtRes!DF119</f>
        <v>2.08</v>
      </c>
    </row>
    <row r="471" spans="1:83" ht="25.5" x14ac:dyDescent="0.2">
      <c r="A471" s="62"/>
      <c r="B471" s="62" t="s">
        <v>525</v>
      </c>
      <c r="C471" s="62" t="s">
        <v>527</v>
      </c>
      <c r="D471" s="73" t="s">
        <v>243</v>
      </c>
      <c r="E471" s="74">
        <v>4.0000000000000002E-4</v>
      </c>
      <c r="F471" s="74"/>
      <c r="G471" s="74">
        <f>SmtRes!CX120</f>
        <v>9.0000000000000002E-6</v>
      </c>
      <c r="H471" s="75">
        <f>SmtRes!CZ120</f>
        <v>108495.2</v>
      </c>
      <c r="I471" s="73">
        <f>SmtRes!AI120</f>
        <v>1.1299999999999999</v>
      </c>
      <c r="J471" s="75">
        <f t="shared" ref="J471:J476" si="1">ROUND(H471*I471, 2)</f>
        <v>122599.58</v>
      </c>
      <c r="K471" s="73"/>
      <c r="L471" s="75">
        <f>SmtRes!DF120</f>
        <v>1.1000000000000001</v>
      </c>
    </row>
    <row r="472" spans="1:83" x14ac:dyDescent="0.2">
      <c r="A472" s="62"/>
      <c r="B472" s="62" t="s">
        <v>528</v>
      </c>
      <c r="C472" s="62" t="s">
        <v>530</v>
      </c>
      <c r="D472" s="73" t="s">
        <v>314</v>
      </c>
      <c r="E472" s="74">
        <v>1</v>
      </c>
      <c r="F472" s="74"/>
      <c r="G472" s="74">
        <f>SmtRes!CX121</f>
        <v>2.2499999999999999E-2</v>
      </c>
      <c r="H472" s="75">
        <f>SmtRes!CZ121</f>
        <v>44.55</v>
      </c>
      <c r="I472" s="73">
        <f>SmtRes!AI121</f>
        <v>1.43</v>
      </c>
      <c r="J472" s="75">
        <f t="shared" si="1"/>
        <v>63.71</v>
      </c>
      <c r="K472" s="73"/>
      <c r="L472" s="75">
        <f>SmtRes!DF121</f>
        <v>1.43</v>
      </c>
    </row>
    <row r="473" spans="1:83" x14ac:dyDescent="0.2">
      <c r="A473" s="62"/>
      <c r="B473" s="62" t="s">
        <v>531</v>
      </c>
      <c r="C473" s="62" t="s">
        <v>533</v>
      </c>
      <c r="D473" s="73" t="s">
        <v>243</v>
      </c>
      <c r="E473" s="74">
        <v>1.4E-3</v>
      </c>
      <c r="F473" s="74"/>
      <c r="G473" s="74">
        <f>SmtRes!CX122</f>
        <v>3.15E-5</v>
      </c>
      <c r="H473" s="75">
        <f>SmtRes!CZ122</f>
        <v>74437.320000000007</v>
      </c>
      <c r="I473" s="73">
        <f>SmtRes!AI122</f>
        <v>1.41</v>
      </c>
      <c r="J473" s="75">
        <f t="shared" si="1"/>
        <v>104956.62</v>
      </c>
      <c r="K473" s="73"/>
      <c r="L473" s="75">
        <f>SmtRes!DF122</f>
        <v>3.31</v>
      </c>
    </row>
    <row r="474" spans="1:83" ht="25.5" x14ac:dyDescent="0.2">
      <c r="A474" s="62"/>
      <c r="B474" s="62" t="s">
        <v>534</v>
      </c>
      <c r="C474" s="62" t="s">
        <v>536</v>
      </c>
      <c r="D474" s="73" t="s">
        <v>243</v>
      </c>
      <c r="E474" s="74">
        <v>3.5999999999999999E-3</v>
      </c>
      <c r="F474" s="74"/>
      <c r="G474" s="74">
        <f>SmtRes!CX123</f>
        <v>8.1000000000000004E-5</v>
      </c>
      <c r="H474" s="75">
        <f>SmtRes!CZ123</f>
        <v>260763.78</v>
      </c>
      <c r="I474" s="73">
        <f>SmtRes!AI123</f>
        <v>1.33</v>
      </c>
      <c r="J474" s="75">
        <f t="shared" si="1"/>
        <v>346815.83</v>
      </c>
      <c r="K474" s="73"/>
      <c r="L474" s="75">
        <f>SmtRes!DF123</f>
        <v>28.09</v>
      </c>
    </row>
    <row r="475" spans="1:83" x14ac:dyDescent="0.2">
      <c r="A475" s="62"/>
      <c r="B475" s="62" t="s">
        <v>537</v>
      </c>
      <c r="C475" s="62" t="s">
        <v>539</v>
      </c>
      <c r="D475" s="73" t="s">
        <v>243</v>
      </c>
      <c r="E475" s="74">
        <v>2.2000000000000001E-4</v>
      </c>
      <c r="F475" s="74"/>
      <c r="G475" s="74">
        <f>SmtRes!CX124</f>
        <v>5.0000000000000004E-6</v>
      </c>
      <c r="H475" s="75">
        <f>SmtRes!CZ124</f>
        <v>75885.63</v>
      </c>
      <c r="I475" s="73">
        <f>SmtRes!AI124</f>
        <v>1.68</v>
      </c>
      <c r="J475" s="75">
        <f t="shared" si="1"/>
        <v>127487.86</v>
      </c>
      <c r="K475" s="73"/>
      <c r="L475" s="75">
        <f>SmtRes!DF124</f>
        <v>0.64</v>
      </c>
    </row>
    <row r="476" spans="1:83" x14ac:dyDescent="0.2">
      <c r="A476" s="62"/>
      <c r="B476" s="62" t="s">
        <v>540</v>
      </c>
      <c r="C476" s="62" t="s">
        <v>542</v>
      </c>
      <c r="D476" s="73" t="s">
        <v>243</v>
      </c>
      <c r="E476" s="74">
        <v>1.6999999999999999E-3</v>
      </c>
      <c r="F476" s="74"/>
      <c r="G476" s="74">
        <f>SmtRes!CX125</f>
        <v>3.8300000000000003E-5</v>
      </c>
      <c r="H476" s="75">
        <f>SmtRes!CZ125</f>
        <v>98526.45</v>
      </c>
      <c r="I476" s="73">
        <f>SmtRes!AI125</f>
        <v>1.68</v>
      </c>
      <c r="J476" s="75">
        <f t="shared" si="1"/>
        <v>165524.44</v>
      </c>
      <c r="K476" s="73"/>
      <c r="L476" s="75">
        <f>SmtRes!DF125</f>
        <v>6.34</v>
      </c>
    </row>
    <row r="477" spans="1:83" x14ac:dyDescent="0.2">
      <c r="A477" s="62"/>
      <c r="B477" s="62"/>
      <c r="C477" s="79"/>
      <c r="D477" s="80"/>
      <c r="E477" s="81"/>
      <c r="F477" s="81"/>
      <c r="G477" s="81"/>
      <c r="H477" s="82"/>
      <c r="I477" s="80"/>
      <c r="J477" s="82"/>
      <c r="K477" s="80"/>
      <c r="L477" s="82"/>
    </row>
    <row r="478" spans="1:83" x14ac:dyDescent="0.2">
      <c r="A478" s="62"/>
      <c r="B478" s="62"/>
      <c r="C478" s="61" t="s">
        <v>394</v>
      </c>
      <c r="D478" s="73"/>
      <c r="E478" s="74"/>
      <c r="F478" s="74"/>
      <c r="G478" s="74"/>
      <c r="H478" s="75"/>
      <c r="I478" s="73"/>
      <c r="J478" s="75"/>
      <c r="K478" s="73"/>
      <c r="L478" s="75">
        <f>L458+L460+L461+L468</f>
        <v>647.57999999999993</v>
      </c>
    </row>
    <row r="479" spans="1:83" x14ac:dyDescent="0.2">
      <c r="A479" s="62"/>
      <c r="B479" s="62"/>
      <c r="C479" s="62" t="s">
        <v>893</v>
      </c>
      <c r="D479" s="73"/>
      <c r="E479" s="74"/>
      <c r="F479" s="74"/>
      <c r="G479" s="74"/>
      <c r="H479" s="75"/>
      <c r="I479" s="73"/>
      <c r="J479" s="75"/>
      <c r="K479" s="73"/>
      <c r="L479" s="75">
        <f>SUM(AR456:AR482)+SUM(AS456:AS482)+SUM(AT456:AT482)+SUM(AU456:AU482)+SUM(AV456:AV482)</f>
        <v>295.38</v>
      </c>
    </row>
    <row r="480" spans="1:83" ht="38.25" x14ac:dyDescent="0.2">
      <c r="A480" s="62"/>
      <c r="B480" s="62" t="s">
        <v>43</v>
      </c>
      <c r="C480" s="62" t="s">
        <v>904</v>
      </c>
      <c r="D480" s="73" t="s">
        <v>194</v>
      </c>
      <c r="E480" s="74">
        <f>Source!BZ136</f>
        <v>117</v>
      </c>
      <c r="F480" s="74"/>
      <c r="G480" s="74">
        <f>Source!AT136</f>
        <v>117</v>
      </c>
      <c r="H480" s="75"/>
      <c r="I480" s="73"/>
      <c r="J480" s="75"/>
      <c r="K480" s="73"/>
      <c r="L480" s="75">
        <f>SUM(AZ456:AZ482)</f>
        <v>345.59</v>
      </c>
    </row>
    <row r="481" spans="1:83" ht="38.25" x14ac:dyDescent="0.2">
      <c r="A481" s="79"/>
      <c r="B481" s="79" t="s">
        <v>44</v>
      </c>
      <c r="C481" s="79" t="s">
        <v>905</v>
      </c>
      <c r="D481" s="80" t="s">
        <v>194</v>
      </c>
      <c r="E481" s="81">
        <f>Source!CA136</f>
        <v>74</v>
      </c>
      <c r="F481" s="81"/>
      <c r="G481" s="81">
        <f>Source!AU136</f>
        <v>74</v>
      </c>
      <c r="H481" s="82"/>
      <c r="I481" s="80"/>
      <c r="J481" s="82"/>
      <c r="K481" s="80"/>
      <c r="L481" s="82">
        <f>SUM(BA456:BA482)</f>
        <v>218.58</v>
      </c>
    </row>
    <row r="482" spans="1:83" x14ac:dyDescent="0.2">
      <c r="A482" s="43"/>
      <c r="B482" s="43"/>
      <c r="C482" s="119" t="s">
        <v>896</v>
      </c>
      <c r="D482" s="119"/>
      <c r="E482" s="119"/>
      <c r="F482" s="119"/>
      <c r="G482" s="119"/>
      <c r="H482" s="119"/>
      <c r="I482" s="120">
        <f>IF(E456&lt;&gt;0,K482/E456, 0)</f>
        <v>53855.555555555547</v>
      </c>
      <c r="J482" s="120"/>
      <c r="K482" s="120">
        <f>L458+L460+L468+L480+L481+L461</f>
        <v>1211.7499999999998</v>
      </c>
      <c r="L482" s="120"/>
      <c r="AD482">
        <f>ROUND((Source!AT136/100)*((ROUND(SUMIF(SmtRes!AQ112:'SmtRes'!AQ125,"=1",SmtRes!AD112:'SmtRes'!AD125)*Source!I136, 2)+ROUND(SUMIF(SmtRes!AQ112:'SmtRes'!AQ125,"=1",SmtRes!AC112:'SmtRes'!AC125)*Source!I136, 2))), 2)</f>
        <v>32.47</v>
      </c>
      <c r="AE482">
        <f>ROUND((Source!AU136/100)*((ROUND(SUMIF(SmtRes!AQ112:'SmtRes'!AQ125,"=1",SmtRes!AD112:'SmtRes'!AD125)*Source!I136, 2)+ROUND(SUMIF(SmtRes!AQ112:'SmtRes'!AQ125,"=1",SmtRes!AC112:'SmtRes'!AC125)*Source!I136, 2))), 2)</f>
        <v>20.54</v>
      </c>
      <c r="AN482" s="22">
        <f>L458+L460+L468+L480+L481+L461</f>
        <v>1211.7499999999998</v>
      </c>
      <c r="AO482" s="22">
        <f>L460</f>
        <v>308.90999999999991</v>
      </c>
      <c r="AQ482" t="s">
        <v>897</v>
      </c>
      <c r="AR482" s="22">
        <f>L458</f>
        <v>172.3</v>
      </c>
      <c r="AT482" s="22">
        <f>L461</f>
        <v>123.08000000000001</v>
      </c>
      <c r="AV482" t="s">
        <v>897</v>
      </c>
      <c r="AW482" s="22">
        <f>L468</f>
        <v>43.290000000000006</v>
      </c>
      <c r="AZ482">
        <f>Source!X136</f>
        <v>345.59</v>
      </c>
      <c r="BA482">
        <f>Source!Y136</f>
        <v>218.58</v>
      </c>
      <c r="CD482">
        <v>1</v>
      </c>
    </row>
    <row r="483" spans="1:83" ht="51" x14ac:dyDescent="0.2">
      <c r="A483" s="83" t="s">
        <v>269</v>
      </c>
      <c r="B483" s="79" t="str">
        <f>Source!F137</f>
        <v>23.3.06.01-0004</v>
      </c>
      <c r="C483" s="79" t="str">
        <f>Source!G137</f>
        <v>Трубы стальные сварные оцинкованные водогазопроводные с резьбой, легкие, номинальный диаметр 32 мм, толщина стенки 2,8 мм</v>
      </c>
      <c r="D483" s="80" t="str">
        <f>Source!H137</f>
        <v>м</v>
      </c>
      <c r="E483" s="81">
        <f>Source!K137</f>
        <v>2.25</v>
      </c>
      <c r="F483" s="81"/>
      <c r="G483" s="81">
        <f>Source!I137</f>
        <v>2.25</v>
      </c>
      <c r="H483" s="82">
        <f>Source!AL137</f>
        <v>243.58</v>
      </c>
      <c r="I483" s="80">
        <f>IF(Source!BC137&lt;&gt; 0, Source!BC137, 1)</f>
        <v>0.74</v>
      </c>
      <c r="J483" s="82">
        <f>ROUND(H483*I483, 2)</f>
        <v>180.25</v>
      </c>
      <c r="K483" s="80"/>
      <c r="L483" s="82">
        <f>Source!P137</f>
        <v>405.56</v>
      </c>
    </row>
    <row r="484" spans="1:83" x14ac:dyDescent="0.2">
      <c r="A484" s="43"/>
      <c r="B484" s="43"/>
      <c r="C484" s="119" t="s">
        <v>896</v>
      </c>
      <c r="D484" s="119"/>
      <c r="E484" s="119"/>
      <c r="F484" s="119"/>
      <c r="G484" s="119"/>
      <c r="H484" s="119"/>
      <c r="I484" s="120">
        <f>IF(E483&lt;&gt;0,K484/E483, 0)</f>
        <v>180.2488888888889</v>
      </c>
      <c r="J484" s="120"/>
      <c r="K484" s="120">
        <f>L483</f>
        <v>405.56</v>
      </c>
      <c r="L484" s="120"/>
      <c r="AD484">
        <f>ROUND((Source!AT137/100)*((ROUND(ROUND(Source!AO137,2)*Source!I137, 2)+ROUND(ROUND(Source!AN137,2)*Source!I137, 2))), 2)</f>
        <v>0</v>
      </c>
      <c r="AE484">
        <f>ROUND((Source!AU137/100)*((ROUND(ROUND(Source!AO137,2)*Source!I137, 2)+ROUND(ROUND(Source!AN137,2)*Source!I137, 2))), 2)</f>
        <v>0</v>
      </c>
      <c r="AN484" s="22">
        <f>L483</f>
        <v>405.56</v>
      </c>
      <c r="AO484">
        <f>0</f>
        <v>0</v>
      </c>
      <c r="AQ484" t="s">
        <v>897</v>
      </c>
      <c r="AR484">
        <f>0</f>
        <v>0</v>
      </c>
      <c r="AT484">
        <f>0</f>
        <v>0</v>
      </c>
      <c r="AV484" t="s">
        <v>897</v>
      </c>
      <c r="AW484" s="22">
        <f>L483</f>
        <v>405.56</v>
      </c>
      <c r="AZ484">
        <f>Source!X137</f>
        <v>0</v>
      </c>
      <c r="BA484">
        <f>Source!Y137</f>
        <v>0</v>
      </c>
      <c r="CD484">
        <v>1</v>
      </c>
    </row>
    <row r="485" spans="1:83" ht="25.5" x14ac:dyDescent="0.2">
      <c r="A485" s="72" t="s">
        <v>273</v>
      </c>
      <c r="B485" s="62" t="s">
        <v>964</v>
      </c>
      <c r="C485" s="62" t="str">
        <f>Source!G138</f>
        <v>Приварка фланцев к стальным трубопроводам диаметром:  до  50 мм</v>
      </c>
      <c r="D485" s="73" t="str">
        <f>Source!H138</f>
        <v>ШТ</v>
      </c>
      <c r="E485" s="74">
        <f>Source!K138</f>
        <v>3</v>
      </c>
      <c r="F485" s="74"/>
      <c r="G485" s="74">
        <f>Source!I138</f>
        <v>3</v>
      </c>
      <c r="H485" s="75"/>
      <c r="I485" s="73"/>
      <c r="J485" s="75"/>
      <c r="K485" s="73"/>
      <c r="L485" s="75"/>
    </row>
    <row r="486" spans="1:83" x14ac:dyDescent="0.2">
      <c r="A486" s="76"/>
      <c r="B486" s="74">
        <v>1</v>
      </c>
      <c r="C486" s="76" t="s">
        <v>899</v>
      </c>
      <c r="D486" s="73" t="s">
        <v>484</v>
      </c>
      <c r="E486" s="77"/>
      <c r="F486" s="74"/>
      <c r="G486" s="74">
        <f>Source!U138</f>
        <v>0.96</v>
      </c>
      <c r="H486" s="74"/>
      <c r="I486" s="74"/>
      <c r="J486" s="74"/>
      <c r="K486" s="74"/>
      <c r="L486" s="78">
        <f>SUM(L487:L487)-SUMIF(CE487:CE487, 1, L487:L487)</f>
        <v>441.58</v>
      </c>
    </row>
    <row r="487" spans="1:83" x14ac:dyDescent="0.2">
      <c r="A487" s="62"/>
      <c r="B487" s="62" t="s">
        <v>655</v>
      </c>
      <c r="C487" s="62" t="s">
        <v>656</v>
      </c>
      <c r="D487" s="73" t="s">
        <v>484</v>
      </c>
      <c r="E487" s="74">
        <v>0.32</v>
      </c>
      <c r="F487" s="74"/>
      <c r="G487" s="74">
        <f>SmtRes!CX126</f>
        <v>0.96</v>
      </c>
      <c r="H487" s="75"/>
      <c r="I487" s="73"/>
      <c r="J487" s="75">
        <f>SmtRes!CZ126</f>
        <v>459.98</v>
      </c>
      <c r="K487" s="73"/>
      <c r="L487" s="75">
        <f>SmtRes!DI126</f>
        <v>441.58</v>
      </c>
    </row>
    <row r="488" spans="1:83" x14ac:dyDescent="0.2">
      <c r="A488" s="76"/>
      <c r="B488" s="74">
        <v>2</v>
      </c>
      <c r="C488" s="76" t="s">
        <v>890</v>
      </c>
      <c r="D488" s="73"/>
      <c r="E488" s="77"/>
      <c r="F488" s="74"/>
      <c r="G488" s="74"/>
      <c r="H488" s="74"/>
      <c r="I488" s="74"/>
      <c r="J488" s="74"/>
      <c r="K488" s="74"/>
      <c r="L488" s="78">
        <f>SUM(L489:L491)-SUMIF(CE489:CE491, 1, L489:L491)</f>
        <v>808.22</v>
      </c>
    </row>
    <row r="489" spans="1:83" x14ac:dyDescent="0.2">
      <c r="A489" s="76"/>
      <c r="B489" s="74"/>
      <c r="C489" s="76" t="s">
        <v>892</v>
      </c>
      <c r="D489" s="73" t="s">
        <v>484</v>
      </c>
      <c r="E489" s="77"/>
      <c r="F489" s="74"/>
      <c r="G489" s="74">
        <f>Source!V138</f>
        <v>0.54</v>
      </c>
      <c r="H489" s="74"/>
      <c r="I489" s="74"/>
      <c r="J489" s="74"/>
      <c r="K489" s="74"/>
      <c r="L489" s="78">
        <f>SUMIF(CE490:CE491, 1, L490:L491)</f>
        <v>248.39</v>
      </c>
      <c r="CE489">
        <v>1</v>
      </c>
    </row>
    <row r="490" spans="1:83" ht="51" x14ac:dyDescent="0.2">
      <c r="A490" s="62"/>
      <c r="B490" s="62" t="s">
        <v>657</v>
      </c>
      <c r="C490" s="62" t="s">
        <v>659</v>
      </c>
      <c r="D490" s="73" t="s">
        <v>488</v>
      </c>
      <c r="E490" s="74">
        <v>0.18</v>
      </c>
      <c r="F490" s="74"/>
      <c r="G490" s="74">
        <f>SmtRes!CX128</f>
        <v>0.54</v>
      </c>
      <c r="H490" s="75">
        <f>SmtRes!CZ128</f>
        <v>1069.08</v>
      </c>
      <c r="I490" s="73">
        <f>SmtRes!AJ128</f>
        <v>1.4</v>
      </c>
      <c r="J490" s="75">
        <f>ROUND(H490*I490, 2)</f>
        <v>1496.71</v>
      </c>
      <c r="K490" s="73"/>
      <c r="L490" s="75">
        <f>SmtRes!DG128</f>
        <v>808.22</v>
      </c>
    </row>
    <row r="491" spans="1:83" x14ac:dyDescent="0.2">
      <c r="A491" s="62"/>
      <c r="B491" s="62" t="s">
        <v>497</v>
      </c>
      <c r="C491" s="62" t="s">
        <v>903</v>
      </c>
      <c r="D491" s="73" t="s">
        <v>484</v>
      </c>
      <c r="E491" s="74">
        <f>SmtRes!DO128*SmtRes!AT128</f>
        <v>0.18</v>
      </c>
      <c r="F491" s="74"/>
      <c r="G491" s="74">
        <f>ROUND(E491*G485, 7)</f>
        <v>0.54</v>
      </c>
      <c r="H491" s="75"/>
      <c r="I491" s="73"/>
      <c r="J491" s="75">
        <f>ROUND(SmtRes!AG128/SmtRes!DO128, 2)</f>
        <v>459.98</v>
      </c>
      <c r="K491" s="73"/>
      <c r="L491" s="75">
        <f>SmtRes!DH128</f>
        <v>248.39</v>
      </c>
      <c r="CE491">
        <v>1</v>
      </c>
    </row>
    <row r="492" spans="1:83" x14ac:dyDescent="0.2">
      <c r="A492" s="76"/>
      <c r="B492" s="74">
        <v>4</v>
      </c>
      <c r="C492" s="76" t="s">
        <v>937</v>
      </c>
      <c r="D492" s="73"/>
      <c r="E492" s="77"/>
      <c r="F492" s="74"/>
      <c r="G492" s="74"/>
      <c r="H492" s="74"/>
      <c r="I492" s="74"/>
      <c r="J492" s="74"/>
      <c r="K492" s="74"/>
      <c r="L492" s="78">
        <f>SUM(L493:L493)-SUMIF(CE493:CE493, 1, L493:L493)</f>
        <v>39.56</v>
      </c>
    </row>
    <row r="493" spans="1:83" ht="38.25" x14ac:dyDescent="0.2">
      <c r="A493" s="62"/>
      <c r="B493" s="62" t="s">
        <v>522</v>
      </c>
      <c r="C493" s="62" t="s">
        <v>524</v>
      </c>
      <c r="D493" s="73" t="s">
        <v>314</v>
      </c>
      <c r="E493" s="74">
        <v>0.1</v>
      </c>
      <c r="F493" s="74"/>
      <c r="G493" s="74">
        <f>SmtRes!CX129</f>
        <v>0.3</v>
      </c>
      <c r="H493" s="75"/>
      <c r="I493" s="73"/>
      <c r="J493" s="75">
        <f>SmtRes!CZ129</f>
        <v>131.85</v>
      </c>
      <c r="K493" s="73"/>
      <c r="L493" s="75">
        <f>SmtRes!DF129</f>
        <v>39.56</v>
      </c>
    </row>
    <row r="494" spans="1:83" x14ac:dyDescent="0.2">
      <c r="A494" s="62"/>
      <c r="B494" s="62" t="str">
        <f>EtalonRes!I143</f>
        <v>23.8.03.11</v>
      </c>
      <c r="C494" s="79" t="str">
        <f>EtalonRes!K143</f>
        <v>Фланцы стальные плоские</v>
      </c>
      <c r="D494" s="80" t="str">
        <f>EtalonRes!O143</f>
        <v>ШТ</v>
      </c>
      <c r="E494" s="81">
        <f>EtalonRes!X143</f>
        <v>1</v>
      </c>
      <c r="F494" s="81"/>
      <c r="G494" s="81">
        <f>ROUND(EtalonRes!AG143*Source!I138, 7)</f>
        <v>3</v>
      </c>
      <c r="H494" s="82"/>
      <c r="I494" s="80"/>
      <c r="J494" s="82"/>
      <c r="K494" s="80"/>
      <c r="L494" s="82"/>
    </row>
    <row r="495" spans="1:83" x14ac:dyDescent="0.2">
      <c r="A495" s="62"/>
      <c r="B495" s="62"/>
      <c r="C495" s="61" t="s">
        <v>394</v>
      </c>
      <c r="D495" s="73"/>
      <c r="E495" s="74"/>
      <c r="F495" s="74"/>
      <c r="G495" s="74"/>
      <c r="H495" s="75"/>
      <c r="I495" s="73"/>
      <c r="J495" s="75"/>
      <c r="K495" s="73"/>
      <c r="L495" s="75">
        <f>L486+L488+L489+L492</f>
        <v>1537.75</v>
      </c>
    </row>
    <row r="496" spans="1:83" ht="38.25" x14ac:dyDescent="0.2">
      <c r="A496" s="72" t="s">
        <v>965</v>
      </c>
      <c r="B496" s="62" t="str">
        <f>Source!F139</f>
        <v>23.8.03.11-0004</v>
      </c>
      <c r="C496" s="62" t="str">
        <f>Source!G139</f>
        <v>Фланец приварной встык, марка стали 20, номинальное давление 1,6 МПа, номинальный диаметр 32 мм</v>
      </c>
      <c r="D496" s="73" t="str">
        <f>Source!H139</f>
        <v>ШТ</v>
      </c>
      <c r="E496" s="74">
        <f>SmtRes!AT130</f>
        <v>1</v>
      </c>
      <c r="F496" s="74"/>
      <c r="G496" s="74">
        <f>Source!I139</f>
        <v>3</v>
      </c>
      <c r="H496" s="75">
        <f>Source!AL139+Source!AO139+Source!AM139+Source!AN139</f>
        <v>355.48</v>
      </c>
      <c r="I496" s="73">
        <f>IF(Source!BC139&lt;&gt; 0, Source!BC139, 1)</f>
        <v>1.07</v>
      </c>
      <c r="J496" s="75">
        <f>ROUND(H496*I496, 2)</f>
        <v>380.36</v>
      </c>
      <c r="K496" s="73"/>
      <c r="L496" s="75">
        <f>Source!P139</f>
        <v>1141.08</v>
      </c>
      <c r="AD496">
        <f>ROUND((Source!AT139/100)*((ROUND(ROUND(Source!AO139,2)*Source!I139, 2)+ROUND(ROUND(Source!AN139,2)*Source!I139, 2))), 2)</f>
        <v>0</v>
      </c>
      <c r="AE496">
        <f>ROUND((Source!AU139/100)*((ROUND(ROUND(Source!AO139,2)*Source!I139, 2)+ROUND(ROUND(Source!AN139,2)*Source!I139, 2))), 2)</f>
        <v>0</v>
      </c>
      <c r="AN496">
        <f>L496</f>
        <v>1141.08</v>
      </c>
      <c r="AW496">
        <f>L496</f>
        <v>1141.08</v>
      </c>
      <c r="AZ496">
        <f>Source!X139</f>
        <v>0</v>
      </c>
      <c r="BA496">
        <f>Source!Y139</f>
        <v>0</v>
      </c>
      <c r="CD496">
        <v>1</v>
      </c>
    </row>
    <row r="497" spans="1:83" x14ac:dyDescent="0.2">
      <c r="A497" s="62"/>
      <c r="B497" s="62"/>
      <c r="C497" s="62" t="s">
        <v>893</v>
      </c>
      <c r="D497" s="73"/>
      <c r="E497" s="74"/>
      <c r="F497" s="74"/>
      <c r="G497" s="74"/>
      <c r="H497" s="75"/>
      <c r="I497" s="73"/>
      <c r="J497" s="75"/>
      <c r="K497" s="73"/>
      <c r="L497" s="75">
        <f>SUM(AR485:AR500)+SUM(AS485:AS500)+SUM(AT485:AT500)+SUM(AU485:AU500)+SUM(AV485:AV500)</f>
        <v>689.97</v>
      </c>
    </row>
    <row r="498" spans="1:83" ht="38.25" x14ac:dyDescent="0.2">
      <c r="A498" s="62"/>
      <c r="B498" s="62" t="s">
        <v>43</v>
      </c>
      <c r="C498" s="62" t="s">
        <v>904</v>
      </c>
      <c r="D498" s="73" t="s">
        <v>194</v>
      </c>
      <c r="E498" s="74">
        <f>Source!BZ138</f>
        <v>117</v>
      </c>
      <c r="F498" s="74"/>
      <c r="G498" s="74">
        <f>Source!AT138</f>
        <v>117</v>
      </c>
      <c r="H498" s="75"/>
      <c r="I498" s="73"/>
      <c r="J498" s="75"/>
      <c r="K498" s="73"/>
      <c r="L498" s="75">
        <f>SUM(AZ485:AZ500)</f>
        <v>807.26</v>
      </c>
    </row>
    <row r="499" spans="1:83" ht="38.25" x14ac:dyDescent="0.2">
      <c r="A499" s="79"/>
      <c r="B499" s="79" t="s">
        <v>44</v>
      </c>
      <c r="C499" s="79" t="s">
        <v>905</v>
      </c>
      <c r="D499" s="80" t="s">
        <v>194</v>
      </c>
      <c r="E499" s="81">
        <f>Source!CA138</f>
        <v>74</v>
      </c>
      <c r="F499" s="81"/>
      <c r="G499" s="81">
        <f>Source!AU138</f>
        <v>74</v>
      </c>
      <c r="H499" s="82"/>
      <c r="I499" s="80"/>
      <c r="J499" s="82"/>
      <c r="K499" s="80"/>
      <c r="L499" s="82">
        <f>SUM(BA485:BA500)</f>
        <v>510.58</v>
      </c>
    </row>
    <row r="500" spans="1:83" x14ac:dyDescent="0.2">
      <c r="A500" s="43"/>
      <c r="B500" s="43"/>
      <c r="C500" s="119" t="s">
        <v>896</v>
      </c>
      <c r="D500" s="119"/>
      <c r="E500" s="119"/>
      <c r="F500" s="119"/>
      <c r="G500" s="119"/>
      <c r="H500" s="119"/>
      <c r="I500" s="120">
        <f>IF(E485&lt;&gt;0,K500/E485, 0)</f>
        <v>1332.2233333333331</v>
      </c>
      <c r="J500" s="120"/>
      <c r="K500" s="120">
        <f>L486+L488+L492+L498+L499+L489+SUM(L496:L496)</f>
        <v>3996.6699999999996</v>
      </c>
      <c r="L500" s="120"/>
      <c r="AD500">
        <f>ROUND((Source!AT138/100)*((ROUND(SUMIF(SmtRes!AQ126:'SmtRes'!AQ130,"=1",SmtRes!AD126:'SmtRes'!AD130)*Source!I138, 2)+ROUND(SUMIF(SmtRes!AQ126:'SmtRes'!AQ130,"=1",SmtRes!AC126:'SmtRes'!AC130)*Source!I138, 2))), 2)</f>
        <v>3229.06</v>
      </c>
      <c r="AE500">
        <f>ROUND((Source!AU138/100)*((ROUND(SUMIF(SmtRes!AQ126:'SmtRes'!AQ130,"=1",SmtRes!AD126:'SmtRes'!AD130)*Source!I138, 2)+ROUND(SUMIF(SmtRes!AQ126:'SmtRes'!AQ130,"=1",SmtRes!AC126:'SmtRes'!AC130)*Source!I138, 2))), 2)</f>
        <v>2042.31</v>
      </c>
      <c r="AN500" s="22">
        <f>L486+L488+L492+L498+L499+L489</f>
        <v>2855.5899999999997</v>
      </c>
      <c r="AO500" s="22">
        <f>L488</f>
        <v>808.22</v>
      </c>
      <c r="AQ500" t="s">
        <v>897</v>
      </c>
      <c r="AR500" s="22">
        <f>L486</f>
        <v>441.58</v>
      </c>
      <c r="AT500" s="22">
        <f>L489</f>
        <v>248.39</v>
      </c>
      <c r="AV500" t="s">
        <v>897</v>
      </c>
      <c r="AW500" s="22">
        <f>L492</f>
        <v>39.56</v>
      </c>
      <c r="AZ500">
        <f>Source!X138</f>
        <v>807.26</v>
      </c>
      <c r="BA500">
        <f>Source!Y138</f>
        <v>510.58</v>
      </c>
      <c r="CD500">
        <v>1</v>
      </c>
    </row>
    <row r="501" spans="1:83" ht="25.5" x14ac:dyDescent="0.2">
      <c r="A501" s="72" t="s">
        <v>282</v>
      </c>
      <c r="B501" s="62" t="s">
        <v>966</v>
      </c>
      <c r="C501" s="62" t="str">
        <f>Source!G140</f>
        <v>Укладка  стальных газопроводов диаметром: 50 мм</v>
      </c>
      <c r="D501" s="73" t="str">
        <f>Source!H140</f>
        <v>100 м</v>
      </c>
      <c r="E501" s="74">
        <f>Source!K140</f>
        <v>1.8E-3</v>
      </c>
      <c r="F501" s="74"/>
      <c r="G501" s="74">
        <f>Source!I140</f>
        <v>1.8E-3</v>
      </c>
      <c r="H501" s="75"/>
      <c r="I501" s="73"/>
      <c r="J501" s="75"/>
      <c r="K501" s="73"/>
      <c r="L501" s="75"/>
    </row>
    <row r="502" spans="1:83" x14ac:dyDescent="0.2">
      <c r="A502" s="43"/>
      <c r="B502" s="43"/>
      <c r="C502" s="60" t="str">
        <f>"Объем: "&amp;Source!I140&amp;"=0,18/"&amp;"100"</f>
        <v>Объем: 0,0018=0,18/100</v>
      </c>
      <c r="D502" s="43"/>
      <c r="E502" s="43"/>
      <c r="F502" s="43"/>
      <c r="G502" s="43"/>
      <c r="H502" s="43"/>
      <c r="I502" s="43"/>
      <c r="J502" s="43"/>
      <c r="K502" s="43"/>
      <c r="L502" s="43"/>
    </row>
    <row r="503" spans="1:83" x14ac:dyDescent="0.2">
      <c r="A503" s="76"/>
      <c r="B503" s="74">
        <v>1</v>
      </c>
      <c r="C503" s="76" t="s">
        <v>899</v>
      </c>
      <c r="D503" s="73" t="s">
        <v>484</v>
      </c>
      <c r="E503" s="77"/>
      <c r="F503" s="74"/>
      <c r="G503" s="74">
        <f>Source!U140</f>
        <v>3.6179999999999997E-2</v>
      </c>
      <c r="H503" s="74"/>
      <c r="I503" s="74"/>
      <c r="J503" s="74"/>
      <c r="K503" s="74"/>
      <c r="L503" s="78">
        <f>SUM(L504:L504)-SUMIF(CE504:CE504, 1, L504:L504)</f>
        <v>13.51</v>
      </c>
    </row>
    <row r="504" spans="1:83" x14ac:dyDescent="0.2">
      <c r="A504" s="62"/>
      <c r="B504" s="62" t="s">
        <v>503</v>
      </c>
      <c r="C504" s="62" t="s">
        <v>504</v>
      </c>
      <c r="D504" s="73" t="s">
        <v>484</v>
      </c>
      <c r="E504" s="74">
        <v>20.100000000000001</v>
      </c>
      <c r="F504" s="74"/>
      <c r="G504" s="74">
        <f>SmtRes!CX131</f>
        <v>3.6179999999999997E-2</v>
      </c>
      <c r="H504" s="75"/>
      <c r="I504" s="73"/>
      <c r="J504" s="75">
        <f>SmtRes!CZ131</f>
        <v>373.36</v>
      </c>
      <c r="K504" s="73"/>
      <c r="L504" s="75">
        <f>SmtRes!DI131</f>
        <v>13.51</v>
      </c>
    </row>
    <row r="505" spans="1:83" x14ac:dyDescent="0.2">
      <c r="A505" s="76"/>
      <c r="B505" s="74">
        <v>2</v>
      </c>
      <c r="C505" s="76" t="s">
        <v>890</v>
      </c>
      <c r="D505" s="73"/>
      <c r="E505" s="77"/>
      <c r="F505" s="74"/>
      <c r="G505" s="74"/>
      <c r="H505" s="74"/>
      <c r="I505" s="74"/>
      <c r="J505" s="74"/>
      <c r="K505" s="74"/>
      <c r="L505" s="78">
        <f>SUM(L506:L509)-SUMIF(CE506:CE509, 1, L506:L509)</f>
        <v>20.839999999999996</v>
      </c>
    </row>
    <row r="506" spans="1:83" x14ac:dyDescent="0.2">
      <c r="A506" s="76"/>
      <c r="B506" s="74"/>
      <c r="C506" s="76" t="s">
        <v>892</v>
      </c>
      <c r="D506" s="73" t="s">
        <v>484</v>
      </c>
      <c r="E506" s="77"/>
      <c r="F506" s="74"/>
      <c r="G506" s="74">
        <f>Source!V140</f>
        <v>1.125E-2</v>
      </c>
      <c r="H506" s="74"/>
      <c r="I506" s="74"/>
      <c r="J506" s="74"/>
      <c r="K506" s="74"/>
      <c r="L506" s="78">
        <f>SUMIF(CE507:CE509, 1, L507:L509)</f>
        <v>6.05</v>
      </c>
      <c r="CE506">
        <v>1</v>
      </c>
    </row>
    <row r="507" spans="1:83" ht="25.5" x14ac:dyDescent="0.2">
      <c r="A507" s="62"/>
      <c r="B507" s="62" t="s">
        <v>636</v>
      </c>
      <c r="C507" s="62" t="s">
        <v>638</v>
      </c>
      <c r="D507" s="73" t="s">
        <v>488</v>
      </c>
      <c r="E507" s="74">
        <v>6.25</v>
      </c>
      <c r="F507" s="74"/>
      <c r="G507" s="74">
        <f>SmtRes!CX133</f>
        <v>1.125E-2</v>
      </c>
      <c r="H507" s="75"/>
      <c r="I507" s="73"/>
      <c r="J507" s="75">
        <f>SmtRes!CZ133</f>
        <v>1836.16</v>
      </c>
      <c r="K507" s="73"/>
      <c r="L507" s="75">
        <f>SmtRes!DG133</f>
        <v>20.66</v>
      </c>
    </row>
    <row r="508" spans="1:83" x14ac:dyDescent="0.2">
      <c r="A508" s="62"/>
      <c r="B508" s="62" t="s">
        <v>489</v>
      </c>
      <c r="C508" s="62" t="s">
        <v>891</v>
      </c>
      <c r="D508" s="73" t="s">
        <v>484</v>
      </c>
      <c r="E508" s="74">
        <f>SmtRes!DO133*SmtRes!AT133</f>
        <v>6.25</v>
      </c>
      <c r="F508" s="74"/>
      <c r="G508" s="74">
        <f>ROUND(E508*G501, 7)</f>
        <v>1.125E-2</v>
      </c>
      <c r="H508" s="75"/>
      <c r="I508" s="73"/>
      <c r="J508" s="75">
        <f>ROUND(SmtRes!AG133/SmtRes!DO133, 2)</f>
        <v>537.64</v>
      </c>
      <c r="K508" s="73"/>
      <c r="L508" s="75">
        <f>SmtRes!DH133</f>
        <v>6.05</v>
      </c>
      <c r="CE508">
        <v>1</v>
      </c>
    </row>
    <row r="509" spans="1:83" ht="25.5" x14ac:dyDescent="0.2">
      <c r="A509" s="62"/>
      <c r="B509" s="62" t="s">
        <v>508</v>
      </c>
      <c r="C509" s="62" t="s">
        <v>510</v>
      </c>
      <c r="D509" s="73" t="s">
        <v>488</v>
      </c>
      <c r="E509" s="74">
        <v>2.29</v>
      </c>
      <c r="F509" s="74"/>
      <c r="G509" s="74">
        <f>SmtRes!CX134</f>
        <v>4.1219999999999998E-3</v>
      </c>
      <c r="H509" s="75"/>
      <c r="I509" s="73"/>
      <c r="J509" s="75">
        <f>SmtRes!CZ134</f>
        <v>43.87</v>
      </c>
      <c r="K509" s="73"/>
      <c r="L509" s="75">
        <f>SmtRes!DG134</f>
        <v>0.18</v>
      </c>
    </row>
    <row r="510" spans="1:83" x14ac:dyDescent="0.2">
      <c r="A510" s="76"/>
      <c r="B510" s="74">
        <v>4</v>
      </c>
      <c r="C510" s="76" t="s">
        <v>937</v>
      </c>
      <c r="D510" s="73"/>
      <c r="E510" s="77"/>
      <c r="F510" s="74"/>
      <c r="G510" s="74"/>
      <c r="H510" s="74"/>
      <c r="I510" s="74"/>
      <c r="J510" s="74"/>
      <c r="K510" s="74"/>
      <c r="L510" s="78">
        <f>SUM(L511:L512)-SUMIF(CE511:CE512, 1, L511:L512)</f>
        <v>0.1</v>
      </c>
    </row>
    <row r="511" spans="1:83" x14ac:dyDescent="0.2">
      <c r="A511" s="62"/>
      <c r="B511" s="62" t="s">
        <v>518</v>
      </c>
      <c r="C511" s="62" t="s">
        <v>520</v>
      </c>
      <c r="D511" s="73" t="s">
        <v>521</v>
      </c>
      <c r="E511" s="74">
        <v>1.26</v>
      </c>
      <c r="F511" s="74"/>
      <c r="G511" s="74">
        <f>SmtRes!CX135</f>
        <v>2.2680000000000001E-3</v>
      </c>
      <c r="H511" s="75"/>
      <c r="I511" s="73"/>
      <c r="J511" s="75">
        <f>SmtRes!CZ135</f>
        <v>9.5500000000000007</v>
      </c>
      <c r="K511" s="73"/>
      <c r="L511" s="75">
        <f>SmtRes!DF135</f>
        <v>0.02</v>
      </c>
    </row>
    <row r="512" spans="1:83" ht="38.25" x14ac:dyDescent="0.2">
      <c r="A512" s="62"/>
      <c r="B512" s="62" t="s">
        <v>522</v>
      </c>
      <c r="C512" s="62" t="s">
        <v>524</v>
      </c>
      <c r="D512" s="73" t="s">
        <v>314</v>
      </c>
      <c r="E512" s="74">
        <v>0.35</v>
      </c>
      <c r="F512" s="74"/>
      <c r="G512" s="74">
        <f>SmtRes!CX136</f>
        <v>6.3000000000000003E-4</v>
      </c>
      <c r="H512" s="75"/>
      <c r="I512" s="73"/>
      <c r="J512" s="75">
        <f>SmtRes!CZ136</f>
        <v>131.85</v>
      </c>
      <c r="K512" s="73"/>
      <c r="L512" s="75">
        <f>SmtRes!DF136</f>
        <v>0.08</v>
      </c>
    </row>
    <row r="513" spans="1:83" x14ac:dyDescent="0.2">
      <c r="A513" s="62"/>
      <c r="B513" s="62" t="str">
        <f>EtalonRes!I150</f>
        <v>23.4.01.04</v>
      </c>
      <c r="C513" s="79" t="str">
        <f>EtalonRes!K150</f>
        <v>Трубы стальные изолированные</v>
      </c>
      <c r="D513" s="80" t="str">
        <f>EtalonRes!O150</f>
        <v>м</v>
      </c>
      <c r="E513" s="81">
        <f>EtalonRes!X150</f>
        <v>101</v>
      </c>
      <c r="F513" s="81"/>
      <c r="G513" s="81">
        <f>ROUND(EtalonRes!AG150*Source!I140, 7)</f>
        <v>0.18179999999999999</v>
      </c>
      <c r="H513" s="82"/>
      <c r="I513" s="80"/>
      <c r="J513" s="82"/>
      <c r="K513" s="80"/>
      <c r="L513" s="82"/>
    </row>
    <row r="514" spans="1:83" x14ac:dyDescent="0.2">
      <c r="A514" s="62"/>
      <c r="B514" s="62"/>
      <c r="C514" s="61" t="s">
        <v>394</v>
      </c>
      <c r="D514" s="73"/>
      <c r="E514" s="74"/>
      <c r="F514" s="74"/>
      <c r="G514" s="74"/>
      <c r="H514" s="75"/>
      <c r="I514" s="73"/>
      <c r="J514" s="75"/>
      <c r="K514" s="73"/>
      <c r="L514" s="75">
        <f>L503+L505+L506+L510</f>
        <v>40.499999999999993</v>
      </c>
    </row>
    <row r="515" spans="1:83" x14ac:dyDescent="0.2">
      <c r="A515" s="62"/>
      <c r="B515" s="62"/>
      <c r="C515" s="62" t="s">
        <v>893</v>
      </c>
      <c r="D515" s="73"/>
      <c r="E515" s="74"/>
      <c r="F515" s="74"/>
      <c r="G515" s="74"/>
      <c r="H515" s="75"/>
      <c r="I515" s="73"/>
      <c r="J515" s="75"/>
      <c r="K515" s="73"/>
      <c r="L515" s="75">
        <f>SUM(AR501:AR518)+SUM(AS501:AS518)+SUM(AT501:AT518)+SUM(AU501:AU518)+SUM(AV501:AV518)</f>
        <v>19.559999999999999</v>
      </c>
    </row>
    <row r="516" spans="1:83" ht="38.25" x14ac:dyDescent="0.2">
      <c r="A516" s="62"/>
      <c r="B516" s="62" t="s">
        <v>43</v>
      </c>
      <c r="C516" s="62" t="s">
        <v>904</v>
      </c>
      <c r="D516" s="73" t="s">
        <v>194</v>
      </c>
      <c r="E516" s="74">
        <f>Source!BZ140</f>
        <v>117</v>
      </c>
      <c r="F516" s="74"/>
      <c r="G516" s="74">
        <f>Source!AT140</f>
        <v>117</v>
      </c>
      <c r="H516" s="75"/>
      <c r="I516" s="73"/>
      <c r="J516" s="75"/>
      <c r="K516" s="73"/>
      <c r="L516" s="75">
        <f>SUM(AZ501:AZ518)</f>
        <v>22.89</v>
      </c>
    </row>
    <row r="517" spans="1:83" ht="38.25" x14ac:dyDescent="0.2">
      <c r="A517" s="79"/>
      <c r="B517" s="79" t="s">
        <v>44</v>
      </c>
      <c r="C517" s="79" t="s">
        <v>905</v>
      </c>
      <c r="D517" s="80" t="s">
        <v>194</v>
      </c>
      <c r="E517" s="81">
        <f>Source!CA140</f>
        <v>74</v>
      </c>
      <c r="F517" s="81"/>
      <c r="G517" s="81">
        <f>Source!AU140</f>
        <v>74</v>
      </c>
      <c r="H517" s="82"/>
      <c r="I517" s="80"/>
      <c r="J517" s="82"/>
      <c r="K517" s="80"/>
      <c r="L517" s="82">
        <f>SUM(BA501:BA518)</f>
        <v>14.47</v>
      </c>
    </row>
    <row r="518" spans="1:83" x14ac:dyDescent="0.2">
      <c r="A518" s="43"/>
      <c r="B518" s="43"/>
      <c r="C518" s="119" t="s">
        <v>896</v>
      </c>
      <c r="D518" s="119"/>
      <c r="E518" s="119"/>
      <c r="F518" s="119"/>
      <c r="G518" s="119"/>
      <c r="H518" s="119"/>
      <c r="I518" s="120">
        <f>IF(E501&lt;&gt;0,K518/E501, 0)</f>
        <v>43255.555555555555</v>
      </c>
      <c r="J518" s="120"/>
      <c r="K518" s="120">
        <f>L503+L505+L510+L516+L517+L506</f>
        <v>77.86</v>
      </c>
      <c r="L518" s="120"/>
      <c r="AD518">
        <f>ROUND((Source!AT140/100)*((ROUND(SUMIF(SmtRes!AQ131:'SmtRes'!AQ136,"=1",SmtRes!AD131:'SmtRes'!AD136)*Source!I140, 2)+ROUND(SUMIF(SmtRes!AQ131:'SmtRes'!AQ136,"=1",SmtRes!AC131:'SmtRes'!AC136)*Source!I140, 2))), 2)</f>
        <v>1.92</v>
      </c>
      <c r="AE518">
        <f>ROUND((Source!AU140/100)*((ROUND(SUMIF(SmtRes!AQ131:'SmtRes'!AQ136,"=1",SmtRes!AD131:'SmtRes'!AD136)*Source!I140, 2)+ROUND(SUMIF(SmtRes!AQ131:'SmtRes'!AQ136,"=1",SmtRes!AC131:'SmtRes'!AC136)*Source!I140, 2))), 2)</f>
        <v>1.21</v>
      </c>
      <c r="AN518" s="22">
        <f>L503+L505+L510+L516+L517+L506</f>
        <v>77.86</v>
      </c>
      <c r="AO518" s="22">
        <f>L505</f>
        <v>20.839999999999996</v>
      </c>
      <c r="AQ518" t="s">
        <v>897</v>
      </c>
      <c r="AR518" s="22">
        <f>L503</f>
        <v>13.51</v>
      </c>
      <c r="AT518" s="22">
        <f>L506</f>
        <v>6.05</v>
      </c>
      <c r="AV518" t="s">
        <v>897</v>
      </c>
      <c r="AW518" s="22">
        <f>L510</f>
        <v>0.1</v>
      </c>
      <c r="AZ518">
        <f>Source!X140</f>
        <v>22.89</v>
      </c>
      <c r="BA518">
        <f>Source!Y140</f>
        <v>14.47</v>
      </c>
      <c r="CD518">
        <v>1</v>
      </c>
    </row>
    <row r="519" spans="1:83" ht="51" x14ac:dyDescent="0.2">
      <c r="A519" s="83" t="s">
        <v>286</v>
      </c>
      <c r="B519" s="79" t="str">
        <f>Source!F141</f>
        <v>23.5.02.02-0033</v>
      </c>
      <c r="C519" s="79" t="str">
        <f>Source!G141</f>
        <v>Трубы стальные электросварные прямошовные из стали марок Ст2, 10, наружный диаметр 57 мм, толщина стенки 3 мм</v>
      </c>
      <c r="D519" s="80" t="str">
        <f>Source!H141</f>
        <v>м</v>
      </c>
      <c r="E519" s="81">
        <f>Source!K141</f>
        <v>0.18</v>
      </c>
      <c r="F519" s="81"/>
      <c r="G519" s="81">
        <f>Source!I141</f>
        <v>0.18</v>
      </c>
      <c r="H519" s="82"/>
      <c r="I519" s="80"/>
      <c r="J519" s="82">
        <f>Source!AL141</f>
        <v>201.05</v>
      </c>
      <c r="K519" s="80"/>
      <c r="L519" s="82">
        <f>Source!P141</f>
        <v>36.19</v>
      </c>
    </row>
    <row r="520" spans="1:83" x14ac:dyDescent="0.2">
      <c r="A520" s="43"/>
      <c r="B520" s="43"/>
      <c r="C520" s="119" t="s">
        <v>896</v>
      </c>
      <c r="D520" s="119"/>
      <c r="E520" s="119"/>
      <c r="F520" s="119"/>
      <c r="G520" s="119"/>
      <c r="H520" s="119"/>
      <c r="I520" s="120">
        <f>IF(E519&lt;&gt;0,K520/E519, 0)</f>
        <v>201.05555555555554</v>
      </c>
      <c r="J520" s="120"/>
      <c r="K520" s="120">
        <f>L519</f>
        <v>36.19</v>
      </c>
      <c r="L520" s="120"/>
      <c r="AD520">
        <f>ROUND((Source!AT141/100)*((ROUND(ROUND(Source!AO141,2)*Source!I141, 2)+ROUND(ROUND(Source!AN141,2)*Source!I141, 2))), 2)</f>
        <v>0</v>
      </c>
      <c r="AE520">
        <f>ROUND((Source!AU141/100)*((ROUND(ROUND(Source!AO141,2)*Source!I141, 2)+ROUND(ROUND(Source!AN141,2)*Source!I141, 2))), 2)</f>
        <v>0</v>
      </c>
      <c r="AN520" s="22">
        <f>L519</f>
        <v>36.19</v>
      </c>
      <c r="AO520">
        <f>0</f>
        <v>0</v>
      </c>
      <c r="AQ520" t="s">
        <v>897</v>
      </c>
      <c r="AR520">
        <f>0</f>
        <v>0</v>
      </c>
      <c r="AT520">
        <f>0</f>
        <v>0</v>
      </c>
      <c r="AV520" t="s">
        <v>897</v>
      </c>
      <c r="AW520" s="22">
        <f>L519</f>
        <v>36.19</v>
      </c>
      <c r="AZ520">
        <f>Source!X141</f>
        <v>0</v>
      </c>
      <c r="BA520">
        <f>Source!Y141</f>
        <v>0</v>
      </c>
      <c r="CD520">
        <v>1</v>
      </c>
    </row>
    <row r="521" spans="1:83" ht="25.5" x14ac:dyDescent="0.2">
      <c r="A521" s="83" t="s">
        <v>287</v>
      </c>
      <c r="B521" s="79" t="str">
        <f>Source!F142</f>
        <v>23.8.03.01-0011</v>
      </c>
      <c r="C521" s="79" t="str">
        <f>Source!G142</f>
        <v>Заглушка стальная бесшовная приварная, номинальный диаметр 50 мм</v>
      </c>
      <c r="D521" s="80" t="str">
        <f>Source!H142</f>
        <v>ШТ</v>
      </c>
      <c r="E521" s="81">
        <f>Source!K142</f>
        <v>3</v>
      </c>
      <c r="F521" s="81"/>
      <c r="G521" s="81">
        <f>Source!I142</f>
        <v>3</v>
      </c>
      <c r="H521" s="82">
        <f>Source!AL142</f>
        <v>41.56</v>
      </c>
      <c r="I521" s="80">
        <f>IF(Source!BC142&lt;&gt; 0, Source!BC142, 1)</f>
        <v>1.07</v>
      </c>
      <c r="J521" s="82">
        <f>ROUND(H521*I521, 2)</f>
        <v>44.47</v>
      </c>
      <c r="K521" s="80"/>
      <c r="L521" s="82">
        <f>Source!P142</f>
        <v>133.41</v>
      </c>
    </row>
    <row r="522" spans="1:83" x14ac:dyDescent="0.2">
      <c r="A522" s="43"/>
      <c r="B522" s="43"/>
      <c r="C522" s="119" t="s">
        <v>896</v>
      </c>
      <c r="D522" s="119"/>
      <c r="E522" s="119"/>
      <c r="F522" s="119"/>
      <c r="G522" s="119"/>
      <c r="H522" s="119"/>
      <c r="I522" s="120">
        <f>IF(E521&lt;&gt;0,K522/E521, 0)</f>
        <v>44.47</v>
      </c>
      <c r="J522" s="120"/>
      <c r="K522" s="120">
        <f>L521</f>
        <v>133.41</v>
      </c>
      <c r="L522" s="120"/>
      <c r="AD522">
        <f>ROUND((Source!AT142/100)*((ROUND(ROUND(Source!AO142,2)*Source!I142, 2)+ROUND(ROUND(Source!AN142,2)*Source!I142, 2))), 2)</f>
        <v>0</v>
      </c>
      <c r="AE522">
        <f>ROUND((Source!AU142/100)*((ROUND(ROUND(Source!AO142,2)*Source!I142, 2)+ROUND(ROUND(Source!AN142,2)*Source!I142, 2))), 2)</f>
        <v>0</v>
      </c>
      <c r="AN522" s="22">
        <f>L521</f>
        <v>133.41</v>
      </c>
      <c r="AO522">
        <f>0</f>
        <v>0</v>
      </c>
      <c r="AQ522" t="s">
        <v>897</v>
      </c>
      <c r="AR522">
        <f>0</f>
        <v>0</v>
      </c>
      <c r="AT522">
        <f>0</f>
        <v>0</v>
      </c>
      <c r="AV522" t="s">
        <v>897</v>
      </c>
      <c r="AW522" s="22">
        <f>L521</f>
        <v>133.41</v>
      </c>
      <c r="AZ522">
        <f>Source!X142</f>
        <v>0</v>
      </c>
      <c r="BA522">
        <f>Source!Y142</f>
        <v>0</v>
      </c>
      <c r="CD522">
        <v>1</v>
      </c>
    </row>
    <row r="523" spans="1:83" ht="25.5" x14ac:dyDescent="0.2">
      <c r="A523" s="72" t="s">
        <v>291</v>
      </c>
      <c r="B523" s="62" t="s">
        <v>967</v>
      </c>
      <c r="C523" s="62" t="str">
        <f>Source!G143</f>
        <v>Устройство бетонных фундаментов общего назначения объемом: до 5 м3</v>
      </c>
      <c r="D523" s="73" t="str">
        <f>Source!H143</f>
        <v>100 м3</v>
      </c>
      <c r="E523" s="74">
        <f>Source!K143</f>
        <v>4.8000000000000001E-4</v>
      </c>
      <c r="F523" s="74"/>
      <c r="G523" s="74">
        <f>Source!I143</f>
        <v>4.8000000000000001E-4</v>
      </c>
      <c r="H523" s="75"/>
      <c r="I523" s="73"/>
      <c r="J523" s="75"/>
      <c r="K523" s="73"/>
      <c r="L523" s="75"/>
    </row>
    <row r="524" spans="1:83" x14ac:dyDescent="0.2">
      <c r="A524" s="43"/>
      <c r="B524" s="43"/>
      <c r="C524" s="60" t="str">
        <f>"Объем: "&amp;Source!I143&amp;"=0,048/"&amp;"100"</f>
        <v>Объем: 0,00048=0,048/100</v>
      </c>
      <c r="D524" s="43"/>
      <c r="E524" s="43"/>
      <c r="F524" s="43"/>
      <c r="G524" s="43"/>
      <c r="H524" s="43"/>
      <c r="I524" s="43"/>
      <c r="J524" s="43"/>
      <c r="K524" s="43"/>
      <c r="L524" s="43"/>
    </row>
    <row r="525" spans="1:83" x14ac:dyDescent="0.2">
      <c r="A525" s="76"/>
      <c r="B525" s="74">
        <v>1</v>
      </c>
      <c r="C525" s="76" t="s">
        <v>899</v>
      </c>
      <c r="D525" s="73" t="s">
        <v>484</v>
      </c>
      <c r="E525" s="77"/>
      <c r="F525" s="74"/>
      <c r="G525" s="74">
        <f>Source!U143</f>
        <v>0.18912000000000001</v>
      </c>
      <c r="H525" s="74"/>
      <c r="I525" s="74"/>
      <c r="J525" s="74"/>
      <c r="K525" s="74"/>
      <c r="L525" s="78">
        <f>SUM(L526:L526)-SUMIF(CE526:CE526, 1, L526:L526)</f>
        <v>66.66</v>
      </c>
    </row>
    <row r="526" spans="1:83" x14ac:dyDescent="0.2">
      <c r="A526" s="62"/>
      <c r="B526" s="62" t="s">
        <v>660</v>
      </c>
      <c r="C526" s="62" t="s">
        <v>661</v>
      </c>
      <c r="D526" s="73" t="s">
        <v>484</v>
      </c>
      <c r="E526" s="74">
        <v>394</v>
      </c>
      <c r="F526" s="74"/>
      <c r="G526" s="74">
        <f>SmtRes!CX137</f>
        <v>0.18912000000000001</v>
      </c>
      <c r="H526" s="75"/>
      <c r="I526" s="73"/>
      <c r="J526" s="75">
        <f>SmtRes!CZ137</f>
        <v>352.45</v>
      </c>
      <c r="K526" s="73"/>
      <c r="L526" s="75">
        <f>SmtRes!DI137</f>
        <v>66.66</v>
      </c>
    </row>
    <row r="527" spans="1:83" x14ac:dyDescent="0.2">
      <c r="A527" s="76"/>
      <c r="B527" s="74">
        <v>2</v>
      </c>
      <c r="C527" s="76" t="s">
        <v>890</v>
      </c>
      <c r="D527" s="73"/>
      <c r="E527" s="77"/>
      <c r="F527" s="74"/>
      <c r="G527" s="74"/>
      <c r="H527" s="74"/>
      <c r="I527" s="74"/>
      <c r="J527" s="74"/>
      <c r="K527" s="74"/>
      <c r="L527" s="78">
        <f>SUM(L528:L537)-SUMIF(CE528:CE537, 1, L528:L537)</f>
        <v>41.59</v>
      </c>
    </row>
    <row r="528" spans="1:83" x14ac:dyDescent="0.2">
      <c r="A528" s="76"/>
      <c r="B528" s="74"/>
      <c r="C528" s="76" t="s">
        <v>892</v>
      </c>
      <c r="D528" s="73" t="s">
        <v>484</v>
      </c>
      <c r="E528" s="77"/>
      <c r="F528" s="74"/>
      <c r="G528" s="74">
        <f>Source!V143</f>
        <v>1.72176E-2</v>
      </c>
      <c r="H528" s="74"/>
      <c r="I528" s="74"/>
      <c r="J528" s="74"/>
      <c r="K528" s="74"/>
      <c r="L528" s="78">
        <f>SUMIF(CE529:CE537, 1, L529:L537)</f>
        <v>9.16</v>
      </c>
      <c r="CE528">
        <v>1</v>
      </c>
    </row>
    <row r="529" spans="1:83" ht="25.5" x14ac:dyDescent="0.2">
      <c r="A529" s="62"/>
      <c r="B529" s="62" t="s">
        <v>636</v>
      </c>
      <c r="C529" s="62" t="s">
        <v>638</v>
      </c>
      <c r="D529" s="73" t="s">
        <v>488</v>
      </c>
      <c r="E529" s="74">
        <v>0.96</v>
      </c>
      <c r="F529" s="74"/>
      <c r="G529" s="74">
        <f>SmtRes!CX139</f>
        <v>4.6079999999999998E-4</v>
      </c>
      <c r="H529" s="75"/>
      <c r="I529" s="73"/>
      <c r="J529" s="75">
        <f>SmtRes!CZ139</f>
        <v>1836.16</v>
      </c>
      <c r="K529" s="73"/>
      <c r="L529" s="75">
        <f>SmtRes!DG139</f>
        <v>0.85</v>
      </c>
    </row>
    <row r="530" spans="1:83" x14ac:dyDescent="0.2">
      <c r="A530" s="62"/>
      <c r="B530" s="62" t="s">
        <v>489</v>
      </c>
      <c r="C530" s="62" t="s">
        <v>891</v>
      </c>
      <c r="D530" s="73" t="s">
        <v>484</v>
      </c>
      <c r="E530" s="74">
        <f>SmtRes!DO139*SmtRes!AT139</f>
        <v>0.96</v>
      </c>
      <c r="F530" s="74"/>
      <c r="G530" s="74">
        <f>ROUND(E530*G523, 7)</f>
        <v>4.6079999999999998E-4</v>
      </c>
      <c r="H530" s="75"/>
      <c r="I530" s="73"/>
      <c r="J530" s="75">
        <f>ROUND(SmtRes!AG139/SmtRes!DO139, 2)</f>
        <v>537.64</v>
      </c>
      <c r="K530" s="73"/>
      <c r="L530" s="75">
        <f>SmtRes!DH139</f>
        <v>0.25</v>
      </c>
      <c r="CE530">
        <v>1</v>
      </c>
    </row>
    <row r="531" spans="1:83" ht="25.5" x14ac:dyDescent="0.2">
      <c r="A531" s="62"/>
      <c r="B531" s="62" t="s">
        <v>662</v>
      </c>
      <c r="C531" s="62" t="s">
        <v>664</v>
      </c>
      <c r="D531" s="73" t="s">
        <v>488</v>
      </c>
      <c r="E531" s="74">
        <v>33.26</v>
      </c>
      <c r="F531" s="74"/>
      <c r="G531" s="74">
        <f>SmtRes!CX140</f>
        <v>1.5964800000000001E-2</v>
      </c>
      <c r="H531" s="75">
        <f>SmtRes!CZ140</f>
        <v>1703.3</v>
      </c>
      <c r="I531" s="73">
        <f>SmtRes!AJ140</f>
        <v>1.47</v>
      </c>
      <c r="J531" s="75">
        <f>ROUND(H531*I531, 2)</f>
        <v>2503.85</v>
      </c>
      <c r="K531" s="73"/>
      <c r="L531" s="75">
        <f>SmtRes!DG140</f>
        <v>39.97</v>
      </c>
    </row>
    <row r="532" spans="1:83" x14ac:dyDescent="0.2">
      <c r="A532" s="62"/>
      <c r="B532" s="62" t="s">
        <v>489</v>
      </c>
      <c r="C532" s="62" t="s">
        <v>891</v>
      </c>
      <c r="D532" s="73" t="s">
        <v>484</v>
      </c>
      <c r="E532" s="74">
        <f>SmtRes!DO140*SmtRes!AT140</f>
        <v>33.26</v>
      </c>
      <c r="F532" s="74"/>
      <c r="G532" s="74">
        <f>ROUND(E532*G523, 7)</f>
        <v>1.5964800000000001E-2</v>
      </c>
      <c r="H532" s="75"/>
      <c r="I532" s="73"/>
      <c r="J532" s="75">
        <f>ROUND(SmtRes!AG140/SmtRes!DO140, 2)</f>
        <v>537.64</v>
      </c>
      <c r="K532" s="73"/>
      <c r="L532" s="75">
        <f>SmtRes!DH140</f>
        <v>8.58</v>
      </c>
      <c r="CE532">
        <v>1</v>
      </c>
    </row>
    <row r="533" spans="1:83" ht="51" x14ac:dyDescent="0.2">
      <c r="A533" s="62"/>
      <c r="B533" s="62" t="s">
        <v>494</v>
      </c>
      <c r="C533" s="62" t="s">
        <v>496</v>
      </c>
      <c r="D533" s="73" t="s">
        <v>488</v>
      </c>
      <c r="E533" s="74">
        <v>0.25</v>
      </c>
      <c r="F533" s="74"/>
      <c r="G533" s="74">
        <f>SmtRes!CX141</f>
        <v>1.2E-4</v>
      </c>
      <c r="H533" s="75"/>
      <c r="I533" s="73"/>
      <c r="J533" s="75">
        <f>SmtRes!CZ141</f>
        <v>1681.82</v>
      </c>
      <c r="K533" s="73"/>
      <c r="L533" s="75">
        <f>SmtRes!DG141</f>
        <v>0.2</v>
      </c>
    </row>
    <row r="534" spans="1:83" x14ac:dyDescent="0.2">
      <c r="A534" s="62"/>
      <c r="B534" s="62" t="s">
        <v>497</v>
      </c>
      <c r="C534" s="62" t="s">
        <v>903</v>
      </c>
      <c r="D534" s="73" t="s">
        <v>484</v>
      </c>
      <c r="E534" s="74">
        <f>SmtRes!DO141*SmtRes!AT141</f>
        <v>0.25</v>
      </c>
      <c r="F534" s="74"/>
      <c r="G534" s="74">
        <f>ROUND(E534*G523, 7)</f>
        <v>1.2E-4</v>
      </c>
      <c r="H534" s="75"/>
      <c r="I534" s="73"/>
      <c r="J534" s="75">
        <f>ROUND(SmtRes!AG141/SmtRes!DO141, 2)</f>
        <v>459.98</v>
      </c>
      <c r="K534" s="73"/>
      <c r="L534" s="75">
        <f>SmtRes!DH141</f>
        <v>0.06</v>
      </c>
      <c r="CE534">
        <v>1</v>
      </c>
    </row>
    <row r="535" spans="1:83" x14ac:dyDescent="0.2">
      <c r="A535" s="62"/>
      <c r="B535" s="62" t="s">
        <v>665</v>
      </c>
      <c r="C535" s="62" t="s">
        <v>667</v>
      </c>
      <c r="D535" s="73" t="s">
        <v>488</v>
      </c>
      <c r="E535" s="74">
        <v>21</v>
      </c>
      <c r="F535" s="74"/>
      <c r="G535" s="74">
        <f>SmtRes!CX142</f>
        <v>1.008E-2</v>
      </c>
      <c r="H535" s="75">
        <f>SmtRes!CZ142</f>
        <v>10.37</v>
      </c>
      <c r="I535" s="73">
        <f>SmtRes!AJ142</f>
        <v>1.28</v>
      </c>
      <c r="J535" s="75">
        <f>ROUND(H535*I535, 2)</f>
        <v>13.27</v>
      </c>
      <c r="K535" s="73"/>
      <c r="L535" s="75">
        <f>SmtRes!DG142</f>
        <v>0.13</v>
      </c>
    </row>
    <row r="536" spans="1:83" ht="25.5" x14ac:dyDescent="0.2">
      <c r="A536" s="62"/>
      <c r="B536" s="62" t="s">
        <v>545</v>
      </c>
      <c r="C536" s="62" t="s">
        <v>547</v>
      </c>
      <c r="D536" s="73" t="s">
        <v>488</v>
      </c>
      <c r="E536" s="74">
        <v>1.4</v>
      </c>
      <c r="F536" s="74"/>
      <c r="G536" s="74">
        <f>SmtRes!CX143</f>
        <v>6.7199999999999996E-4</v>
      </c>
      <c r="H536" s="75"/>
      <c r="I536" s="73"/>
      <c r="J536" s="75">
        <f>SmtRes!CZ143</f>
        <v>655.95</v>
      </c>
      <c r="K536" s="73"/>
      <c r="L536" s="75">
        <f>SmtRes!DG143</f>
        <v>0.44</v>
      </c>
    </row>
    <row r="537" spans="1:83" x14ac:dyDescent="0.2">
      <c r="A537" s="62"/>
      <c r="B537" s="62" t="s">
        <v>514</v>
      </c>
      <c r="C537" s="62" t="s">
        <v>936</v>
      </c>
      <c r="D537" s="73" t="s">
        <v>484</v>
      </c>
      <c r="E537" s="74">
        <f>SmtRes!DO143*SmtRes!AT143</f>
        <v>1.4</v>
      </c>
      <c r="F537" s="74"/>
      <c r="G537" s="74">
        <f>ROUND(E537*G523, 7)</f>
        <v>6.7199999999999996E-4</v>
      </c>
      <c r="H537" s="75"/>
      <c r="I537" s="73"/>
      <c r="J537" s="75">
        <f>ROUND(SmtRes!AG143/SmtRes!DO143, 2)</f>
        <v>400.24</v>
      </c>
      <c r="K537" s="73"/>
      <c r="L537" s="75">
        <f>SmtRes!DH143</f>
        <v>0.27</v>
      </c>
      <c r="CE537">
        <v>1</v>
      </c>
    </row>
    <row r="538" spans="1:83" x14ac:dyDescent="0.2">
      <c r="A538" s="76"/>
      <c r="B538" s="74">
        <v>4</v>
      </c>
      <c r="C538" s="76" t="s">
        <v>937</v>
      </c>
      <c r="D538" s="73"/>
      <c r="E538" s="77"/>
      <c r="F538" s="74"/>
      <c r="G538" s="74"/>
      <c r="H538" s="74"/>
      <c r="I538" s="74"/>
      <c r="J538" s="74"/>
      <c r="K538" s="74"/>
      <c r="L538" s="78">
        <f>SUM(L539:L548)-SUMIF(CE539:CE548, 1, L539:L548)</f>
        <v>9.1</v>
      </c>
    </row>
    <row r="539" spans="1:83" x14ac:dyDescent="0.2">
      <c r="A539" s="62"/>
      <c r="B539" s="62" t="s">
        <v>627</v>
      </c>
      <c r="C539" s="62" t="s">
        <v>629</v>
      </c>
      <c r="D539" s="73" t="s">
        <v>48</v>
      </c>
      <c r="E539" s="74">
        <v>1.75</v>
      </c>
      <c r="F539" s="74"/>
      <c r="G539" s="74">
        <f>SmtRes!CX144</f>
        <v>8.4000000000000003E-4</v>
      </c>
      <c r="H539" s="75">
        <f>SmtRes!CZ144</f>
        <v>35.71</v>
      </c>
      <c r="I539" s="73">
        <f>SmtRes!AI144</f>
        <v>0.88</v>
      </c>
      <c r="J539" s="75">
        <f>ROUND(H539*I539, 2)</f>
        <v>31.42</v>
      </c>
      <c r="K539" s="73"/>
      <c r="L539" s="75">
        <f>SmtRes!DF144</f>
        <v>0.03</v>
      </c>
    </row>
    <row r="540" spans="1:83" x14ac:dyDescent="0.2">
      <c r="A540" s="62"/>
      <c r="B540" s="62" t="s">
        <v>518</v>
      </c>
      <c r="C540" s="62" t="s">
        <v>520</v>
      </c>
      <c r="D540" s="73" t="s">
        <v>521</v>
      </c>
      <c r="E540" s="74">
        <v>2.64</v>
      </c>
      <c r="F540" s="74"/>
      <c r="G540" s="74">
        <f>SmtRes!CX145</f>
        <v>1.2672E-3</v>
      </c>
      <c r="H540" s="75"/>
      <c r="I540" s="73"/>
      <c r="J540" s="75">
        <f>SmtRes!CZ145</f>
        <v>9.5500000000000007</v>
      </c>
      <c r="K540" s="73"/>
      <c r="L540" s="75">
        <f>SmtRes!DF145</f>
        <v>0.01</v>
      </c>
    </row>
    <row r="541" spans="1:83" x14ac:dyDescent="0.2">
      <c r="A541" s="62"/>
      <c r="B541" s="62" t="s">
        <v>630</v>
      </c>
      <c r="C541" s="62" t="s">
        <v>632</v>
      </c>
      <c r="D541" s="73" t="s">
        <v>633</v>
      </c>
      <c r="E541" s="74">
        <v>5.6</v>
      </c>
      <c r="F541" s="74"/>
      <c r="G541" s="74">
        <f>SmtRes!CX146</f>
        <v>2.6879999999999999E-3</v>
      </c>
      <c r="H541" s="75">
        <f>SmtRes!CZ146</f>
        <v>12.83</v>
      </c>
      <c r="I541" s="73">
        <f>SmtRes!AI146</f>
        <v>1.0900000000000001</v>
      </c>
      <c r="J541" s="75">
        <f t="shared" ref="J541:J548" si="2">ROUND(H541*I541, 2)</f>
        <v>13.98</v>
      </c>
      <c r="K541" s="73"/>
      <c r="L541" s="75">
        <f>SmtRes!DF146</f>
        <v>0.04</v>
      </c>
    </row>
    <row r="542" spans="1:83" x14ac:dyDescent="0.2">
      <c r="A542" s="62"/>
      <c r="B542" s="62" t="s">
        <v>668</v>
      </c>
      <c r="C542" s="62" t="s">
        <v>670</v>
      </c>
      <c r="D542" s="73" t="s">
        <v>243</v>
      </c>
      <c r="E542" s="74">
        <v>3.6999999999999998E-2</v>
      </c>
      <c r="F542" s="74"/>
      <c r="G542" s="74">
        <f>SmtRes!CX147</f>
        <v>1.7799999999999999E-5</v>
      </c>
      <c r="H542" s="75">
        <f>SmtRes!CZ147</f>
        <v>70296.2</v>
      </c>
      <c r="I542" s="73">
        <f>SmtRes!AI147</f>
        <v>1.1299999999999999</v>
      </c>
      <c r="J542" s="75">
        <f t="shared" si="2"/>
        <v>79434.710000000006</v>
      </c>
      <c r="K542" s="73"/>
      <c r="L542" s="75">
        <f>SmtRes!DF147</f>
        <v>1.41</v>
      </c>
    </row>
    <row r="543" spans="1:83" ht="25.5" x14ac:dyDescent="0.2">
      <c r="A543" s="62"/>
      <c r="B543" s="62" t="s">
        <v>671</v>
      </c>
      <c r="C543" s="62" t="s">
        <v>673</v>
      </c>
      <c r="D543" s="73" t="s">
        <v>243</v>
      </c>
      <c r="E543" s="74">
        <v>0.05</v>
      </c>
      <c r="F543" s="74"/>
      <c r="G543" s="74">
        <f>SmtRes!CX148</f>
        <v>2.4000000000000001E-5</v>
      </c>
      <c r="H543" s="75">
        <f>SmtRes!CZ148</f>
        <v>5275.05</v>
      </c>
      <c r="I543" s="73">
        <f>SmtRes!AI148</f>
        <v>1.34</v>
      </c>
      <c r="J543" s="75">
        <f t="shared" si="2"/>
        <v>7068.57</v>
      </c>
      <c r="K543" s="73"/>
      <c r="L543" s="75">
        <f>SmtRes!DF148</f>
        <v>0.17</v>
      </c>
    </row>
    <row r="544" spans="1:83" ht="25.5" x14ac:dyDescent="0.2">
      <c r="A544" s="62"/>
      <c r="B544" s="62" t="s">
        <v>674</v>
      </c>
      <c r="C544" s="62" t="s">
        <v>676</v>
      </c>
      <c r="D544" s="73" t="s">
        <v>243</v>
      </c>
      <c r="E544" s="74">
        <v>0.04</v>
      </c>
      <c r="F544" s="74"/>
      <c r="G544" s="74">
        <f>SmtRes!CX149</f>
        <v>1.9199999999999999E-5</v>
      </c>
      <c r="H544" s="75">
        <f>SmtRes!CZ149</f>
        <v>60258.2</v>
      </c>
      <c r="I544" s="73">
        <f>SmtRes!AI149</f>
        <v>0.89</v>
      </c>
      <c r="J544" s="75">
        <f t="shared" si="2"/>
        <v>53629.8</v>
      </c>
      <c r="K544" s="73"/>
      <c r="L544" s="75">
        <f>SmtRes!DF149</f>
        <v>1.03</v>
      </c>
    </row>
    <row r="545" spans="1:82" ht="38.25" x14ac:dyDescent="0.2">
      <c r="A545" s="62"/>
      <c r="B545" s="62" t="s">
        <v>677</v>
      </c>
      <c r="C545" s="62" t="s">
        <v>679</v>
      </c>
      <c r="D545" s="73" t="s">
        <v>48</v>
      </c>
      <c r="E545" s="74">
        <v>0.69</v>
      </c>
      <c r="F545" s="74"/>
      <c r="G545" s="74">
        <f>SmtRes!CX150</f>
        <v>3.3119999999999997E-4</v>
      </c>
      <c r="H545" s="75">
        <f>SmtRes!CZ150</f>
        <v>6442.06</v>
      </c>
      <c r="I545" s="73">
        <f>SmtRes!AI150</f>
        <v>0.9</v>
      </c>
      <c r="J545" s="75">
        <f t="shared" si="2"/>
        <v>5797.85</v>
      </c>
      <c r="K545" s="73"/>
      <c r="L545" s="75">
        <f>SmtRes!DF150</f>
        <v>1.92</v>
      </c>
    </row>
    <row r="546" spans="1:82" ht="51" x14ac:dyDescent="0.2">
      <c r="A546" s="62"/>
      <c r="B546" s="62" t="s">
        <v>680</v>
      </c>
      <c r="C546" s="62" t="s">
        <v>682</v>
      </c>
      <c r="D546" s="73" t="s">
        <v>48</v>
      </c>
      <c r="E546" s="74">
        <v>0.08</v>
      </c>
      <c r="F546" s="74"/>
      <c r="G546" s="74">
        <f>SmtRes!CX151</f>
        <v>3.8399999999999998E-5</v>
      </c>
      <c r="H546" s="75">
        <f>SmtRes!CZ151</f>
        <v>16496.03</v>
      </c>
      <c r="I546" s="73">
        <f>SmtRes!AI151</f>
        <v>1.02</v>
      </c>
      <c r="J546" s="75">
        <f t="shared" si="2"/>
        <v>16825.95</v>
      </c>
      <c r="K546" s="73"/>
      <c r="L546" s="75">
        <f>SmtRes!DF151</f>
        <v>0.65</v>
      </c>
    </row>
    <row r="547" spans="1:82" ht="51" x14ac:dyDescent="0.2">
      <c r="A547" s="62"/>
      <c r="B547" s="62" t="s">
        <v>683</v>
      </c>
      <c r="C547" s="62" t="s">
        <v>685</v>
      </c>
      <c r="D547" s="73" t="s">
        <v>48</v>
      </c>
      <c r="E547" s="74">
        <v>0.2</v>
      </c>
      <c r="F547" s="74"/>
      <c r="G547" s="74">
        <f>SmtRes!CX152</f>
        <v>9.6000000000000002E-5</v>
      </c>
      <c r="H547" s="75">
        <f>SmtRes!CZ152</f>
        <v>5764.42</v>
      </c>
      <c r="I547" s="73">
        <f>SmtRes!AI152</f>
        <v>1.56</v>
      </c>
      <c r="J547" s="75">
        <f t="shared" si="2"/>
        <v>8992.5</v>
      </c>
      <c r="K547" s="73"/>
      <c r="L547" s="75">
        <f>SmtRes!DF152</f>
        <v>0.86</v>
      </c>
    </row>
    <row r="548" spans="1:82" ht="51" x14ac:dyDescent="0.2">
      <c r="A548" s="62"/>
      <c r="B548" s="62" t="s">
        <v>686</v>
      </c>
      <c r="C548" s="62" t="s">
        <v>688</v>
      </c>
      <c r="D548" s="73" t="s">
        <v>48</v>
      </c>
      <c r="E548" s="74">
        <v>0.69</v>
      </c>
      <c r="F548" s="74"/>
      <c r="G548" s="74">
        <f>SmtRes!CX153</f>
        <v>3.3119999999999997E-4</v>
      </c>
      <c r="H548" s="75">
        <f>SmtRes!CZ153</f>
        <v>5764.42</v>
      </c>
      <c r="I548" s="73">
        <f>SmtRes!AI153</f>
        <v>1.56</v>
      </c>
      <c r="J548" s="75">
        <f t="shared" si="2"/>
        <v>8992.5</v>
      </c>
      <c r="K548" s="73"/>
      <c r="L548" s="75">
        <f>SmtRes!DF153</f>
        <v>2.98</v>
      </c>
    </row>
    <row r="549" spans="1:82" x14ac:dyDescent="0.2">
      <c r="A549" s="62"/>
      <c r="B549" s="62"/>
      <c r="C549" s="62"/>
      <c r="D549" s="73"/>
      <c r="E549" s="74"/>
      <c r="F549" s="74"/>
      <c r="G549" s="74"/>
      <c r="H549" s="75"/>
      <c r="I549" s="73"/>
      <c r="J549" s="75"/>
      <c r="K549" s="73"/>
      <c r="L549" s="75"/>
    </row>
    <row r="550" spans="1:82" x14ac:dyDescent="0.2">
      <c r="A550" s="62"/>
      <c r="B550" s="62"/>
      <c r="C550" s="79"/>
      <c r="D550" s="80"/>
      <c r="E550" s="81"/>
      <c r="F550" s="81"/>
      <c r="G550" s="81"/>
      <c r="H550" s="82"/>
      <c r="I550" s="80"/>
      <c r="J550" s="82"/>
      <c r="K550" s="80"/>
      <c r="L550" s="82"/>
    </row>
    <row r="551" spans="1:82" x14ac:dyDescent="0.2">
      <c r="A551" s="62"/>
      <c r="B551" s="62"/>
      <c r="C551" s="61" t="s">
        <v>394</v>
      </c>
      <c r="D551" s="73"/>
      <c r="E551" s="74"/>
      <c r="F551" s="74"/>
      <c r="G551" s="74"/>
      <c r="H551" s="75"/>
      <c r="I551" s="73"/>
      <c r="J551" s="75"/>
      <c r="K551" s="73"/>
      <c r="L551" s="75">
        <f>L525+L527+L528+L538</f>
        <v>126.50999999999999</v>
      </c>
    </row>
    <row r="552" spans="1:82" x14ac:dyDescent="0.2">
      <c r="A552" s="62"/>
      <c r="B552" s="62"/>
      <c r="C552" s="62" t="s">
        <v>893</v>
      </c>
      <c r="D552" s="73"/>
      <c r="E552" s="74"/>
      <c r="F552" s="74"/>
      <c r="G552" s="74"/>
      <c r="H552" s="75"/>
      <c r="I552" s="73"/>
      <c r="J552" s="75"/>
      <c r="K552" s="73"/>
      <c r="L552" s="75">
        <f>SUM(AR523:AR555)+SUM(AS523:AS555)+SUM(AT523:AT555)+SUM(AU523:AU555)+SUM(AV523:AV555)</f>
        <v>75.819999999999993</v>
      </c>
    </row>
    <row r="553" spans="1:82" ht="38.25" x14ac:dyDescent="0.2">
      <c r="A553" s="62"/>
      <c r="B553" s="62" t="s">
        <v>234</v>
      </c>
      <c r="C553" s="62" t="s">
        <v>955</v>
      </c>
      <c r="D553" s="73" t="s">
        <v>194</v>
      </c>
      <c r="E553" s="74">
        <f>Source!BZ143</f>
        <v>102</v>
      </c>
      <c r="F553" s="74"/>
      <c r="G553" s="74">
        <f>Source!AT143</f>
        <v>102</v>
      </c>
      <c r="H553" s="75"/>
      <c r="I553" s="73"/>
      <c r="J553" s="75"/>
      <c r="K553" s="73"/>
      <c r="L553" s="75">
        <f>SUM(AZ523:AZ555)</f>
        <v>77.34</v>
      </c>
    </row>
    <row r="554" spans="1:82" ht="38.25" x14ac:dyDescent="0.2">
      <c r="A554" s="79"/>
      <c r="B554" s="79" t="s">
        <v>235</v>
      </c>
      <c r="C554" s="79" t="s">
        <v>956</v>
      </c>
      <c r="D554" s="80" t="s">
        <v>194</v>
      </c>
      <c r="E554" s="81">
        <f>Source!CA143</f>
        <v>58</v>
      </c>
      <c r="F554" s="81"/>
      <c r="G554" s="81">
        <f>Source!AU143</f>
        <v>58</v>
      </c>
      <c r="H554" s="82"/>
      <c r="I554" s="80"/>
      <c r="J554" s="82"/>
      <c r="K554" s="80"/>
      <c r="L554" s="82">
        <f>SUM(BA523:BA555)</f>
        <v>43.98</v>
      </c>
    </row>
    <row r="555" spans="1:82" x14ac:dyDescent="0.2">
      <c r="A555" s="43"/>
      <c r="B555" s="43"/>
      <c r="C555" s="119" t="s">
        <v>896</v>
      </c>
      <c r="D555" s="119"/>
      <c r="E555" s="119"/>
      <c r="F555" s="119"/>
      <c r="G555" s="119"/>
      <c r="H555" s="119"/>
      <c r="I555" s="120">
        <f>IF(E523&lt;&gt;0,K555/E523, 0)</f>
        <v>516312.49999999994</v>
      </c>
      <c r="J555" s="120"/>
      <c r="K555" s="120">
        <f>L525+L527+L538+L553+L554+L528</f>
        <v>247.82999999999998</v>
      </c>
      <c r="L555" s="120"/>
      <c r="AD555">
        <f>ROUND((Source!AT143/100)*((ROUND(SUMIF(SmtRes!AQ137:'SmtRes'!AQ153,"=1",SmtRes!AD137:'SmtRes'!AD153)*Source!I143, 2)+ROUND(SUMIF(SmtRes!AQ137:'SmtRes'!AQ153,"=1",SmtRes!AC137:'SmtRes'!AC153)*Source!I143, 2))), 2)</f>
        <v>1.1200000000000001</v>
      </c>
      <c r="AE555">
        <f>ROUND((Source!AU143/100)*((ROUND(SUMIF(SmtRes!AQ137:'SmtRes'!AQ153,"=1",SmtRes!AD137:'SmtRes'!AD153)*Source!I143, 2)+ROUND(SUMIF(SmtRes!AQ137:'SmtRes'!AQ153,"=1",SmtRes!AC137:'SmtRes'!AC153)*Source!I143, 2))), 2)</f>
        <v>0.64</v>
      </c>
      <c r="AN555" s="22">
        <f>L525+L527+L538+L553+L554+L528</f>
        <v>247.82999999999998</v>
      </c>
      <c r="AO555" s="22">
        <f>L527</f>
        <v>41.59</v>
      </c>
      <c r="AQ555" t="s">
        <v>897</v>
      </c>
      <c r="AR555" s="22">
        <f>L525</f>
        <v>66.66</v>
      </c>
      <c r="AT555" s="22">
        <f>L528</f>
        <v>9.16</v>
      </c>
      <c r="AV555" t="s">
        <v>897</v>
      </c>
      <c r="AW555" s="22">
        <f>L538</f>
        <v>9.1</v>
      </c>
      <c r="AZ555">
        <f>Source!X143</f>
        <v>77.34</v>
      </c>
      <c r="BA555">
        <f>Source!Y143</f>
        <v>43.98</v>
      </c>
      <c r="CD555">
        <v>1</v>
      </c>
    </row>
    <row r="556" spans="1:82" ht="38.25" x14ac:dyDescent="0.2">
      <c r="A556" s="83" t="s">
        <v>295</v>
      </c>
      <c r="B556" s="79" t="str">
        <f>Source!F144</f>
        <v>05.1.08.09-0001</v>
      </c>
      <c r="C556" s="79" t="str">
        <f>Source!G144</f>
        <v>Подушки опорные железобетонные, объем от 0,003 до 0,006 м3, бетон В15, расход арматуры от 150 до 200 кг/м3</v>
      </c>
      <c r="D556" s="80" t="str">
        <f>Source!H144</f>
        <v>м3</v>
      </c>
      <c r="E556" s="81">
        <f>Source!K144</f>
        <v>4.2000000000000003E-2</v>
      </c>
      <c r="F556" s="81"/>
      <c r="G556" s="81">
        <f>Source!I144</f>
        <v>4.2000000000000003E-2</v>
      </c>
      <c r="H556" s="82">
        <f>Source!AL144</f>
        <v>34865.08</v>
      </c>
      <c r="I556" s="80">
        <f>IF(Source!BC144&lt;&gt; 0, Source!BC144, 1)</f>
        <v>1.43</v>
      </c>
      <c r="J556" s="82">
        <f>ROUND(H556*I556, 2)</f>
        <v>49857.06</v>
      </c>
      <c r="K556" s="80"/>
      <c r="L556" s="82">
        <f>Source!P144</f>
        <v>2094</v>
      </c>
    </row>
    <row r="557" spans="1:82" x14ac:dyDescent="0.2">
      <c r="A557" s="43"/>
      <c r="B557" s="43"/>
      <c r="C557" s="119" t="s">
        <v>896</v>
      </c>
      <c r="D557" s="119"/>
      <c r="E557" s="119"/>
      <c r="F557" s="119"/>
      <c r="G557" s="119"/>
      <c r="H557" s="119"/>
      <c r="I557" s="120">
        <f>IF(E556&lt;&gt;0,K557/E556, 0)</f>
        <v>49857.142857142855</v>
      </c>
      <c r="J557" s="120"/>
      <c r="K557" s="120">
        <f>L556</f>
        <v>2094</v>
      </c>
      <c r="L557" s="120"/>
      <c r="AD557">
        <f>ROUND((Source!AT144/100)*((ROUND(ROUND(Source!AO144,2)*Source!I144, 2)+ROUND(ROUND(Source!AN144,2)*Source!I144, 2))), 2)</f>
        <v>0</v>
      </c>
      <c r="AE557">
        <f>ROUND((Source!AU144/100)*((ROUND(ROUND(Source!AO144,2)*Source!I144, 2)+ROUND(ROUND(Source!AN144,2)*Source!I144, 2))), 2)</f>
        <v>0</v>
      </c>
      <c r="AN557" s="22">
        <f>L556</f>
        <v>2094</v>
      </c>
      <c r="AO557">
        <f>0</f>
        <v>0</v>
      </c>
      <c r="AQ557" t="s">
        <v>897</v>
      </c>
      <c r="AR557">
        <f>0</f>
        <v>0</v>
      </c>
      <c r="AT557">
        <f>0</f>
        <v>0</v>
      </c>
      <c r="AV557" t="s">
        <v>897</v>
      </c>
      <c r="AW557" s="22">
        <f>L556</f>
        <v>2094</v>
      </c>
      <c r="AZ557">
        <f>Source!X144</f>
        <v>0</v>
      </c>
      <c r="BA557">
        <f>Source!Y144</f>
        <v>0</v>
      </c>
      <c r="CD557">
        <v>1</v>
      </c>
    </row>
    <row r="558" spans="1:82" ht="25.5" x14ac:dyDescent="0.2">
      <c r="A558" s="83" t="s">
        <v>299</v>
      </c>
      <c r="B558" s="79" t="str">
        <f>Source!F145</f>
        <v>04.1.02.05-0262</v>
      </c>
      <c r="C558" s="79" t="str">
        <f>Source!G145</f>
        <v>Смеси бетонные тяжелого бетона (БСТ) на щебне из гравия, класс В15, F(1)200, W4</v>
      </c>
      <c r="D558" s="80" t="str">
        <f>Source!H145</f>
        <v>м3</v>
      </c>
      <c r="E558" s="81">
        <f>Source!K145</f>
        <v>6.0000000000000001E-3</v>
      </c>
      <c r="F558" s="81"/>
      <c r="G558" s="81">
        <f>Source!I145</f>
        <v>6.0000000000000001E-3</v>
      </c>
      <c r="H558" s="82">
        <f>Source!AL145</f>
        <v>4719.96</v>
      </c>
      <c r="I558" s="80">
        <f>IF(Source!BC145&lt;&gt; 0, Source!BC145, 1)</f>
        <v>1.45</v>
      </c>
      <c r="J558" s="82">
        <f>ROUND(H558*I558, 2)</f>
        <v>6843.94</v>
      </c>
      <c r="K558" s="80"/>
      <c r="L558" s="82">
        <f>Source!P145</f>
        <v>41.06</v>
      </c>
    </row>
    <row r="559" spans="1:82" x14ac:dyDescent="0.2">
      <c r="A559" s="43"/>
      <c r="B559" s="43"/>
      <c r="C559" s="119" t="s">
        <v>896</v>
      </c>
      <c r="D559" s="119"/>
      <c r="E559" s="119"/>
      <c r="F559" s="119"/>
      <c r="G559" s="119"/>
      <c r="H559" s="119"/>
      <c r="I559" s="120">
        <f>IF(E558&lt;&gt;0,K559/E558, 0)</f>
        <v>6843.3333333333339</v>
      </c>
      <c r="J559" s="120"/>
      <c r="K559" s="120">
        <f>L558</f>
        <v>41.06</v>
      </c>
      <c r="L559" s="120"/>
      <c r="AD559">
        <f>ROUND((Source!AT145/100)*((ROUND(ROUND(Source!AO145,2)*Source!I145, 2)+ROUND(ROUND(Source!AN145,2)*Source!I145, 2))), 2)</f>
        <v>0</v>
      </c>
      <c r="AE559">
        <f>ROUND((Source!AU145/100)*((ROUND(ROUND(Source!AO145,2)*Source!I145, 2)+ROUND(ROUND(Source!AN145,2)*Source!I145, 2))), 2)</f>
        <v>0</v>
      </c>
      <c r="AN559" s="22">
        <f>L558</f>
        <v>41.06</v>
      </c>
      <c r="AO559">
        <f>0</f>
        <v>0</v>
      </c>
      <c r="AQ559" t="s">
        <v>897</v>
      </c>
      <c r="AR559">
        <f>0</f>
        <v>0</v>
      </c>
      <c r="AT559">
        <f>0</f>
        <v>0</v>
      </c>
      <c r="AV559" t="s">
        <v>897</v>
      </c>
      <c r="AW559" s="22">
        <f>L558</f>
        <v>41.06</v>
      </c>
      <c r="AZ559">
        <f>Source!X145</f>
        <v>0</v>
      </c>
      <c r="BA559">
        <f>Source!Y145</f>
        <v>0</v>
      </c>
      <c r="CD559">
        <v>1</v>
      </c>
    </row>
    <row r="560" spans="1:82" ht="63.75" x14ac:dyDescent="0.2">
      <c r="A560" s="72" t="s">
        <v>303</v>
      </c>
      <c r="B560" s="62" t="s">
        <v>968</v>
      </c>
      <c r="C560" s="62" t="str">
        <f>Source!G146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560" s="73" t="str">
        <f>Source!H146</f>
        <v>км</v>
      </c>
      <c r="E560" s="74">
        <f>Source!K146</f>
        <v>1.2E-4</v>
      </c>
      <c r="F560" s="74"/>
      <c r="G560" s="74">
        <f>Source!I146</f>
        <v>1.2E-4</v>
      </c>
      <c r="H560" s="75"/>
      <c r="I560" s="73"/>
      <c r="J560" s="75"/>
      <c r="K560" s="73"/>
      <c r="L560" s="75"/>
    </row>
    <row r="561" spans="1:83" x14ac:dyDescent="0.2">
      <c r="A561" s="76"/>
      <c r="B561" s="74">
        <v>1</v>
      </c>
      <c r="C561" s="76" t="s">
        <v>899</v>
      </c>
      <c r="D561" s="73" t="s">
        <v>484</v>
      </c>
      <c r="E561" s="77"/>
      <c r="F561" s="74"/>
      <c r="G561" s="74">
        <f>Source!U146</f>
        <v>2.436E-2</v>
      </c>
      <c r="H561" s="74"/>
      <c r="I561" s="74"/>
      <c r="J561" s="74"/>
      <c r="K561" s="74"/>
      <c r="L561" s="78">
        <f>SUM(L562:L562)-SUMIF(CE562:CE562, 1, L562:L562)</f>
        <v>9.5299999999999994</v>
      </c>
    </row>
    <row r="562" spans="1:83" x14ac:dyDescent="0.2">
      <c r="A562" s="62"/>
      <c r="B562" s="62" t="s">
        <v>689</v>
      </c>
      <c r="C562" s="62" t="s">
        <v>690</v>
      </c>
      <c r="D562" s="73" t="s">
        <v>484</v>
      </c>
      <c r="E562" s="74">
        <v>203</v>
      </c>
      <c r="F562" s="74"/>
      <c r="G562" s="74">
        <f>SmtRes!CX154</f>
        <v>2.436E-2</v>
      </c>
      <c r="H562" s="75"/>
      <c r="I562" s="73"/>
      <c r="J562" s="75">
        <f>SmtRes!CZ154</f>
        <v>391.28</v>
      </c>
      <c r="K562" s="73"/>
      <c r="L562" s="75">
        <f>SmtRes!DI154</f>
        <v>9.5299999999999994</v>
      </c>
    </row>
    <row r="563" spans="1:83" x14ac:dyDescent="0.2">
      <c r="A563" s="76"/>
      <c r="B563" s="74">
        <v>2</v>
      </c>
      <c r="C563" s="76" t="s">
        <v>890</v>
      </c>
      <c r="D563" s="73"/>
      <c r="E563" s="77"/>
      <c r="F563" s="74"/>
      <c r="G563" s="74"/>
      <c r="H563" s="74"/>
      <c r="I563" s="74"/>
      <c r="J563" s="74"/>
      <c r="K563" s="74"/>
      <c r="L563" s="78">
        <f>SUM(L564:L568)-SUMIF(CE564:CE568, 1, L564:L568)</f>
        <v>0.77</v>
      </c>
    </row>
    <row r="564" spans="1:83" hidden="1" x14ac:dyDescent="0.2">
      <c r="A564" s="76"/>
      <c r="B564" s="74"/>
      <c r="C564" s="76" t="s">
        <v>892</v>
      </c>
      <c r="D564" s="73" t="s">
        <v>484</v>
      </c>
      <c r="E564" s="77"/>
      <c r="F564" s="74"/>
      <c r="G564" s="74">
        <f>Source!V146</f>
        <v>1.08E-5</v>
      </c>
      <c r="H564" s="74"/>
      <c r="I564" s="74"/>
      <c r="J564" s="74"/>
      <c r="K564" s="74"/>
      <c r="L564" s="78">
        <f>SUMIF(CE565:CE568, 1, L565:L568)</f>
        <v>0</v>
      </c>
      <c r="CE564">
        <v>1</v>
      </c>
    </row>
    <row r="565" spans="1:83" ht="25.5" x14ac:dyDescent="0.2">
      <c r="A565" s="62"/>
      <c r="B565" s="62" t="s">
        <v>691</v>
      </c>
      <c r="C565" s="62" t="s">
        <v>693</v>
      </c>
      <c r="D565" s="73" t="s">
        <v>488</v>
      </c>
      <c r="E565" s="74">
        <v>69.099999999999994</v>
      </c>
      <c r="F565" s="74"/>
      <c r="G565" s="74">
        <f>SmtRes!CX156</f>
        <v>8.2920000000000008E-3</v>
      </c>
      <c r="H565" s="75">
        <f>SmtRes!CZ156</f>
        <v>1.4</v>
      </c>
      <c r="I565" s="73">
        <f>SmtRes!AJ156</f>
        <v>1.63</v>
      </c>
      <c r="J565" s="75">
        <f>ROUND(H565*I565, 2)</f>
        <v>2.2799999999999998</v>
      </c>
      <c r="K565" s="73"/>
      <c r="L565" s="75">
        <f>SmtRes!DG156</f>
        <v>0.02</v>
      </c>
    </row>
    <row r="566" spans="1:83" ht="51" x14ac:dyDescent="0.2">
      <c r="A566" s="62"/>
      <c r="B566" s="62" t="s">
        <v>494</v>
      </c>
      <c r="C566" s="62" t="s">
        <v>496</v>
      </c>
      <c r="D566" s="73" t="s">
        <v>488</v>
      </c>
      <c r="E566" s="74">
        <v>0.09</v>
      </c>
      <c r="F566" s="74"/>
      <c r="G566" s="74">
        <f>SmtRes!CX157</f>
        <v>1.08E-5</v>
      </c>
      <c r="H566" s="75"/>
      <c r="I566" s="73"/>
      <c r="J566" s="75">
        <f>SmtRes!CZ157</f>
        <v>1681.82</v>
      </c>
      <c r="K566" s="73"/>
      <c r="L566" s="75">
        <f>SmtRes!DG157</f>
        <v>0.02</v>
      </c>
    </row>
    <row r="567" spans="1:83" x14ac:dyDescent="0.2">
      <c r="A567" s="62"/>
      <c r="B567" s="62" t="s">
        <v>497</v>
      </c>
      <c r="C567" s="62" t="s">
        <v>903</v>
      </c>
      <c r="D567" s="73" t="s">
        <v>484</v>
      </c>
      <c r="E567" s="74">
        <f>SmtRes!DO157*SmtRes!AT157</f>
        <v>0.09</v>
      </c>
      <c r="F567" s="74"/>
      <c r="G567" s="74">
        <f>ROUND(E567*G560, 7)</f>
        <v>1.08E-5</v>
      </c>
      <c r="H567" s="75"/>
      <c r="I567" s="73"/>
      <c r="J567" s="75">
        <f>ROUND(SmtRes!AG157/SmtRes!DO157, 2)</f>
        <v>459.98</v>
      </c>
      <c r="K567" s="73"/>
      <c r="L567" s="75">
        <f>SmtRes!DH157</f>
        <v>0</v>
      </c>
      <c r="CE567">
        <v>1</v>
      </c>
    </row>
    <row r="568" spans="1:83" ht="38.25" x14ac:dyDescent="0.2">
      <c r="A568" s="62"/>
      <c r="B568" s="62" t="s">
        <v>694</v>
      </c>
      <c r="C568" s="62" t="s">
        <v>696</v>
      </c>
      <c r="D568" s="73" t="s">
        <v>488</v>
      </c>
      <c r="E568" s="74">
        <v>29.84</v>
      </c>
      <c r="F568" s="74"/>
      <c r="G568" s="74">
        <f>SmtRes!CX158</f>
        <v>3.5807999999999999E-3</v>
      </c>
      <c r="H568" s="75">
        <f>SmtRes!CZ158</f>
        <v>119.89</v>
      </c>
      <c r="I568" s="73">
        <f>SmtRes!AJ158</f>
        <v>1.69</v>
      </c>
      <c r="J568" s="75">
        <f>ROUND(H568*I568, 2)</f>
        <v>202.61</v>
      </c>
      <c r="K568" s="73"/>
      <c r="L568" s="75">
        <f>SmtRes!DG158</f>
        <v>0.73</v>
      </c>
    </row>
    <row r="569" spans="1:83" x14ac:dyDescent="0.2">
      <c r="A569" s="76"/>
      <c r="B569" s="74">
        <v>4</v>
      </c>
      <c r="C569" s="76" t="s">
        <v>937</v>
      </c>
      <c r="D569" s="73"/>
      <c r="E569" s="77"/>
      <c r="F569" s="74"/>
      <c r="G569" s="74"/>
      <c r="H569" s="74"/>
      <c r="I569" s="74"/>
      <c r="J569" s="74"/>
      <c r="K569" s="74"/>
      <c r="L569" s="78">
        <f>SUM(L570:L575)-SUMIF(CE570:CE575, 1, L570:L575)</f>
        <v>3.1799999999999997</v>
      </c>
    </row>
    <row r="570" spans="1:83" x14ac:dyDescent="0.2">
      <c r="A570" s="62"/>
      <c r="B570" s="62" t="s">
        <v>697</v>
      </c>
      <c r="C570" s="62" t="s">
        <v>699</v>
      </c>
      <c r="D570" s="73" t="s">
        <v>700</v>
      </c>
      <c r="E570" s="74">
        <v>0.37</v>
      </c>
      <c r="F570" s="74"/>
      <c r="G570" s="74">
        <f>SmtRes!CX161</f>
        <v>4.4400000000000002E-5</v>
      </c>
      <c r="H570" s="75">
        <f>SmtRes!CZ161</f>
        <v>7186.29</v>
      </c>
      <c r="I570" s="73">
        <f>SmtRes!AI161</f>
        <v>0.85</v>
      </c>
      <c r="J570" s="75">
        <f>ROUND(H570*I570, 2)</f>
        <v>6108.35</v>
      </c>
      <c r="K570" s="73"/>
      <c r="L570" s="75">
        <f>SmtRes!DF161</f>
        <v>0.27</v>
      </c>
    </row>
    <row r="571" spans="1:83" x14ac:dyDescent="0.2">
      <c r="A571" s="62"/>
      <c r="B571" s="62" t="s">
        <v>518</v>
      </c>
      <c r="C571" s="62" t="s">
        <v>520</v>
      </c>
      <c r="D571" s="73" t="s">
        <v>521</v>
      </c>
      <c r="E571" s="74">
        <v>49.761000000000003</v>
      </c>
      <c r="F571" s="74"/>
      <c r="G571" s="74">
        <f>SmtRes!CX162</f>
        <v>5.9712999999999997E-3</v>
      </c>
      <c r="H571" s="75"/>
      <c r="I571" s="73"/>
      <c r="J571" s="75">
        <f>SmtRes!CZ162</f>
        <v>9.5500000000000007</v>
      </c>
      <c r="K571" s="73"/>
      <c r="L571" s="75">
        <f>SmtRes!DF162</f>
        <v>0.06</v>
      </c>
    </row>
    <row r="572" spans="1:83" x14ac:dyDescent="0.2">
      <c r="A572" s="62"/>
      <c r="B572" s="62" t="s">
        <v>701</v>
      </c>
      <c r="C572" s="62" t="s">
        <v>703</v>
      </c>
      <c r="D572" s="73" t="s">
        <v>633</v>
      </c>
      <c r="E572" s="74">
        <v>1.2</v>
      </c>
      <c r="F572" s="74"/>
      <c r="G572" s="74">
        <f>SmtRes!CX163</f>
        <v>1.44E-4</v>
      </c>
      <c r="H572" s="75">
        <f>SmtRes!CZ163</f>
        <v>108.68</v>
      </c>
      <c r="I572" s="73">
        <f>SmtRes!AI163</f>
        <v>1.63</v>
      </c>
      <c r="J572" s="75">
        <f>ROUND(H572*I572, 2)</f>
        <v>177.15</v>
      </c>
      <c r="K572" s="73"/>
      <c r="L572" s="75">
        <f>SmtRes!DF163</f>
        <v>0.03</v>
      </c>
    </row>
    <row r="573" spans="1:83" ht="25.5" x14ac:dyDescent="0.2">
      <c r="A573" s="62"/>
      <c r="B573" s="62" t="s">
        <v>704</v>
      </c>
      <c r="C573" s="62" t="s">
        <v>706</v>
      </c>
      <c r="D573" s="73" t="s">
        <v>707</v>
      </c>
      <c r="E573" s="74">
        <v>0.31</v>
      </c>
      <c r="F573" s="74"/>
      <c r="G573" s="74">
        <f>SmtRes!CX164</f>
        <v>3.7200000000000003E-5</v>
      </c>
      <c r="H573" s="75">
        <f>SmtRes!CZ164</f>
        <v>592.04</v>
      </c>
      <c r="I573" s="73">
        <f>SmtRes!AI164</f>
        <v>1.63</v>
      </c>
      <c r="J573" s="75">
        <f>ROUND(H573*I573, 2)</f>
        <v>965.03</v>
      </c>
      <c r="K573" s="73"/>
      <c r="L573" s="75">
        <f>SmtRes!DF164</f>
        <v>0.04</v>
      </c>
    </row>
    <row r="574" spans="1:83" ht="38.25" x14ac:dyDescent="0.2">
      <c r="A574" s="62"/>
      <c r="B574" s="62" t="s">
        <v>677</v>
      </c>
      <c r="C574" s="62" t="s">
        <v>679</v>
      </c>
      <c r="D574" s="73" t="s">
        <v>48</v>
      </c>
      <c r="E574" s="74">
        <v>0.25</v>
      </c>
      <c r="F574" s="74"/>
      <c r="G574" s="74">
        <f>SmtRes!CX165</f>
        <v>3.0000000000000001E-5</v>
      </c>
      <c r="H574" s="75">
        <f>SmtRes!CZ165</f>
        <v>6442.06</v>
      </c>
      <c r="I574" s="73">
        <f>SmtRes!AI165</f>
        <v>0.9</v>
      </c>
      <c r="J574" s="75">
        <f>ROUND(H574*I574, 2)</f>
        <v>5797.85</v>
      </c>
      <c r="K574" s="73"/>
      <c r="L574" s="75">
        <f>SmtRes!DF165</f>
        <v>0.17</v>
      </c>
    </row>
    <row r="575" spans="1:83" ht="38.25" x14ac:dyDescent="0.2">
      <c r="A575" s="62"/>
      <c r="B575" s="62" t="s">
        <v>708</v>
      </c>
      <c r="C575" s="62" t="s">
        <v>710</v>
      </c>
      <c r="D575" s="73" t="s">
        <v>707</v>
      </c>
      <c r="E575" s="74">
        <v>43</v>
      </c>
      <c r="F575" s="74"/>
      <c r="G575" s="74">
        <f>SmtRes!CX166</f>
        <v>5.1599999999999997E-3</v>
      </c>
      <c r="H575" s="75">
        <f>SmtRes!CZ166</f>
        <v>574.19000000000005</v>
      </c>
      <c r="I575" s="73">
        <f>SmtRes!AI166</f>
        <v>0.88</v>
      </c>
      <c r="J575" s="75">
        <f>ROUND(H575*I575, 2)</f>
        <v>505.29</v>
      </c>
      <c r="K575" s="73"/>
      <c r="L575" s="75">
        <f>SmtRes!DF166</f>
        <v>2.61</v>
      </c>
    </row>
    <row r="576" spans="1:83" x14ac:dyDescent="0.2">
      <c r="A576" s="62"/>
      <c r="B576" s="62" t="str">
        <f>EtalonRes!I175</f>
        <v>01.2.03.02</v>
      </c>
      <c r="C576" s="62" t="str">
        <f>EtalonRes!K175</f>
        <v>Грунтовка битумная</v>
      </c>
      <c r="D576" s="73" t="str">
        <f>EtalonRes!O175</f>
        <v>т</v>
      </c>
      <c r="E576" s="74">
        <f>EtalonRes!X175</f>
        <v>0</v>
      </c>
      <c r="F576" s="74"/>
      <c r="G576" s="74">
        <f>ROUND(EtalonRes!AG175*Source!I146, 7)</f>
        <v>0</v>
      </c>
      <c r="H576" s="75"/>
      <c r="I576" s="73"/>
      <c r="J576" s="75"/>
      <c r="K576" s="73"/>
      <c r="L576" s="75"/>
    </row>
    <row r="577" spans="1:82" x14ac:dyDescent="0.2">
      <c r="A577" s="62"/>
      <c r="B577" s="62" t="str">
        <f>EtalonRes!I176</f>
        <v>01.2.03.03</v>
      </c>
      <c r="C577" s="79" t="str">
        <f>EtalonRes!K176</f>
        <v>Мастика</v>
      </c>
      <c r="D577" s="80" t="str">
        <f>EtalonRes!O176</f>
        <v>т</v>
      </c>
      <c r="E577" s="81">
        <f>EtalonRes!X176</f>
        <v>1.73</v>
      </c>
      <c r="F577" s="81"/>
      <c r="G577" s="81">
        <f>ROUND(EtalonRes!AG176*Source!I146, 7)</f>
        <v>2.076E-4</v>
      </c>
      <c r="H577" s="82"/>
      <c r="I577" s="80"/>
      <c r="J577" s="82"/>
      <c r="K577" s="80"/>
      <c r="L577" s="82"/>
    </row>
    <row r="578" spans="1:82" x14ac:dyDescent="0.2">
      <c r="A578" s="62"/>
      <c r="B578" s="62"/>
      <c r="C578" s="61" t="s">
        <v>394</v>
      </c>
      <c r="D578" s="73"/>
      <c r="E578" s="74"/>
      <c r="F578" s="74"/>
      <c r="G578" s="74"/>
      <c r="H578" s="75"/>
      <c r="I578" s="73"/>
      <c r="J578" s="75"/>
      <c r="K578" s="73"/>
      <c r="L578" s="75">
        <f>L561+L563+L564+L569</f>
        <v>13.479999999999999</v>
      </c>
    </row>
    <row r="579" spans="1:82" ht="51" x14ac:dyDescent="0.2">
      <c r="A579" s="72" t="s">
        <v>969</v>
      </c>
      <c r="B579" s="62" t="str">
        <f>Source!F147</f>
        <v>01.2.03.02-0005</v>
      </c>
      <c r="C579" s="62" t="str">
        <f>Source!G147</f>
        <v>Грунтовка (праймер) битумно-полимерная для нанесения на наружную поверхность подземных стальных трубопроводов, расход 0,1 кг/м2</v>
      </c>
      <c r="D579" s="73" t="str">
        <f>Source!H147</f>
        <v>т</v>
      </c>
      <c r="E579" s="74">
        <f>SmtRes!AT159</f>
        <v>4.1666667000000004</v>
      </c>
      <c r="F579" s="74"/>
      <c r="G579" s="74">
        <f>Source!I147</f>
        <v>5.0000000000000001E-4</v>
      </c>
      <c r="H579" s="75">
        <f>Source!AL147+Source!AO147+Source!AM147+Source!AN147</f>
        <v>112746.82</v>
      </c>
      <c r="I579" s="73">
        <f>IF(Source!BC147&lt;&gt; 0, Source!BC147, 1)</f>
        <v>1.69</v>
      </c>
      <c r="J579" s="75">
        <f>ROUND(H579*I579, 2)</f>
        <v>190542.13</v>
      </c>
      <c r="K579" s="73"/>
      <c r="L579" s="75">
        <f>Source!P147</f>
        <v>95.27</v>
      </c>
      <c r="AD579">
        <f>ROUND((Source!AT147/100)*((ROUND(ROUND(Source!AO147,2)*Source!I147, 2)+ROUND(ROUND(Source!AN147,2)*Source!I147, 2))), 2)</f>
        <v>0</v>
      </c>
      <c r="AE579">
        <f>ROUND((Source!AU147/100)*((ROUND(ROUND(Source!AO147,2)*Source!I147, 2)+ROUND(ROUND(Source!AN147,2)*Source!I147, 2))), 2)</f>
        <v>0</v>
      </c>
      <c r="AN579">
        <f>L579</f>
        <v>95.27</v>
      </c>
      <c r="AW579">
        <f>L579</f>
        <v>95.27</v>
      </c>
      <c r="AZ579">
        <f>Source!X147</f>
        <v>0</v>
      </c>
      <c r="BA579">
        <f>Source!Y147</f>
        <v>0</v>
      </c>
      <c r="CD579">
        <v>1</v>
      </c>
    </row>
    <row r="580" spans="1:82" ht="76.5" x14ac:dyDescent="0.2">
      <c r="A580" s="72" t="s">
        <v>970</v>
      </c>
      <c r="B580" s="62" t="str">
        <f>Source!F148</f>
        <v>01.2.03.03-0103</v>
      </c>
      <c r="C580" s="62" t="str">
        <f>Source!G148</f>
        <v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v>
      </c>
      <c r="D580" s="73" t="str">
        <f>Source!H148</f>
        <v>кг</v>
      </c>
      <c r="E580" s="74">
        <f>SmtRes!AT160</f>
        <v>1730</v>
      </c>
      <c r="F580" s="74"/>
      <c r="G580" s="74">
        <f>Source!I148</f>
        <v>0.20760000000000001</v>
      </c>
      <c r="H580" s="75">
        <f>Source!AL148+Source!AO148+Source!AM148+Source!AN148</f>
        <v>122.98</v>
      </c>
      <c r="I580" s="73">
        <f>IF(Source!BC148&lt;&gt; 0, Source!BC148, 1)</f>
        <v>1.69</v>
      </c>
      <c r="J580" s="75">
        <f>ROUND(H580*I580, 2)</f>
        <v>207.84</v>
      </c>
      <c r="K580" s="73"/>
      <c r="L580" s="75">
        <f>Source!P148</f>
        <v>43.15</v>
      </c>
      <c r="AD580">
        <f>ROUND((Source!AT148/100)*((ROUND(ROUND(Source!AO148,2)*Source!I148, 2)+ROUND(ROUND(Source!AN148,2)*Source!I148, 2))), 2)</f>
        <v>0</v>
      </c>
      <c r="AE580">
        <f>ROUND((Source!AU148/100)*((ROUND(ROUND(Source!AO148,2)*Source!I148, 2)+ROUND(ROUND(Source!AN148,2)*Source!I148, 2))), 2)</f>
        <v>0</v>
      </c>
      <c r="AN580">
        <f>L580</f>
        <v>43.15</v>
      </c>
      <c r="AW580">
        <f>L580</f>
        <v>43.15</v>
      </c>
      <c r="AZ580">
        <f>Source!X148</f>
        <v>0</v>
      </c>
      <c r="BA580">
        <f>Source!Y148</f>
        <v>0</v>
      </c>
      <c r="CD580">
        <v>1</v>
      </c>
    </row>
    <row r="581" spans="1:82" x14ac:dyDescent="0.2">
      <c r="A581" s="62"/>
      <c r="B581" s="62"/>
      <c r="C581" s="62" t="s">
        <v>893</v>
      </c>
      <c r="D581" s="73"/>
      <c r="E581" s="74"/>
      <c r="F581" s="74"/>
      <c r="G581" s="74"/>
      <c r="H581" s="75"/>
      <c r="I581" s="73"/>
      <c r="J581" s="75"/>
      <c r="K581" s="73"/>
      <c r="L581" s="75">
        <f>SUM(AR560:AR584)+SUM(AS560:AS584)+SUM(AT560:AT584)+SUM(AU560:AU584)+SUM(AV560:AV584)</f>
        <v>9.5299999999999994</v>
      </c>
    </row>
    <row r="582" spans="1:82" ht="38.25" x14ac:dyDescent="0.2">
      <c r="A582" s="62"/>
      <c r="B582" s="62" t="s">
        <v>43</v>
      </c>
      <c r="C582" s="62" t="s">
        <v>904</v>
      </c>
      <c r="D582" s="73" t="s">
        <v>194</v>
      </c>
      <c r="E582" s="74">
        <f>Source!BZ146</f>
        <v>117</v>
      </c>
      <c r="F582" s="74"/>
      <c r="G582" s="74">
        <f>Source!AT146</f>
        <v>117</v>
      </c>
      <c r="H582" s="75"/>
      <c r="I582" s="73"/>
      <c r="J582" s="75"/>
      <c r="K582" s="73"/>
      <c r="L582" s="75">
        <f>SUM(AZ560:AZ584)</f>
        <v>11.15</v>
      </c>
    </row>
    <row r="583" spans="1:82" ht="38.25" x14ac:dyDescent="0.2">
      <c r="A583" s="79"/>
      <c r="B583" s="79" t="s">
        <v>44</v>
      </c>
      <c r="C583" s="79" t="s">
        <v>905</v>
      </c>
      <c r="D583" s="80" t="s">
        <v>194</v>
      </c>
      <c r="E583" s="81">
        <f>Source!CA146</f>
        <v>74</v>
      </c>
      <c r="F583" s="81"/>
      <c r="G583" s="81">
        <f>Source!AU146</f>
        <v>74</v>
      </c>
      <c r="H583" s="82"/>
      <c r="I583" s="80"/>
      <c r="J583" s="82"/>
      <c r="K583" s="80"/>
      <c r="L583" s="82">
        <f>SUM(BA560:BA584)</f>
        <v>7.05</v>
      </c>
    </row>
    <row r="584" spans="1:82" x14ac:dyDescent="0.2">
      <c r="A584" s="43"/>
      <c r="B584" s="43"/>
      <c r="C584" s="119" t="s">
        <v>896</v>
      </c>
      <c r="D584" s="119"/>
      <c r="E584" s="119"/>
      <c r="F584" s="119"/>
      <c r="G584" s="119"/>
      <c r="H584" s="119"/>
      <c r="I584" s="120">
        <f>IF(E560&lt;&gt;0,K584/E560, 0)</f>
        <v>1417500</v>
      </c>
      <c r="J584" s="120"/>
      <c r="K584" s="120">
        <f>L561+L563+L569+L582+L583+L564+SUM(L579:L580)</f>
        <v>170.1</v>
      </c>
      <c r="L584" s="120"/>
      <c r="AD584">
        <f>ROUND((Source!AT146/100)*((ROUND(SUMIF(SmtRes!AQ154:'SmtRes'!AQ166,"=1",SmtRes!AD154:'SmtRes'!AD166)*Source!I146, 2)+ROUND(SUMIF(SmtRes!AQ154:'SmtRes'!AQ166,"=1",SmtRes!AC154:'SmtRes'!AC166)*Source!I146, 2))), 2)</f>
        <v>0.13</v>
      </c>
      <c r="AE584">
        <f>ROUND((Source!AU146/100)*((ROUND(SUMIF(SmtRes!AQ154:'SmtRes'!AQ166,"=1",SmtRes!AD154:'SmtRes'!AD166)*Source!I146, 2)+ROUND(SUMIF(SmtRes!AQ154:'SmtRes'!AQ166,"=1",SmtRes!AC154:'SmtRes'!AC166)*Source!I146, 2))), 2)</f>
        <v>0.08</v>
      </c>
      <c r="AN584" s="22">
        <f>L561+L563+L569+L582+L583+L564</f>
        <v>31.68</v>
      </c>
      <c r="AO584" s="22">
        <f>L563</f>
        <v>0.77</v>
      </c>
      <c r="AQ584" t="s">
        <v>897</v>
      </c>
      <c r="AR584" s="22">
        <f>L561</f>
        <v>9.5299999999999994</v>
      </c>
      <c r="AT584" s="22">
        <f>L564</f>
        <v>0</v>
      </c>
      <c r="AV584" t="s">
        <v>897</v>
      </c>
      <c r="AW584" s="22">
        <f>L569</f>
        <v>3.1799999999999997</v>
      </c>
      <c r="AZ584">
        <f>Source!X146</f>
        <v>11.15</v>
      </c>
      <c r="BA584">
        <f>Source!Y146</f>
        <v>7.05</v>
      </c>
      <c r="CD584">
        <v>1</v>
      </c>
    </row>
    <row r="585" spans="1:82" x14ac:dyDescent="0.2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</row>
    <row r="586" spans="1:82" x14ac:dyDescent="0.2">
      <c r="A586" s="84"/>
      <c r="B586" s="61"/>
      <c r="C586" s="118" t="s">
        <v>908</v>
      </c>
      <c r="D586" s="118"/>
      <c r="E586" s="118"/>
      <c r="F586" s="118"/>
      <c r="G586" s="118"/>
      <c r="H586" s="118"/>
      <c r="I586" s="78"/>
      <c r="J586" s="84"/>
      <c r="K586" s="85"/>
      <c r="L586" s="78">
        <f>L588+L589+L595+L599</f>
        <v>6355.5399999999991</v>
      </c>
    </row>
    <row r="587" spans="1:82" x14ac:dyDescent="0.2">
      <c r="A587" s="86"/>
      <c r="B587" s="62"/>
      <c r="C587" s="124" t="s">
        <v>909</v>
      </c>
      <c r="D587" s="124"/>
      <c r="E587" s="124"/>
      <c r="F587" s="124"/>
      <c r="G587" s="124"/>
      <c r="H587" s="124"/>
      <c r="I587" s="75"/>
      <c r="J587" s="86"/>
      <c r="K587" s="74"/>
      <c r="L587" s="75"/>
    </row>
    <row r="588" spans="1:82" x14ac:dyDescent="0.2">
      <c r="A588" s="86"/>
      <c r="B588" s="62"/>
      <c r="C588" s="124" t="s">
        <v>910</v>
      </c>
      <c r="D588" s="124"/>
      <c r="E588" s="124"/>
      <c r="F588" s="124"/>
      <c r="G588" s="124"/>
      <c r="H588" s="124"/>
      <c r="I588" s="75"/>
      <c r="J588" s="86"/>
      <c r="K588" s="74"/>
      <c r="L588" s="75">
        <f>SUM(AR455:AR584)</f>
        <v>703.57999999999993</v>
      </c>
    </row>
    <row r="589" spans="1:82" hidden="1" x14ac:dyDescent="0.2">
      <c r="A589" s="86"/>
      <c r="B589" s="62"/>
      <c r="C589" s="124" t="s">
        <v>911</v>
      </c>
      <c r="D589" s="124"/>
      <c r="E589" s="124"/>
      <c r="F589" s="124"/>
      <c r="G589" s="124"/>
      <c r="H589" s="124"/>
      <c r="I589" s="75"/>
      <c r="J589" s="86"/>
      <c r="K589" s="74"/>
      <c r="L589" s="75">
        <f>L591+L594+L593</f>
        <v>1567.0099999999998</v>
      </c>
    </row>
    <row r="590" spans="1:82" hidden="1" x14ac:dyDescent="0.2">
      <c r="A590" s="86"/>
      <c r="B590" s="62"/>
      <c r="C590" s="124" t="s">
        <v>912</v>
      </c>
      <c r="D590" s="124"/>
      <c r="E590" s="124"/>
      <c r="F590" s="124"/>
      <c r="G590" s="124"/>
      <c r="H590" s="124"/>
      <c r="I590" s="75"/>
      <c r="J590" s="86"/>
      <c r="K590" s="74"/>
      <c r="L590" s="75"/>
    </row>
    <row r="591" spans="1:82" x14ac:dyDescent="0.2">
      <c r="A591" s="86"/>
      <c r="B591" s="62"/>
      <c r="C591" s="124" t="s">
        <v>911</v>
      </c>
      <c r="D591" s="124"/>
      <c r="E591" s="124"/>
      <c r="F591" s="124"/>
      <c r="G591" s="124"/>
      <c r="H591" s="124"/>
      <c r="I591" s="75"/>
      <c r="J591" s="86"/>
      <c r="K591" s="74"/>
      <c r="L591" s="75">
        <f>SUM(AO455:AO584)</f>
        <v>1180.3299999999997</v>
      </c>
    </row>
    <row r="592" spans="1:82" hidden="1" x14ac:dyDescent="0.2">
      <c r="A592" s="86"/>
      <c r="B592" s="62"/>
      <c r="C592" s="124" t="s">
        <v>913</v>
      </c>
      <c r="D592" s="124"/>
      <c r="E592" s="124"/>
      <c r="F592" s="124"/>
      <c r="G592" s="124"/>
      <c r="H592" s="124"/>
      <c r="I592" s="75"/>
      <c r="J592" s="86"/>
      <c r="K592" s="74"/>
      <c r="L592" s="75"/>
    </row>
    <row r="593" spans="1:12" x14ac:dyDescent="0.2">
      <c r="A593" s="86"/>
      <c r="B593" s="62"/>
      <c r="C593" s="124" t="s">
        <v>933</v>
      </c>
      <c r="D593" s="124"/>
      <c r="E593" s="124"/>
      <c r="F593" s="124"/>
      <c r="G593" s="124"/>
      <c r="H593" s="124"/>
      <c r="I593" s="75"/>
      <c r="J593" s="86"/>
      <c r="K593" s="74"/>
      <c r="L593" s="75">
        <f>SUM(AT455:AT584)</f>
        <v>386.68000000000006</v>
      </c>
    </row>
    <row r="594" spans="1:12" hidden="1" x14ac:dyDescent="0.2">
      <c r="A594" s="86"/>
      <c r="B594" s="62"/>
      <c r="C594" s="124" t="s">
        <v>914</v>
      </c>
      <c r="D594" s="124"/>
      <c r="E594" s="124"/>
      <c r="F594" s="124"/>
      <c r="G594" s="124"/>
      <c r="H594" s="124"/>
      <c r="I594" s="75"/>
      <c r="J594" s="86"/>
      <c r="K594" s="74"/>
      <c r="L594" s="75">
        <f>SUM(AV455:AV584)</f>
        <v>0</v>
      </c>
    </row>
    <row r="595" spans="1:12" x14ac:dyDescent="0.2">
      <c r="A595" s="86"/>
      <c r="B595" s="62"/>
      <c r="C595" s="124" t="s">
        <v>915</v>
      </c>
      <c r="D595" s="124"/>
      <c r="E595" s="124"/>
      <c r="F595" s="124"/>
      <c r="G595" s="124"/>
      <c r="H595" s="124"/>
      <c r="I595" s="75"/>
      <c r="J595" s="86"/>
      <c r="K595" s="74"/>
      <c r="L595" s="75">
        <f>L597+L598</f>
        <v>4084.95</v>
      </c>
    </row>
    <row r="596" spans="1:12" x14ac:dyDescent="0.2">
      <c r="A596" s="86"/>
      <c r="B596" s="62"/>
      <c r="C596" s="124" t="s">
        <v>912</v>
      </c>
      <c r="D596" s="124"/>
      <c r="E596" s="124"/>
      <c r="F596" s="124"/>
      <c r="G596" s="124"/>
      <c r="H596" s="124"/>
      <c r="I596" s="75"/>
      <c r="J596" s="86"/>
      <c r="K596" s="74"/>
      <c r="L596" s="75"/>
    </row>
    <row r="597" spans="1:12" x14ac:dyDescent="0.2">
      <c r="A597" s="86"/>
      <c r="B597" s="62"/>
      <c r="C597" s="124" t="s">
        <v>916</v>
      </c>
      <c r="D597" s="124"/>
      <c r="E597" s="124"/>
      <c r="F597" s="124"/>
      <c r="G597" s="124"/>
      <c r="H597" s="124"/>
      <c r="I597" s="75"/>
      <c r="J597" s="86"/>
      <c r="K597" s="74"/>
      <c r="L597" s="75">
        <f>SUM(AW455:AW584)-SUM(BK455:BK584)</f>
        <v>4084.95</v>
      </c>
    </row>
    <row r="598" spans="1:12" hidden="1" x14ac:dyDescent="0.2">
      <c r="A598" s="86"/>
      <c r="B598" s="62"/>
      <c r="C598" s="124" t="s">
        <v>917</v>
      </c>
      <c r="D598" s="124"/>
      <c r="E598" s="124"/>
      <c r="F598" s="124"/>
      <c r="G598" s="124"/>
      <c r="H598" s="124"/>
      <c r="I598" s="75"/>
      <c r="J598" s="86"/>
      <c r="K598" s="74"/>
      <c r="L598" s="75">
        <f>SUM(BC455:BC584)</f>
        <v>0</v>
      </c>
    </row>
    <row r="599" spans="1:12" hidden="1" x14ac:dyDescent="0.2">
      <c r="A599" s="86"/>
      <c r="B599" s="62"/>
      <c r="C599" s="124" t="s">
        <v>918</v>
      </c>
      <c r="D599" s="124"/>
      <c r="E599" s="124"/>
      <c r="F599" s="124"/>
      <c r="G599" s="124"/>
      <c r="H599" s="124"/>
      <c r="I599" s="75"/>
      <c r="J599" s="86"/>
      <c r="K599" s="74"/>
      <c r="L599" s="75">
        <f>SUM(BB455:BB584)</f>
        <v>0</v>
      </c>
    </row>
    <row r="600" spans="1:12" x14ac:dyDescent="0.2">
      <c r="A600" s="86"/>
      <c r="B600" s="62"/>
      <c r="C600" s="124" t="s">
        <v>919</v>
      </c>
      <c r="D600" s="124"/>
      <c r="E600" s="124"/>
      <c r="F600" s="124"/>
      <c r="G600" s="124"/>
      <c r="H600" s="124"/>
      <c r="I600" s="75"/>
      <c r="J600" s="86"/>
      <c r="K600" s="74"/>
      <c r="L600" s="75">
        <f>SUM(AR455:AR584)+SUM(AT455:AT584)+SUM(AV455:AV584)</f>
        <v>1090.26</v>
      </c>
    </row>
    <row r="601" spans="1:12" x14ac:dyDescent="0.2">
      <c r="A601" s="86"/>
      <c r="B601" s="62"/>
      <c r="C601" s="124" t="s">
        <v>920</v>
      </c>
      <c r="D601" s="124"/>
      <c r="E601" s="124"/>
      <c r="F601" s="124"/>
      <c r="G601" s="124"/>
      <c r="H601" s="124"/>
      <c r="I601" s="75"/>
      <c r="J601" s="86"/>
      <c r="K601" s="74"/>
      <c r="L601" s="75">
        <f>SUM(AZ455:AZ584)</f>
        <v>1264.23</v>
      </c>
    </row>
    <row r="602" spans="1:12" x14ac:dyDescent="0.2">
      <c r="A602" s="86"/>
      <c r="B602" s="62"/>
      <c r="C602" s="124" t="s">
        <v>921</v>
      </c>
      <c r="D602" s="124"/>
      <c r="E602" s="124"/>
      <c r="F602" s="124"/>
      <c r="G602" s="124"/>
      <c r="H602" s="124"/>
      <c r="I602" s="75"/>
      <c r="J602" s="86"/>
      <c r="K602" s="74"/>
      <c r="L602" s="75">
        <f>SUM(BA455:BA584)</f>
        <v>794.66</v>
      </c>
    </row>
    <row r="603" spans="1:12" hidden="1" x14ac:dyDescent="0.2">
      <c r="A603" s="86"/>
      <c r="B603" s="62"/>
      <c r="C603" s="124" t="s">
        <v>922</v>
      </c>
      <c r="D603" s="124"/>
      <c r="E603" s="124"/>
      <c r="F603" s="124"/>
      <c r="G603" s="124"/>
      <c r="H603" s="124"/>
      <c r="I603" s="75"/>
      <c r="J603" s="86"/>
      <c r="K603" s="74"/>
      <c r="L603" s="75">
        <f>L605+L606</f>
        <v>0</v>
      </c>
    </row>
    <row r="604" spans="1:12" hidden="1" x14ac:dyDescent="0.2">
      <c r="A604" s="86"/>
      <c r="B604" s="62"/>
      <c r="C604" s="124" t="s">
        <v>909</v>
      </c>
      <c r="D604" s="124"/>
      <c r="E604" s="124"/>
      <c r="F604" s="124"/>
      <c r="G604" s="124"/>
      <c r="H604" s="124"/>
      <c r="I604" s="75"/>
      <c r="J604" s="86"/>
      <c r="K604" s="74"/>
      <c r="L604" s="75"/>
    </row>
    <row r="605" spans="1:12" hidden="1" x14ac:dyDescent="0.2">
      <c r="A605" s="86"/>
      <c r="B605" s="62"/>
      <c r="C605" s="124" t="s">
        <v>923</v>
      </c>
      <c r="D605" s="124"/>
      <c r="E605" s="124"/>
      <c r="F605" s="124"/>
      <c r="G605" s="124"/>
      <c r="H605" s="124"/>
      <c r="I605" s="75"/>
      <c r="J605" s="86"/>
      <c r="K605" s="74"/>
      <c r="L605" s="75">
        <f>SUM(BK455:BK584)</f>
        <v>0</v>
      </c>
    </row>
    <row r="606" spans="1:12" hidden="1" x14ac:dyDescent="0.2">
      <c r="A606" s="86"/>
      <c r="B606" s="62"/>
      <c r="C606" s="124" t="s">
        <v>924</v>
      </c>
      <c r="D606" s="124"/>
      <c r="E606" s="124"/>
      <c r="F606" s="124"/>
      <c r="G606" s="124"/>
      <c r="H606" s="124"/>
      <c r="I606" s="75"/>
      <c r="J606" s="86"/>
      <c r="K606" s="74"/>
      <c r="L606" s="75">
        <f>SUM(BD455:BD584)</f>
        <v>0</v>
      </c>
    </row>
    <row r="607" spans="1:12" hidden="1" x14ac:dyDescent="0.2">
      <c r="A607" s="86"/>
      <c r="B607" s="62"/>
      <c r="C607" s="124" t="s">
        <v>925</v>
      </c>
      <c r="D607" s="124"/>
      <c r="E607" s="124"/>
      <c r="F607" s="124"/>
      <c r="G607" s="124"/>
      <c r="H607" s="124"/>
      <c r="I607" s="75"/>
      <c r="J607" s="86"/>
      <c r="K607" s="74"/>
      <c r="L607" s="75"/>
    </row>
    <row r="608" spans="1:12" hidden="1" x14ac:dyDescent="0.2">
      <c r="A608" s="86"/>
      <c r="B608" s="62"/>
      <c r="C608" s="124" t="s">
        <v>925</v>
      </c>
      <c r="D608" s="124"/>
      <c r="E608" s="124"/>
      <c r="F608" s="124"/>
      <c r="G608" s="124"/>
      <c r="H608" s="124"/>
      <c r="I608" s="75"/>
      <c r="J608" s="86"/>
      <c r="K608" s="74"/>
      <c r="L608" s="75">
        <f>SUM(BQ455:BQ584)</f>
        <v>0</v>
      </c>
    </row>
    <row r="609" spans="1:95" hidden="1" x14ac:dyDescent="0.2">
      <c r="A609" s="86"/>
      <c r="B609" s="62"/>
      <c r="C609" s="124" t="s">
        <v>926</v>
      </c>
      <c r="D609" s="124"/>
      <c r="E609" s="124"/>
      <c r="F609" s="124"/>
      <c r="G609" s="124"/>
      <c r="H609" s="124"/>
      <c r="I609" s="75"/>
      <c r="J609" s="86"/>
      <c r="K609" s="74"/>
      <c r="L609" s="75">
        <f>SUM(BO455:BO584)</f>
        <v>0</v>
      </c>
    </row>
    <row r="610" spans="1:95" x14ac:dyDescent="0.2">
      <c r="A610" s="84"/>
      <c r="B610" s="61"/>
      <c r="C610" s="118" t="s">
        <v>927</v>
      </c>
      <c r="D610" s="118"/>
      <c r="E610" s="118"/>
      <c r="F610" s="118"/>
      <c r="G610" s="118"/>
      <c r="H610" s="118"/>
      <c r="I610" s="78"/>
      <c r="J610" s="84"/>
      <c r="K610" s="85"/>
      <c r="L610" s="78">
        <f>L586+L601+L602+L603+L608+L609</f>
        <v>8414.4299999999985</v>
      </c>
    </row>
    <row r="611" spans="1:95" x14ac:dyDescent="0.2">
      <c r="A611" s="86"/>
      <c r="B611" s="62"/>
      <c r="C611" s="124" t="s">
        <v>928</v>
      </c>
      <c r="D611" s="124"/>
      <c r="E611" s="124"/>
      <c r="F611" s="124"/>
      <c r="G611" s="124"/>
      <c r="H611" s="124"/>
      <c r="I611" s="75"/>
      <c r="J611" s="86"/>
      <c r="K611" s="74"/>
      <c r="L611" s="75"/>
    </row>
    <row r="612" spans="1:95" hidden="1" x14ac:dyDescent="0.2">
      <c r="A612" s="86"/>
      <c r="B612" s="62"/>
      <c r="C612" s="124" t="s">
        <v>929</v>
      </c>
      <c r="D612" s="124"/>
      <c r="E612" s="124"/>
      <c r="F612" s="124"/>
      <c r="G612" s="124"/>
      <c r="H612" s="124"/>
      <c r="I612" s="75"/>
      <c r="J612" s="86"/>
      <c r="K612" s="74"/>
      <c r="L612" s="75">
        <f>SUM(AX455:AX584)</f>
        <v>0</v>
      </c>
    </row>
    <row r="613" spans="1:95" hidden="1" x14ac:dyDescent="0.2">
      <c r="A613" s="86"/>
      <c r="B613" s="62"/>
      <c r="C613" s="124" t="s">
        <v>930</v>
      </c>
      <c r="D613" s="124"/>
      <c r="E613" s="124"/>
      <c r="F613" s="124"/>
      <c r="G613" s="124"/>
      <c r="H613" s="124"/>
      <c r="I613" s="75"/>
      <c r="J613" s="86"/>
      <c r="K613" s="74"/>
      <c r="L613" s="75">
        <f>SUM(AY455:AY584)</f>
        <v>0</v>
      </c>
    </row>
    <row r="614" spans="1:95" x14ac:dyDescent="0.2">
      <c r="A614" s="86"/>
      <c r="B614" s="62"/>
      <c r="C614" s="124" t="s">
        <v>931</v>
      </c>
      <c r="D614" s="124"/>
      <c r="E614" s="124"/>
      <c r="F614" s="125"/>
      <c r="G614" s="77">
        <f>Source!F172</f>
        <v>1.671135</v>
      </c>
      <c r="H614" s="86"/>
      <c r="I614" s="86"/>
      <c r="J614" s="86"/>
      <c r="K614" s="86"/>
      <c r="L614" s="86"/>
    </row>
    <row r="615" spans="1:95" x14ac:dyDescent="0.2">
      <c r="A615" s="86"/>
      <c r="B615" s="62"/>
      <c r="C615" s="124" t="s">
        <v>932</v>
      </c>
      <c r="D615" s="124"/>
      <c r="E615" s="124"/>
      <c r="F615" s="125"/>
      <c r="G615" s="77">
        <f>Source!F173</f>
        <v>0.83757839999999995</v>
      </c>
      <c r="H615" s="86"/>
      <c r="I615" s="86"/>
      <c r="J615" s="86"/>
      <c r="K615" s="86"/>
      <c r="L615" s="86"/>
    </row>
    <row r="616" spans="1:95" x14ac:dyDescent="0.2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</row>
    <row r="617" spans="1:95" x14ac:dyDescent="0.2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</row>
    <row r="618" spans="1:95" ht="21.75" customHeight="1" x14ac:dyDescent="0.2">
      <c r="A618" s="118" t="s">
        <v>971</v>
      </c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CQ618" s="23" t="s">
        <v>971</v>
      </c>
    </row>
    <row r="619" spans="1:95" ht="51" x14ac:dyDescent="0.2">
      <c r="A619" s="72" t="s">
        <v>317</v>
      </c>
      <c r="B619" s="62" t="s">
        <v>889</v>
      </c>
      <c r="C619" s="62" t="str">
        <f>Source!G184</f>
        <v>Разработка грунта в траншеях экскаватором «обратная лопата» с ковшом вместимостью 0,5 (0,5-0,63) м3, в отвал группа грунтов: 2</v>
      </c>
      <c r="D619" s="73" t="str">
        <f>Source!H184</f>
        <v>1000 м3</v>
      </c>
      <c r="E619" s="74">
        <f>Source!K184</f>
        <v>0.03</v>
      </c>
      <c r="F619" s="74"/>
      <c r="G619" s="74">
        <f>Source!I184</f>
        <v>0.03</v>
      </c>
      <c r="H619" s="75"/>
      <c r="I619" s="73"/>
      <c r="J619" s="75"/>
      <c r="K619" s="73"/>
      <c r="L619" s="75"/>
    </row>
    <row r="620" spans="1:95" x14ac:dyDescent="0.2">
      <c r="A620" s="43"/>
      <c r="B620" s="43"/>
      <c r="C620" s="60" t="str">
        <f>"Объем: "&amp;Source!I184&amp;"=30/"&amp;"1000"</f>
        <v>Объем: 0,03=30/1000</v>
      </c>
      <c r="D620" s="43"/>
      <c r="E620" s="43"/>
      <c r="F620" s="43"/>
      <c r="G620" s="43"/>
      <c r="H620" s="43"/>
      <c r="I620" s="43"/>
      <c r="J620" s="43"/>
      <c r="K620" s="43"/>
      <c r="L620" s="43"/>
    </row>
    <row r="621" spans="1:95" x14ac:dyDescent="0.2">
      <c r="A621" s="76"/>
      <c r="B621" s="74">
        <v>2</v>
      </c>
      <c r="C621" s="76" t="s">
        <v>890</v>
      </c>
      <c r="D621" s="73"/>
      <c r="E621" s="77"/>
      <c r="F621" s="74"/>
      <c r="G621" s="74"/>
      <c r="H621" s="74"/>
      <c r="I621" s="74"/>
      <c r="J621" s="74"/>
      <c r="K621" s="74"/>
      <c r="L621" s="78">
        <f>SUM(L622:L624)-SUMIF(CE622:CE624, 1, L622:L624)</f>
        <v>1096.6099999999997</v>
      </c>
    </row>
    <row r="622" spans="1:95" x14ac:dyDescent="0.2">
      <c r="A622" s="76"/>
      <c r="B622" s="74"/>
      <c r="C622" s="76" t="s">
        <v>892</v>
      </c>
      <c r="D622" s="73" t="s">
        <v>484</v>
      </c>
      <c r="E622" s="77"/>
      <c r="F622" s="74"/>
      <c r="G622" s="74">
        <f>Source!V184</f>
        <v>0.76500000000000001</v>
      </c>
      <c r="H622" s="74"/>
      <c r="I622" s="74"/>
      <c r="J622" s="74"/>
      <c r="K622" s="74"/>
      <c r="L622" s="78">
        <f>SUMIF(CE623:CE624, 1, L623:L624)</f>
        <v>411.29</v>
      </c>
      <c r="CE622">
        <v>1</v>
      </c>
    </row>
    <row r="623" spans="1:95" ht="25.5" x14ac:dyDescent="0.2">
      <c r="A623" s="62"/>
      <c r="B623" s="62" t="s">
        <v>485</v>
      </c>
      <c r="C623" s="62" t="s">
        <v>487</v>
      </c>
      <c r="D623" s="73" t="s">
        <v>488</v>
      </c>
      <c r="E623" s="74">
        <v>25.5</v>
      </c>
      <c r="F623" s="74"/>
      <c r="G623" s="74">
        <f>SmtRes!CX168</f>
        <v>0.76500000000000001</v>
      </c>
      <c r="H623" s="75">
        <f>SmtRes!CZ168</f>
        <v>1054.03</v>
      </c>
      <c r="I623" s="73">
        <f>SmtRes!AJ168</f>
        <v>1.36</v>
      </c>
      <c r="J623" s="75">
        <f>ROUND(H623*I623, 2)</f>
        <v>1433.48</v>
      </c>
      <c r="K623" s="73"/>
      <c r="L623" s="75">
        <f>SmtRes!DG168</f>
        <v>1096.6099999999999</v>
      </c>
    </row>
    <row r="624" spans="1:95" x14ac:dyDescent="0.2">
      <c r="A624" s="62"/>
      <c r="B624" s="62" t="s">
        <v>489</v>
      </c>
      <c r="C624" s="79" t="s">
        <v>891</v>
      </c>
      <c r="D624" s="80" t="s">
        <v>484</v>
      </c>
      <c r="E624" s="81">
        <f>SmtRes!DO168*SmtRes!AT168</f>
        <v>25.5</v>
      </c>
      <c r="F624" s="81"/>
      <c r="G624" s="81">
        <f>ROUND(E624*G619, 7)</f>
        <v>0.76500000000000001</v>
      </c>
      <c r="H624" s="82"/>
      <c r="I624" s="80"/>
      <c r="J624" s="82">
        <f>ROUND(SmtRes!AG168/SmtRes!DO168, 2)</f>
        <v>537.64</v>
      </c>
      <c r="K624" s="80"/>
      <c r="L624" s="82">
        <f>SmtRes!DH168</f>
        <v>411.29</v>
      </c>
      <c r="CE624">
        <v>1</v>
      </c>
    </row>
    <row r="625" spans="1:83" x14ac:dyDescent="0.2">
      <c r="A625" s="62"/>
      <c r="B625" s="62"/>
      <c r="C625" s="61" t="s">
        <v>394</v>
      </c>
      <c r="D625" s="73"/>
      <c r="E625" s="74"/>
      <c r="F625" s="74"/>
      <c r="G625" s="74"/>
      <c r="H625" s="75"/>
      <c r="I625" s="73"/>
      <c r="J625" s="75"/>
      <c r="K625" s="73"/>
      <c r="L625" s="75">
        <f>L621+L622</f>
        <v>1507.8999999999996</v>
      </c>
    </row>
    <row r="626" spans="1:83" x14ac:dyDescent="0.2">
      <c r="A626" s="62"/>
      <c r="B626" s="62"/>
      <c r="C626" s="62" t="s">
        <v>893</v>
      </c>
      <c r="D626" s="73"/>
      <c r="E626" s="74"/>
      <c r="F626" s="74"/>
      <c r="G626" s="74"/>
      <c r="H626" s="75"/>
      <c r="I626" s="73"/>
      <c r="J626" s="75"/>
      <c r="K626" s="73"/>
      <c r="L626" s="75">
        <f>SUM(AR619:AR629)+SUM(AS619:AS629)+SUM(AT619:AT629)+SUM(AU619:AU629)+SUM(AV619:AV629)</f>
        <v>411.29</v>
      </c>
    </row>
    <row r="627" spans="1:83" ht="25.5" x14ac:dyDescent="0.2">
      <c r="A627" s="62"/>
      <c r="B627" s="62" t="s">
        <v>26</v>
      </c>
      <c r="C627" s="62" t="s">
        <v>894</v>
      </c>
      <c r="D627" s="73" t="s">
        <v>194</v>
      </c>
      <c r="E627" s="74">
        <f>Source!BZ184</f>
        <v>92</v>
      </c>
      <c r="F627" s="74"/>
      <c r="G627" s="74">
        <f>Source!AT184</f>
        <v>92</v>
      </c>
      <c r="H627" s="75"/>
      <c r="I627" s="73"/>
      <c r="J627" s="75"/>
      <c r="K627" s="73"/>
      <c r="L627" s="75">
        <f>SUM(AZ619:AZ629)</f>
        <v>378.39</v>
      </c>
    </row>
    <row r="628" spans="1:83" ht="25.5" x14ac:dyDescent="0.2">
      <c r="A628" s="79"/>
      <c r="B628" s="79" t="s">
        <v>27</v>
      </c>
      <c r="C628" s="79" t="s">
        <v>895</v>
      </c>
      <c r="D628" s="80" t="s">
        <v>194</v>
      </c>
      <c r="E628" s="81">
        <f>Source!CA184</f>
        <v>46</v>
      </c>
      <c r="F628" s="81"/>
      <c r="G628" s="81">
        <f>Source!AU184</f>
        <v>46</v>
      </c>
      <c r="H628" s="82"/>
      <c r="I628" s="80"/>
      <c r="J628" s="82"/>
      <c r="K628" s="80"/>
      <c r="L628" s="82">
        <f>SUM(BA619:BA629)</f>
        <v>189.19</v>
      </c>
    </row>
    <row r="629" spans="1:83" x14ac:dyDescent="0.2">
      <c r="A629" s="43"/>
      <c r="B629" s="43"/>
      <c r="C629" s="119" t="s">
        <v>896</v>
      </c>
      <c r="D629" s="119"/>
      <c r="E629" s="119"/>
      <c r="F629" s="119"/>
      <c r="G629" s="119"/>
      <c r="H629" s="119"/>
      <c r="I629" s="120">
        <f>IF(E619&lt;&gt;0,K629/E619, 0)</f>
        <v>69182.666666666657</v>
      </c>
      <c r="J629" s="120"/>
      <c r="K629" s="120">
        <f>L621+L627+L628+L622</f>
        <v>2075.4799999999996</v>
      </c>
      <c r="L629" s="120"/>
      <c r="AD629">
        <f>ROUND((Source!AT184/100)*((ROUND(SUMIF(SmtRes!AQ167:'SmtRes'!AQ168,"=1",SmtRes!AD167:'SmtRes'!AD168)*Source!I184, 2)+ROUND(SUMIF(SmtRes!AQ167:'SmtRes'!AQ168,"=1",SmtRes!AC167:'SmtRes'!AC168)*Source!I184, 2))), 2)</f>
        <v>14.84</v>
      </c>
      <c r="AE629">
        <f>ROUND((Source!AU184/100)*((ROUND(SUMIF(SmtRes!AQ167:'SmtRes'!AQ168,"=1",SmtRes!AD167:'SmtRes'!AD168)*Source!I184, 2)+ROUND(SUMIF(SmtRes!AQ167:'SmtRes'!AQ168,"=1",SmtRes!AC167:'SmtRes'!AC168)*Source!I184, 2))), 2)</f>
        <v>7.42</v>
      </c>
      <c r="AN629" s="22">
        <f>L621+L627+L628+L622</f>
        <v>2075.4799999999996</v>
      </c>
      <c r="AO629" s="22">
        <f>L621</f>
        <v>1096.6099999999997</v>
      </c>
      <c r="AQ629" t="s">
        <v>897</v>
      </c>
      <c r="AR629">
        <f>0</f>
        <v>0</v>
      </c>
      <c r="AT629" s="22">
        <f>L622</f>
        <v>411.29</v>
      </c>
      <c r="AV629" t="s">
        <v>897</v>
      </c>
      <c r="AW629">
        <f>0</f>
        <v>0</v>
      </c>
      <c r="AZ629">
        <f>Source!X184</f>
        <v>378.39</v>
      </c>
      <c r="BA629">
        <f>Source!Y184</f>
        <v>189.19</v>
      </c>
      <c r="CD629">
        <v>1</v>
      </c>
    </row>
    <row r="630" spans="1:83" ht="51" x14ac:dyDescent="0.2">
      <c r="A630" s="72" t="s">
        <v>318</v>
      </c>
      <c r="B630" s="62" t="s">
        <v>906</v>
      </c>
      <c r="C630" s="62" t="str">
        <f>Source!G185</f>
        <v>Засыпка траншей и котлованов с перемещением грунта до 5 м бульдозерами мощностью: 59 кВт (80 л.с.), группа грунтов 2</v>
      </c>
      <c r="D630" s="73" t="str">
        <f>Source!H185</f>
        <v>1000 м3</v>
      </c>
      <c r="E630" s="74">
        <f>Source!K185</f>
        <v>0.03</v>
      </c>
      <c r="F630" s="74"/>
      <c r="G630" s="74">
        <f>Source!I185</f>
        <v>0.03</v>
      </c>
      <c r="H630" s="75"/>
      <c r="I630" s="73"/>
      <c r="J630" s="75"/>
      <c r="K630" s="73"/>
      <c r="L630" s="75"/>
    </row>
    <row r="631" spans="1:83" x14ac:dyDescent="0.2">
      <c r="A631" s="43"/>
      <c r="B631" s="43"/>
      <c r="C631" s="60" t="str">
        <f>"Объем: "&amp;Source!I185&amp;"=30/"&amp;"1000"</f>
        <v>Объем: 0,03=30/1000</v>
      </c>
      <c r="D631" s="43"/>
      <c r="E631" s="43"/>
      <c r="F631" s="43"/>
      <c r="G631" s="43"/>
      <c r="H631" s="43"/>
      <c r="I631" s="43"/>
      <c r="J631" s="43"/>
      <c r="K631" s="43"/>
      <c r="L631" s="43"/>
    </row>
    <row r="632" spans="1:83" x14ac:dyDescent="0.2">
      <c r="A632" s="76"/>
      <c r="B632" s="74">
        <v>2</v>
      </c>
      <c r="C632" s="76" t="s">
        <v>890</v>
      </c>
      <c r="D632" s="73"/>
      <c r="E632" s="77"/>
      <c r="F632" s="74"/>
      <c r="G632" s="74"/>
      <c r="H632" s="74"/>
      <c r="I632" s="74"/>
      <c r="J632" s="74"/>
      <c r="K632" s="74"/>
      <c r="L632" s="78">
        <f>SUM(L633:L635)-SUMIF(CE633:CE635, 1, L633:L635)</f>
        <v>282.35000000000008</v>
      </c>
    </row>
    <row r="633" spans="1:83" x14ac:dyDescent="0.2">
      <c r="A633" s="76"/>
      <c r="B633" s="74"/>
      <c r="C633" s="76" t="s">
        <v>892</v>
      </c>
      <c r="D633" s="73" t="s">
        <v>484</v>
      </c>
      <c r="E633" s="77"/>
      <c r="F633" s="74"/>
      <c r="G633" s="74">
        <f>Source!V185</f>
        <v>0.24179999999999999</v>
      </c>
      <c r="H633" s="74"/>
      <c r="I633" s="74"/>
      <c r="J633" s="74"/>
      <c r="K633" s="74"/>
      <c r="L633" s="78">
        <f>SUMIF(CE634:CE635, 1, L634:L635)</f>
        <v>111.22</v>
      </c>
      <c r="CE633">
        <v>1</v>
      </c>
    </row>
    <row r="634" spans="1:83" x14ac:dyDescent="0.2">
      <c r="A634" s="62"/>
      <c r="B634" s="62" t="s">
        <v>498</v>
      </c>
      <c r="C634" s="62" t="s">
        <v>500</v>
      </c>
      <c r="D634" s="73" t="s">
        <v>488</v>
      </c>
      <c r="E634" s="74">
        <v>8.06</v>
      </c>
      <c r="F634" s="74"/>
      <c r="G634" s="74">
        <f>SmtRes!CX170</f>
        <v>0.24179999999999999</v>
      </c>
      <c r="H634" s="75">
        <f>SmtRes!CZ170</f>
        <v>828.16</v>
      </c>
      <c r="I634" s="73">
        <f>SmtRes!AJ170</f>
        <v>1.41</v>
      </c>
      <c r="J634" s="75">
        <f>ROUND(H634*I634, 2)</f>
        <v>1167.71</v>
      </c>
      <c r="K634" s="73"/>
      <c r="L634" s="75">
        <f>SmtRes!DG170</f>
        <v>282.35000000000002</v>
      </c>
    </row>
    <row r="635" spans="1:83" x14ac:dyDescent="0.2">
      <c r="A635" s="62"/>
      <c r="B635" s="62" t="s">
        <v>497</v>
      </c>
      <c r="C635" s="79" t="s">
        <v>903</v>
      </c>
      <c r="D635" s="80" t="s">
        <v>484</v>
      </c>
      <c r="E635" s="81">
        <f>SmtRes!DO170*SmtRes!AT170</f>
        <v>8.06</v>
      </c>
      <c r="F635" s="81"/>
      <c r="G635" s="81">
        <f>ROUND(E635*G630, 7)</f>
        <v>0.24179999999999999</v>
      </c>
      <c r="H635" s="82"/>
      <c r="I635" s="80"/>
      <c r="J635" s="82">
        <f>ROUND(SmtRes!AG170/SmtRes!DO170, 2)</f>
        <v>459.98</v>
      </c>
      <c r="K635" s="80"/>
      <c r="L635" s="82">
        <f>SmtRes!DH170</f>
        <v>111.22</v>
      </c>
      <c r="CE635">
        <v>1</v>
      </c>
    </row>
    <row r="636" spans="1:83" x14ac:dyDescent="0.2">
      <c r="A636" s="62"/>
      <c r="B636" s="62"/>
      <c r="C636" s="61" t="s">
        <v>394</v>
      </c>
      <c r="D636" s="73"/>
      <c r="E636" s="74"/>
      <c r="F636" s="74"/>
      <c r="G636" s="74"/>
      <c r="H636" s="75"/>
      <c r="I636" s="73"/>
      <c r="J636" s="75"/>
      <c r="K636" s="73"/>
      <c r="L636" s="75">
        <f>L632+L633</f>
        <v>393.57000000000005</v>
      </c>
    </row>
    <row r="637" spans="1:83" x14ac:dyDescent="0.2">
      <c r="A637" s="62"/>
      <c r="B637" s="62"/>
      <c r="C637" s="62" t="s">
        <v>893</v>
      </c>
      <c r="D637" s="73"/>
      <c r="E637" s="74"/>
      <c r="F637" s="74"/>
      <c r="G637" s="74"/>
      <c r="H637" s="75"/>
      <c r="I637" s="73"/>
      <c r="J637" s="75"/>
      <c r="K637" s="73"/>
      <c r="L637" s="75">
        <f>SUM(AR630:AR640)+SUM(AS630:AS640)+SUM(AT630:AT640)+SUM(AU630:AU640)+SUM(AV630:AV640)</f>
        <v>111.22</v>
      </c>
    </row>
    <row r="638" spans="1:83" ht="25.5" x14ac:dyDescent="0.2">
      <c r="A638" s="62"/>
      <c r="B638" s="62" t="s">
        <v>26</v>
      </c>
      <c r="C638" s="62" t="s">
        <v>894</v>
      </c>
      <c r="D638" s="73" t="s">
        <v>194</v>
      </c>
      <c r="E638" s="74">
        <f>Source!BZ185</f>
        <v>92</v>
      </c>
      <c r="F638" s="74"/>
      <c r="G638" s="74">
        <f>Source!AT185</f>
        <v>92</v>
      </c>
      <c r="H638" s="75"/>
      <c r="I638" s="73"/>
      <c r="J638" s="75"/>
      <c r="K638" s="73"/>
      <c r="L638" s="75">
        <f>SUM(AZ630:AZ640)</f>
        <v>102.32</v>
      </c>
    </row>
    <row r="639" spans="1:83" ht="25.5" x14ac:dyDescent="0.2">
      <c r="A639" s="79"/>
      <c r="B639" s="79" t="s">
        <v>27</v>
      </c>
      <c r="C639" s="79" t="s">
        <v>895</v>
      </c>
      <c r="D639" s="80" t="s">
        <v>194</v>
      </c>
      <c r="E639" s="81">
        <f>Source!CA185</f>
        <v>46</v>
      </c>
      <c r="F639" s="81"/>
      <c r="G639" s="81">
        <f>Source!AU185</f>
        <v>46</v>
      </c>
      <c r="H639" s="82"/>
      <c r="I639" s="80"/>
      <c r="J639" s="82"/>
      <c r="K639" s="80"/>
      <c r="L639" s="82">
        <f>SUM(BA630:BA640)</f>
        <v>51.16</v>
      </c>
    </row>
    <row r="640" spans="1:83" x14ac:dyDescent="0.2">
      <c r="A640" s="43"/>
      <c r="B640" s="43"/>
      <c r="C640" s="119" t="s">
        <v>896</v>
      </c>
      <c r="D640" s="119"/>
      <c r="E640" s="119"/>
      <c r="F640" s="119"/>
      <c r="G640" s="119"/>
      <c r="H640" s="119"/>
      <c r="I640" s="120">
        <f>IF(E630&lt;&gt;0,K640/E630, 0)</f>
        <v>18235.000000000004</v>
      </c>
      <c r="J640" s="120"/>
      <c r="K640" s="120">
        <f>L632+L638+L639+L633</f>
        <v>547.05000000000007</v>
      </c>
      <c r="L640" s="120"/>
      <c r="AD640">
        <f>ROUND((Source!AT185/100)*((ROUND(SUMIF(SmtRes!AQ169:'SmtRes'!AQ170,"=1",SmtRes!AD169:'SmtRes'!AD170)*Source!I185, 2)+ROUND(SUMIF(SmtRes!AQ169:'SmtRes'!AQ170,"=1",SmtRes!AC169:'SmtRes'!AC170)*Source!I185, 2))), 2)</f>
        <v>12.7</v>
      </c>
      <c r="AE640">
        <f>ROUND((Source!AU185/100)*((ROUND(SUMIF(SmtRes!AQ169:'SmtRes'!AQ170,"=1",SmtRes!AD169:'SmtRes'!AD170)*Source!I185, 2)+ROUND(SUMIF(SmtRes!AQ169:'SmtRes'!AQ170,"=1",SmtRes!AC169:'SmtRes'!AC170)*Source!I185, 2))), 2)</f>
        <v>6.35</v>
      </c>
      <c r="AN640" s="22">
        <f>L632+L638+L639+L633</f>
        <v>547.05000000000007</v>
      </c>
      <c r="AO640" s="22">
        <f>L632</f>
        <v>282.35000000000008</v>
      </c>
      <c r="AQ640" t="s">
        <v>897</v>
      </c>
      <c r="AR640">
        <f>0</f>
        <v>0</v>
      </c>
      <c r="AT640" s="22">
        <f>L633</f>
        <v>111.22</v>
      </c>
      <c r="AV640" t="s">
        <v>897</v>
      </c>
      <c r="AW640">
        <f>0</f>
        <v>0</v>
      </c>
      <c r="AZ640">
        <f>Source!X185</f>
        <v>102.32</v>
      </c>
      <c r="BA640">
        <f>Source!Y185</f>
        <v>51.16</v>
      </c>
      <c r="CD640">
        <v>1</v>
      </c>
    </row>
    <row r="641" spans="1:83" ht="149.25" x14ac:dyDescent="0.2">
      <c r="A641" s="72" t="s">
        <v>319</v>
      </c>
      <c r="B641" s="62" t="s">
        <v>972</v>
      </c>
      <c r="C641" s="62" t="s">
        <v>1045</v>
      </c>
      <c r="D641" s="73" t="str">
        <f>Source!H186</f>
        <v>м</v>
      </c>
      <c r="E641" s="74">
        <f>Source!K186</f>
        <v>21</v>
      </c>
      <c r="F641" s="74"/>
      <c r="G641" s="74">
        <f>Source!I186</f>
        <v>21</v>
      </c>
      <c r="H641" s="75"/>
      <c r="I641" s="73"/>
      <c r="J641" s="75"/>
      <c r="K641" s="73"/>
      <c r="L641" s="75"/>
    </row>
    <row r="642" spans="1:83" x14ac:dyDescent="0.2">
      <c r="A642" s="76"/>
      <c r="B642" s="74">
        <v>1</v>
      </c>
      <c r="C642" s="76" t="s">
        <v>899</v>
      </c>
      <c r="D642" s="73" t="s">
        <v>484</v>
      </c>
      <c r="E642" s="77"/>
      <c r="F642" s="74"/>
      <c r="G642" s="74">
        <f>Source!U186</f>
        <v>10.395</v>
      </c>
      <c r="H642" s="74"/>
      <c r="I642" s="74"/>
      <c r="J642" s="74"/>
      <c r="K642" s="74"/>
      <c r="L642" s="78">
        <f>SUM(L643:L643)-SUMIF(CE643:CE643, 1, L643:L643)</f>
        <v>4719.43</v>
      </c>
    </row>
    <row r="643" spans="1:83" x14ac:dyDescent="0.2">
      <c r="A643" s="62"/>
      <c r="B643" s="62" t="s">
        <v>711</v>
      </c>
      <c r="C643" s="62" t="s">
        <v>712</v>
      </c>
      <c r="D643" s="73" t="s">
        <v>484</v>
      </c>
      <c r="E643" s="74">
        <v>0.99</v>
      </c>
      <c r="F643" s="74">
        <f>ROUND(0.5,7)</f>
        <v>0.5</v>
      </c>
      <c r="G643" s="74">
        <f>SmtRes!CX171</f>
        <v>10.395</v>
      </c>
      <c r="H643" s="75"/>
      <c r="I643" s="73"/>
      <c r="J643" s="75">
        <f>SmtRes!CZ171</f>
        <v>454.01</v>
      </c>
      <c r="K643" s="73"/>
      <c r="L643" s="75">
        <f>SmtRes!DI171</f>
        <v>4719.43</v>
      </c>
    </row>
    <row r="644" spans="1:83" x14ac:dyDescent="0.2">
      <c r="A644" s="76"/>
      <c r="B644" s="74">
        <v>2</v>
      </c>
      <c r="C644" s="76" t="s">
        <v>890</v>
      </c>
      <c r="D644" s="73"/>
      <c r="E644" s="77"/>
      <c r="F644" s="74"/>
      <c r="G644" s="74"/>
      <c r="H644" s="74"/>
      <c r="I644" s="74"/>
      <c r="J644" s="74"/>
      <c r="K644" s="74"/>
      <c r="L644" s="78">
        <f>SUM(L645:L658)-SUMIF(CE645:CE658, 1, L645:L658)</f>
        <v>22483.289999999994</v>
      </c>
    </row>
    <row r="645" spans="1:83" x14ac:dyDescent="0.2">
      <c r="A645" s="76"/>
      <c r="B645" s="74"/>
      <c r="C645" s="76" t="s">
        <v>892</v>
      </c>
      <c r="D645" s="73" t="s">
        <v>484</v>
      </c>
      <c r="E645" s="77"/>
      <c r="F645" s="74"/>
      <c r="G645" s="74">
        <f>Source!V186</f>
        <v>11.980500000000001</v>
      </c>
      <c r="H645" s="74"/>
      <c r="I645" s="74"/>
      <c r="J645" s="74"/>
      <c r="K645" s="74"/>
      <c r="L645" s="78">
        <f>SUMIF(CE646:CE658, 1, L646:L658)</f>
        <v>5888.5899999999992</v>
      </c>
      <c r="CE645">
        <v>1</v>
      </c>
    </row>
    <row r="646" spans="1:83" ht="38.25" x14ac:dyDescent="0.2">
      <c r="A646" s="62"/>
      <c r="B646" s="62" t="s">
        <v>713</v>
      </c>
      <c r="C646" s="62" t="s">
        <v>715</v>
      </c>
      <c r="D646" s="73" t="s">
        <v>488</v>
      </c>
      <c r="E646" s="74">
        <v>0.46</v>
      </c>
      <c r="F646" s="74">
        <f t="shared" ref="F646:F658" si="3">ROUND(0.5,7)</f>
        <v>0.5</v>
      </c>
      <c r="G646" s="74">
        <f>SmtRes!CX173</f>
        <v>4.83</v>
      </c>
      <c r="H646" s="75">
        <f>SmtRes!CZ173</f>
        <v>1503.9</v>
      </c>
      <c r="I646" s="73">
        <f>SmtRes!AJ173</f>
        <v>1.4</v>
      </c>
      <c r="J646" s="75">
        <f>ROUND(H646*I646, 2)</f>
        <v>2105.46</v>
      </c>
      <c r="K646" s="73"/>
      <c r="L646" s="75">
        <f>SmtRes!DG173</f>
        <v>10169.370000000001</v>
      </c>
    </row>
    <row r="647" spans="1:83" x14ac:dyDescent="0.2">
      <c r="A647" s="62"/>
      <c r="B647" s="62" t="s">
        <v>489</v>
      </c>
      <c r="C647" s="62" t="s">
        <v>891</v>
      </c>
      <c r="D647" s="73" t="s">
        <v>484</v>
      </c>
      <c r="E647" s="74">
        <f>SmtRes!DO173*SmtRes!AT173</f>
        <v>0.46</v>
      </c>
      <c r="F647" s="74">
        <f t="shared" si="3"/>
        <v>0.5</v>
      </c>
      <c r="G647" s="74">
        <f>ROUND(E647*F647*G641, 7)</f>
        <v>4.83</v>
      </c>
      <c r="H647" s="75"/>
      <c r="I647" s="73"/>
      <c r="J647" s="75">
        <f>ROUND(SmtRes!AG173/SmtRes!DO173, 2)</f>
        <v>537.64</v>
      </c>
      <c r="K647" s="73"/>
      <c r="L647" s="75">
        <f>SmtRes!DH173</f>
        <v>2596.8000000000002</v>
      </c>
      <c r="CE647">
        <v>1</v>
      </c>
    </row>
    <row r="648" spans="1:83" ht="25.5" x14ac:dyDescent="0.2">
      <c r="A648" s="62"/>
      <c r="B648" s="62" t="s">
        <v>636</v>
      </c>
      <c r="C648" s="62" t="s">
        <v>638</v>
      </c>
      <c r="D648" s="73" t="s">
        <v>488</v>
      </c>
      <c r="E648" s="74">
        <v>1E-3</v>
      </c>
      <c r="F648" s="74">
        <f t="shared" si="3"/>
        <v>0.5</v>
      </c>
      <c r="G648" s="74">
        <f>SmtRes!CX174</f>
        <v>1.0500000000000001E-2</v>
      </c>
      <c r="H648" s="75"/>
      <c r="I648" s="73"/>
      <c r="J648" s="75">
        <f>SmtRes!CZ174</f>
        <v>1836.16</v>
      </c>
      <c r="K648" s="73"/>
      <c r="L648" s="75">
        <f>SmtRes!DG174</f>
        <v>19.28</v>
      </c>
    </row>
    <row r="649" spans="1:83" x14ac:dyDescent="0.2">
      <c r="A649" s="62"/>
      <c r="B649" s="62" t="s">
        <v>489</v>
      </c>
      <c r="C649" s="62" t="s">
        <v>891</v>
      </c>
      <c r="D649" s="73" t="s">
        <v>484</v>
      </c>
      <c r="E649" s="74">
        <f>SmtRes!DO174*SmtRes!AT174</f>
        <v>1E-3</v>
      </c>
      <c r="F649" s="74">
        <f t="shared" si="3"/>
        <v>0.5</v>
      </c>
      <c r="G649" s="74">
        <f>ROUND(E649*F649*G641, 7)</f>
        <v>1.0500000000000001E-2</v>
      </c>
      <c r="H649" s="75"/>
      <c r="I649" s="73"/>
      <c r="J649" s="75">
        <f>ROUND(SmtRes!AG174/SmtRes!DO174, 2)</f>
        <v>537.64</v>
      </c>
      <c r="K649" s="73"/>
      <c r="L649" s="75">
        <f>SmtRes!DH174</f>
        <v>5.65</v>
      </c>
      <c r="CE649">
        <v>1</v>
      </c>
    </row>
    <row r="650" spans="1:83" ht="25.5" x14ac:dyDescent="0.2">
      <c r="A650" s="62"/>
      <c r="B650" s="62" t="s">
        <v>716</v>
      </c>
      <c r="C650" s="62" t="s">
        <v>718</v>
      </c>
      <c r="D650" s="73" t="s">
        <v>488</v>
      </c>
      <c r="E650" s="74">
        <v>0.46</v>
      </c>
      <c r="F650" s="74">
        <f t="shared" si="3"/>
        <v>0.5</v>
      </c>
      <c r="G650" s="74">
        <f>SmtRes!CX175</f>
        <v>4.83</v>
      </c>
      <c r="H650" s="75">
        <f>SmtRes!CZ175</f>
        <v>1459.28</v>
      </c>
      <c r="I650" s="73">
        <f>SmtRes!AJ175</f>
        <v>1.35</v>
      </c>
      <c r="J650" s="75">
        <f>ROUND(H650*I650, 2)</f>
        <v>1970.03</v>
      </c>
      <c r="K650" s="73"/>
      <c r="L650" s="75">
        <f>SmtRes!DG175</f>
        <v>9515.24</v>
      </c>
    </row>
    <row r="651" spans="1:83" x14ac:dyDescent="0.2">
      <c r="A651" s="62"/>
      <c r="B651" s="62" t="s">
        <v>497</v>
      </c>
      <c r="C651" s="62" t="s">
        <v>903</v>
      </c>
      <c r="D651" s="73" t="s">
        <v>484</v>
      </c>
      <c r="E651" s="74">
        <f>SmtRes!DO175*SmtRes!AT175</f>
        <v>0.46</v>
      </c>
      <c r="F651" s="74">
        <f t="shared" si="3"/>
        <v>0.5</v>
      </c>
      <c r="G651" s="74">
        <f>ROUND(E651*F651*G641, 7)</f>
        <v>4.83</v>
      </c>
      <c r="H651" s="75"/>
      <c r="I651" s="73"/>
      <c r="J651" s="75">
        <f>ROUND(SmtRes!AG175/SmtRes!DO175, 2)</f>
        <v>459.98</v>
      </c>
      <c r="K651" s="73"/>
      <c r="L651" s="75">
        <f>SmtRes!DH175</f>
        <v>2221.6999999999998</v>
      </c>
      <c r="CE651">
        <v>1</v>
      </c>
    </row>
    <row r="652" spans="1:83" ht="25.5" x14ac:dyDescent="0.2">
      <c r="A652" s="62"/>
      <c r="B652" s="62" t="s">
        <v>505</v>
      </c>
      <c r="C652" s="62" t="s">
        <v>507</v>
      </c>
      <c r="D652" s="73" t="s">
        <v>488</v>
      </c>
      <c r="E652" s="74">
        <v>0.2</v>
      </c>
      <c r="F652" s="74">
        <f t="shared" si="3"/>
        <v>0.5</v>
      </c>
      <c r="G652" s="74">
        <f>SmtRes!CX176</f>
        <v>2.1</v>
      </c>
      <c r="H652" s="75">
        <f>SmtRes!CZ176</f>
        <v>994.01</v>
      </c>
      <c r="I652" s="73">
        <f>SmtRes!AJ176</f>
        <v>1.18</v>
      </c>
      <c r="J652" s="75">
        <f>ROUND(H652*I652, 2)</f>
        <v>1172.93</v>
      </c>
      <c r="K652" s="73"/>
      <c r="L652" s="75">
        <f>SmtRes!DG176</f>
        <v>2463.15</v>
      </c>
    </row>
    <row r="653" spans="1:83" x14ac:dyDescent="0.2">
      <c r="A653" s="62"/>
      <c r="B653" s="62" t="s">
        <v>497</v>
      </c>
      <c r="C653" s="62" t="s">
        <v>903</v>
      </c>
      <c r="D653" s="73" t="s">
        <v>484</v>
      </c>
      <c r="E653" s="74">
        <f>SmtRes!DO176*SmtRes!AT176</f>
        <v>0.2</v>
      </c>
      <c r="F653" s="74">
        <f t="shared" si="3"/>
        <v>0.5</v>
      </c>
      <c r="G653" s="74">
        <f>ROUND(E653*F653*G641, 7)</f>
        <v>2.1</v>
      </c>
      <c r="H653" s="75"/>
      <c r="I653" s="73"/>
      <c r="J653" s="75">
        <f>ROUND(SmtRes!AG176/SmtRes!DO176, 2)</f>
        <v>459.98</v>
      </c>
      <c r="K653" s="73"/>
      <c r="L653" s="75">
        <f>SmtRes!DH176</f>
        <v>965.96</v>
      </c>
      <c r="CE653">
        <v>1</v>
      </c>
    </row>
    <row r="654" spans="1:83" x14ac:dyDescent="0.2">
      <c r="A654" s="62"/>
      <c r="B654" s="62" t="s">
        <v>719</v>
      </c>
      <c r="C654" s="62" t="s">
        <v>721</v>
      </c>
      <c r="D654" s="73" t="s">
        <v>488</v>
      </c>
      <c r="E654" s="74">
        <v>0.01</v>
      </c>
      <c r="F654" s="74">
        <f t="shared" si="3"/>
        <v>0.5</v>
      </c>
      <c r="G654" s="74">
        <f>SmtRes!CX177</f>
        <v>0.105</v>
      </c>
      <c r="H654" s="75"/>
      <c r="I654" s="73"/>
      <c r="J654" s="75">
        <f>SmtRes!CZ177</f>
        <v>1478.45</v>
      </c>
      <c r="K654" s="73"/>
      <c r="L654" s="75">
        <f>SmtRes!DG177</f>
        <v>155.24</v>
      </c>
    </row>
    <row r="655" spans="1:83" x14ac:dyDescent="0.2">
      <c r="A655" s="62"/>
      <c r="B655" s="62" t="s">
        <v>514</v>
      </c>
      <c r="C655" s="62" t="s">
        <v>936</v>
      </c>
      <c r="D655" s="73" t="s">
        <v>484</v>
      </c>
      <c r="E655" s="74">
        <f>SmtRes!DO177*SmtRes!AT177</f>
        <v>0.01</v>
      </c>
      <c r="F655" s="74">
        <f t="shared" si="3"/>
        <v>0.5</v>
      </c>
      <c r="G655" s="74">
        <f>ROUND(E655*F655*G641, 7)</f>
        <v>0.105</v>
      </c>
      <c r="H655" s="75"/>
      <c r="I655" s="73"/>
      <c r="J655" s="75">
        <f>ROUND(SmtRes!AG177/SmtRes!DO177, 2)</f>
        <v>400.24</v>
      </c>
      <c r="K655" s="73"/>
      <c r="L655" s="75">
        <f>SmtRes!DH177</f>
        <v>42.03</v>
      </c>
      <c r="CE655">
        <v>1</v>
      </c>
    </row>
    <row r="656" spans="1:83" ht="25.5" x14ac:dyDescent="0.2">
      <c r="A656" s="62"/>
      <c r="B656" s="62" t="s">
        <v>722</v>
      </c>
      <c r="C656" s="62" t="s">
        <v>724</v>
      </c>
      <c r="D656" s="73" t="s">
        <v>488</v>
      </c>
      <c r="E656" s="74">
        <v>0.01</v>
      </c>
      <c r="F656" s="74">
        <f t="shared" si="3"/>
        <v>0.5</v>
      </c>
      <c r="G656" s="74">
        <f>SmtRes!CX178</f>
        <v>0.105</v>
      </c>
      <c r="H656" s="75">
        <f>SmtRes!CZ178</f>
        <v>1002.48</v>
      </c>
      <c r="I656" s="73">
        <f>SmtRes!AJ178</f>
        <v>1.48</v>
      </c>
      <c r="J656" s="75">
        <f>ROUND(H656*I656, 2)</f>
        <v>1483.67</v>
      </c>
      <c r="K656" s="73"/>
      <c r="L656" s="75">
        <f>SmtRes!DG178</f>
        <v>155.79</v>
      </c>
    </row>
    <row r="657" spans="1:83" x14ac:dyDescent="0.2">
      <c r="A657" s="62"/>
      <c r="B657" s="62" t="s">
        <v>489</v>
      </c>
      <c r="C657" s="62" t="s">
        <v>891</v>
      </c>
      <c r="D657" s="73" t="s">
        <v>484</v>
      </c>
      <c r="E657" s="74">
        <f>SmtRes!DO178*SmtRes!AT178</f>
        <v>0.01</v>
      </c>
      <c r="F657" s="74">
        <f t="shared" si="3"/>
        <v>0.5</v>
      </c>
      <c r="G657" s="74">
        <f>ROUND(E657*F657*G641, 7)</f>
        <v>0.105</v>
      </c>
      <c r="H657" s="75"/>
      <c r="I657" s="73"/>
      <c r="J657" s="75">
        <f>ROUND(SmtRes!AG178/SmtRes!DO178, 2)</f>
        <v>537.64</v>
      </c>
      <c r="K657" s="73"/>
      <c r="L657" s="75">
        <f>SmtRes!DH178</f>
        <v>56.45</v>
      </c>
      <c r="CE657">
        <v>1</v>
      </c>
    </row>
    <row r="658" spans="1:83" ht="38.25" x14ac:dyDescent="0.2">
      <c r="A658" s="62"/>
      <c r="B658" s="62" t="s">
        <v>725</v>
      </c>
      <c r="C658" s="62" t="s">
        <v>727</v>
      </c>
      <c r="D658" s="73" t="s">
        <v>488</v>
      </c>
      <c r="E658" s="74">
        <v>0.01</v>
      </c>
      <c r="F658" s="74">
        <f t="shared" si="3"/>
        <v>0.5</v>
      </c>
      <c r="G658" s="74">
        <f>SmtRes!CX179</f>
        <v>0.105</v>
      </c>
      <c r="H658" s="75"/>
      <c r="I658" s="73"/>
      <c r="J658" s="75">
        <f>SmtRes!CZ179</f>
        <v>49.76</v>
      </c>
      <c r="K658" s="73"/>
      <c r="L658" s="75">
        <f>SmtRes!DG179</f>
        <v>5.22</v>
      </c>
    </row>
    <row r="659" spans="1:83" x14ac:dyDescent="0.2">
      <c r="A659" s="76"/>
      <c r="B659" s="74">
        <v>4</v>
      </c>
      <c r="C659" s="76" t="s">
        <v>937</v>
      </c>
      <c r="D659" s="73"/>
      <c r="E659" s="77"/>
      <c r="F659" s="74"/>
      <c r="G659" s="74"/>
      <c r="H659" s="74"/>
      <c r="I659" s="74"/>
      <c r="J659" s="74"/>
      <c r="K659" s="74"/>
      <c r="L659" s="78">
        <f>SUM(L660:L662)-SUMIF(CE660:CE662, 1, L660:L662)</f>
        <v>395.48</v>
      </c>
    </row>
    <row r="660" spans="1:83" x14ac:dyDescent="0.2">
      <c r="A660" s="62"/>
      <c r="B660" s="62" t="s">
        <v>728</v>
      </c>
      <c r="C660" s="62" t="s">
        <v>730</v>
      </c>
      <c r="D660" s="73" t="s">
        <v>314</v>
      </c>
      <c r="E660" s="74">
        <v>3.56E-2</v>
      </c>
      <c r="F660" s="74">
        <f>ROUND(0.5,7)</f>
        <v>0.5</v>
      </c>
      <c r="G660" s="74">
        <f>SmtRes!CX180</f>
        <v>0.37380000000000002</v>
      </c>
      <c r="H660" s="75">
        <f>SmtRes!CZ180</f>
        <v>496.41</v>
      </c>
      <c r="I660" s="73">
        <f>SmtRes!AI180</f>
        <v>1.55</v>
      </c>
      <c r="J660" s="75">
        <f>ROUND(H660*I660, 2)</f>
        <v>769.44</v>
      </c>
      <c r="K660" s="73"/>
      <c r="L660" s="75">
        <f>SmtRes!DF180</f>
        <v>287.62</v>
      </c>
    </row>
    <row r="661" spans="1:83" ht="25.5" x14ac:dyDescent="0.2">
      <c r="A661" s="62"/>
      <c r="B661" s="62" t="s">
        <v>731</v>
      </c>
      <c r="C661" s="62" t="s">
        <v>733</v>
      </c>
      <c r="D661" s="73" t="s">
        <v>243</v>
      </c>
      <c r="E661" s="74">
        <v>1.1E-4</v>
      </c>
      <c r="F661" s="74">
        <f>ROUND(0.5,7)</f>
        <v>0.5</v>
      </c>
      <c r="G661" s="74">
        <f>SmtRes!CX181</f>
        <v>1.155E-3</v>
      </c>
      <c r="H661" s="75">
        <f>SmtRes!CZ181</f>
        <v>30083.51</v>
      </c>
      <c r="I661" s="73">
        <f>SmtRes!AI181</f>
        <v>1.68</v>
      </c>
      <c r="J661" s="75">
        <f>ROUND(H661*I661, 2)</f>
        <v>50540.3</v>
      </c>
      <c r="K661" s="73"/>
      <c r="L661" s="75">
        <f>SmtRes!DF181</f>
        <v>58.37</v>
      </c>
    </row>
    <row r="662" spans="1:83" x14ac:dyDescent="0.2">
      <c r="A662" s="62"/>
      <c r="B662" s="62" t="s">
        <v>627</v>
      </c>
      <c r="C662" s="62" t="s">
        <v>629</v>
      </c>
      <c r="D662" s="73" t="s">
        <v>48</v>
      </c>
      <c r="E662" s="74">
        <v>0.15</v>
      </c>
      <c r="F662" s="74">
        <f>ROUND(0.5,7)</f>
        <v>0.5</v>
      </c>
      <c r="G662" s="74">
        <f>SmtRes!CX182</f>
        <v>1.575</v>
      </c>
      <c r="H662" s="75">
        <f>SmtRes!CZ182</f>
        <v>35.71</v>
      </c>
      <c r="I662" s="73">
        <f>SmtRes!AI182</f>
        <v>0.88</v>
      </c>
      <c r="J662" s="75">
        <f>ROUND(H662*I662, 2)</f>
        <v>31.42</v>
      </c>
      <c r="K662" s="73"/>
      <c r="L662" s="75">
        <f>SmtRes!DF182</f>
        <v>49.49</v>
      </c>
    </row>
    <row r="663" spans="1:83" x14ac:dyDescent="0.2">
      <c r="A663" s="62"/>
      <c r="B663" s="62"/>
      <c r="C663" s="62"/>
      <c r="D663" s="73"/>
      <c r="E663" s="74"/>
      <c r="F663" s="74"/>
      <c r="G663" s="74"/>
      <c r="H663" s="75"/>
      <c r="I663" s="73"/>
      <c r="J663" s="75"/>
      <c r="K663" s="73"/>
      <c r="L663" s="75"/>
    </row>
    <row r="664" spans="1:83" x14ac:dyDescent="0.2">
      <c r="A664" s="62"/>
      <c r="B664" s="62"/>
      <c r="C664" s="79"/>
      <c r="D664" s="80"/>
      <c r="E664" s="81"/>
      <c r="F664" s="81"/>
      <c r="G664" s="81"/>
      <c r="H664" s="82"/>
      <c r="I664" s="80"/>
      <c r="J664" s="82"/>
      <c r="K664" s="80"/>
      <c r="L664" s="82"/>
    </row>
    <row r="665" spans="1:83" x14ac:dyDescent="0.2">
      <c r="A665" s="62"/>
      <c r="B665" s="62"/>
      <c r="C665" s="61" t="s">
        <v>394</v>
      </c>
      <c r="D665" s="73"/>
      <c r="E665" s="74"/>
      <c r="F665" s="74"/>
      <c r="G665" s="74"/>
      <c r="H665" s="75"/>
      <c r="I665" s="73"/>
      <c r="J665" s="75"/>
      <c r="K665" s="73"/>
      <c r="L665" s="75">
        <f>L642+L644+L645+L659</f>
        <v>33486.789999999994</v>
      </c>
    </row>
    <row r="666" spans="1:83" x14ac:dyDescent="0.2">
      <c r="A666" s="62"/>
      <c r="B666" s="62"/>
      <c r="C666" s="62" t="s">
        <v>893</v>
      </c>
      <c r="D666" s="73"/>
      <c r="E666" s="74"/>
      <c r="F666" s="74"/>
      <c r="G666" s="74"/>
      <c r="H666" s="75"/>
      <c r="I666" s="73"/>
      <c r="J666" s="75"/>
      <c r="K666" s="73"/>
      <c r="L666" s="75">
        <f>SUM(AR641:AR669)+SUM(AS641:AS669)+SUM(AT641:AT669)+SUM(AU641:AU669)+SUM(AV641:AV669)</f>
        <v>10608.02</v>
      </c>
    </row>
    <row r="667" spans="1:83" x14ac:dyDescent="0.2">
      <c r="A667" s="62"/>
      <c r="B667" s="62" t="s">
        <v>326</v>
      </c>
      <c r="C667" s="62" t="s">
        <v>973</v>
      </c>
      <c r="D667" s="73" t="s">
        <v>194</v>
      </c>
      <c r="E667" s="74">
        <f>Source!BZ186</f>
        <v>106</v>
      </c>
      <c r="F667" s="74"/>
      <c r="G667" s="74">
        <f>Source!AT186</f>
        <v>106</v>
      </c>
      <c r="H667" s="75"/>
      <c r="I667" s="73"/>
      <c r="J667" s="75"/>
      <c r="K667" s="73"/>
      <c r="L667" s="75">
        <f>SUM(AZ641:AZ669)</f>
        <v>11244.5</v>
      </c>
    </row>
    <row r="668" spans="1:83" x14ac:dyDescent="0.2">
      <c r="A668" s="79"/>
      <c r="B668" s="79" t="s">
        <v>327</v>
      </c>
      <c r="C668" s="79" t="s">
        <v>974</v>
      </c>
      <c r="D668" s="80" t="s">
        <v>194</v>
      </c>
      <c r="E668" s="81">
        <f>Source!CA186</f>
        <v>45</v>
      </c>
      <c r="F668" s="81"/>
      <c r="G668" s="81">
        <f>Source!AU186</f>
        <v>45</v>
      </c>
      <c r="H668" s="82"/>
      <c r="I668" s="80"/>
      <c r="J668" s="82"/>
      <c r="K668" s="80"/>
      <c r="L668" s="82">
        <f>SUM(BA641:BA669)</f>
        <v>4773.6099999999997</v>
      </c>
    </row>
    <row r="669" spans="1:83" x14ac:dyDescent="0.2">
      <c r="A669" s="43"/>
      <c r="B669" s="43"/>
      <c r="C669" s="119" t="s">
        <v>896</v>
      </c>
      <c r="D669" s="119"/>
      <c r="E669" s="119"/>
      <c r="F669" s="119"/>
      <c r="G669" s="119"/>
      <c r="H669" s="119"/>
      <c r="I669" s="120">
        <f>IF(E641&lt;&gt;0,K669/E641, 0)</f>
        <v>2357.37619047619</v>
      </c>
      <c r="J669" s="120"/>
      <c r="K669" s="120">
        <f>L642+L644+L659+L667+L668+L645</f>
        <v>49504.899999999994</v>
      </c>
      <c r="L669" s="120"/>
      <c r="AD669">
        <f>ROUND((Source!AT186/100)*((ROUND(SUMIF(SmtRes!AQ171:'SmtRes'!AQ182,"=1",SmtRes!AD171:'SmtRes'!AD182)*Source!I186, 2)+ROUND(SUMIF(SmtRes!AQ171:'SmtRes'!AQ182,"=1",SmtRes!AC171:'SmtRes'!AC182)*Source!I186, 2))), 2)</f>
        <v>75397.509999999995</v>
      </c>
      <c r="AE669">
        <f>ROUND((Source!AU186/100)*((ROUND(SUMIF(SmtRes!AQ171:'SmtRes'!AQ182,"=1",SmtRes!AD171:'SmtRes'!AD182)*Source!I186, 2)+ROUND(SUMIF(SmtRes!AQ171:'SmtRes'!AQ182,"=1",SmtRes!AC171:'SmtRes'!AC182)*Source!I186, 2))), 2)</f>
        <v>32008.38</v>
      </c>
      <c r="AN669" s="22">
        <f>L642+L644+L659+L667+L668+L645</f>
        <v>49504.899999999994</v>
      </c>
      <c r="AO669" s="22">
        <f>L644</f>
        <v>22483.289999999994</v>
      </c>
      <c r="AQ669" t="s">
        <v>897</v>
      </c>
      <c r="AR669" s="22">
        <f>L642</f>
        <v>4719.43</v>
      </c>
      <c r="AT669" s="22">
        <f>L645</f>
        <v>5888.5899999999992</v>
      </c>
      <c r="AV669" t="s">
        <v>897</v>
      </c>
      <c r="AW669" s="22">
        <f>L659</f>
        <v>395.48</v>
      </c>
      <c r="AZ669">
        <f>Source!X186</f>
        <v>11244.5</v>
      </c>
      <c r="BA669">
        <f>Source!Y186</f>
        <v>4773.6099999999997</v>
      </c>
      <c r="CD669">
        <v>1</v>
      </c>
    </row>
    <row r="670" spans="1:83" ht="38.25" x14ac:dyDescent="0.2">
      <c r="A670" s="72" t="s">
        <v>328</v>
      </c>
      <c r="B670" s="62" t="s">
        <v>975</v>
      </c>
      <c r="C670" s="62" t="str">
        <f>Source!G187</f>
        <v>Укладка футляра из  полиэтиленовых труб газопроводов в траншею, диаметр газопровода: свыше 110 до 225 мм</v>
      </c>
      <c r="D670" s="73" t="str">
        <f>Source!H187</f>
        <v>100 м</v>
      </c>
      <c r="E670" s="74">
        <f>Source!K187</f>
        <v>0.21</v>
      </c>
      <c r="F670" s="74"/>
      <c r="G670" s="74">
        <f>Source!I187</f>
        <v>0.21</v>
      </c>
      <c r="H670" s="75"/>
      <c r="I670" s="73"/>
      <c r="J670" s="75"/>
      <c r="K670" s="73"/>
      <c r="L670" s="75"/>
    </row>
    <row r="671" spans="1:83" x14ac:dyDescent="0.2">
      <c r="A671" s="43"/>
      <c r="B671" s="43"/>
      <c r="C671" s="60" t="str">
        <f>"Объем: "&amp;Source!I187&amp;"=21/"&amp;"100"</f>
        <v>Объем: 0,21=21/100</v>
      </c>
      <c r="D671" s="43"/>
      <c r="E671" s="43"/>
      <c r="F671" s="43"/>
      <c r="G671" s="43"/>
      <c r="H671" s="43"/>
      <c r="I671" s="43"/>
      <c r="J671" s="43"/>
      <c r="K671" s="43"/>
      <c r="L671" s="43"/>
    </row>
    <row r="672" spans="1:83" x14ac:dyDescent="0.2">
      <c r="A672" s="76"/>
      <c r="B672" s="74">
        <v>1</v>
      </c>
      <c r="C672" s="76" t="s">
        <v>899</v>
      </c>
      <c r="D672" s="73" t="s">
        <v>484</v>
      </c>
      <c r="E672" s="77"/>
      <c r="F672" s="74"/>
      <c r="G672" s="74">
        <f>Source!U187</f>
        <v>0.4788</v>
      </c>
      <c r="H672" s="74"/>
      <c r="I672" s="74"/>
      <c r="J672" s="74"/>
      <c r="K672" s="74"/>
      <c r="L672" s="78">
        <f>SUM(L673:L673)-SUMIF(CE673:CE673, 1, L673:L673)</f>
        <v>176.62</v>
      </c>
    </row>
    <row r="673" spans="1:83" x14ac:dyDescent="0.2">
      <c r="A673" s="62"/>
      <c r="B673" s="62" t="s">
        <v>634</v>
      </c>
      <c r="C673" s="62" t="s">
        <v>635</v>
      </c>
      <c r="D673" s="73" t="s">
        <v>484</v>
      </c>
      <c r="E673" s="74">
        <v>2.2799999999999998</v>
      </c>
      <c r="F673" s="74"/>
      <c r="G673" s="74">
        <f>SmtRes!CX183</f>
        <v>0.4788</v>
      </c>
      <c r="H673" s="75"/>
      <c r="I673" s="73"/>
      <c r="J673" s="75">
        <f>SmtRes!CZ183</f>
        <v>368.88</v>
      </c>
      <c r="K673" s="73"/>
      <c r="L673" s="75">
        <f>SmtRes!DI183</f>
        <v>176.62</v>
      </c>
    </row>
    <row r="674" spans="1:83" x14ac:dyDescent="0.2">
      <c r="A674" s="76"/>
      <c r="B674" s="74">
        <v>2</v>
      </c>
      <c r="C674" s="76" t="s">
        <v>890</v>
      </c>
      <c r="D674" s="73"/>
      <c r="E674" s="77"/>
      <c r="F674" s="74"/>
      <c r="G674" s="74"/>
      <c r="H674" s="74"/>
      <c r="I674" s="74"/>
      <c r="J674" s="74"/>
      <c r="K674" s="74"/>
      <c r="L674" s="78">
        <f>SUM(L675:L677)-SUMIF(CE675:CE677, 1, L675:L677)</f>
        <v>182.27</v>
      </c>
    </row>
    <row r="675" spans="1:83" x14ac:dyDescent="0.2">
      <c r="A675" s="76"/>
      <c r="B675" s="74"/>
      <c r="C675" s="76" t="s">
        <v>892</v>
      </c>
      <c r="D675" s="73" t="s">
        <v>484</v>
      </c>
      <c r="E675" s="77"/>
      <c r="F675" s="74"/>
      <c r="G675" s="74">
        <f>Source!V187</f>
        <v>0.15540000000000001</v>
      </c>
      <c r="H675" s="74"/>
      <c r="I675" s="74"/>
      <c r="J675" s="74"/>
      <c r="K675" s="74"/>
      <c r="L675" s="78">
        <f>SUMIF(CE676:CE677, 1, L676:L677)</f>
        <v>71.48</v>
      </c>
      <c r="CE675">
        <v>1</v>
      </c>
    </row>
    <row r="676" spans="1:83" ht="25.5" x14ac:dyDescent="0.2">
      <c r="A676" s="62"/>
      <c r="B676" s="62" t="s">
        <v>505</v>
      </c>
      <c r="C676" s="62" t="s">
        <v>507</v>
      </c>
      <c r="D676" s="73" t="s">
        <v>488</v>
      </c>
      <c r="E676" s="74">
        <v>0.74</v>
      </c>
      <c r="F676" s="74"/>
      <c r="G676" s="74">
        <f>SmtRes!CX185</f>
        <v>0.15540000000000001</v>
      </c>
      <c r="H676" s="75">
        <f>SmtRes!CZ185</f>
        <v>994.01</v>
      </c>
      <c r="I676" s="73">
        <f>SmtRes!AJ185</f>
        <v>1.18</v>
      </c>
      <c r="J676" s="75">
        <f>ROUND(H676*I676, 2)</f>
        <v>1172.93</v>
      </c>
      <c r="K676" s="73"/>
      <c r="L676" s="75">
        <f>SmtRes!DG185</f>
        <v>182.27</v>
      </c>
    </row>
    <row r="677" spans="1:83" x14ac:dyDescent="0.2">
      <c r="A677" s="62"/>
      <c r="B677" s="62" t="s">
        <v>497</v>
      </c>
      <c r="C677" s="62" t="s">
        <v>903</v>
      </c>
      <c r="D677" s="73" t="s">
        <v>484</v>
      </c>
      <c r="E677" s="74">
        <f>SmtRes!DO185*SmtRes!AT185</f>
        <v>0.74</v>
      </c>
      <c r="F677" s="74"/>
      <c r="G677" s="74">
        <f>ROUND(E677*G670, 7)</f>
        <v>0.15540000000000001</v>
      </c>
      <c r="H677" s="75"/>
      <c r="I677" s="73"/>
      <c r="J677" s="75">
        <f>ROUND(SmtRes!AG185/SmtRes!DO185, 2)</f>
        <v>459.98</v>
      </c>
      <c r="K677" s="73"/>
      <c r="L677" s="75">
        <f>SmtRes!DH185</f>
        <v>71.48</v>
      </c>
      <c r="CE677">
        <v>1</v>
      </c>
    </row>
    <row r="678" spans="1:83" x14ac:dyDescent="0.2">
      <c r="A678" s="62"/>
      <c r="B678" s="62" t="str">
        <f>EtalonRes!I204</f>
        <v>24.3.03.11</v>
      </c>
      <c r="C678" s="79" t="str">
        <f>EtalonRes!K204</f>
        <v>Трубы полиэтиленовые для газопроводов</v>
      </c>
      <c r="D678" s="80" t="str">
        <f>EtalonRes!O204</f>
        <v>м</v>
      </c>
      <c r="E678" s="81">
        <f>EtalonRes!X204</f>
        <v>102</v>
      </c>
      <c r="F678" s="81"/>
      <c r="G678" s="81">
        <f>ROUND(EtalonRes!AG204*Source!I187, 7)</f>
        <v>21.42</v>
      </c>
      <c r="H678" s="82"/>
      <c r="I678" s="80"/>
      <c r="J678" s="82"/>
      <c r="K678" s="80"/>
      <c r="L678" s="82"/>
    </row>
    <row r="679" spans="1:83" x14ac:dyDescent="0.2">
      <c r="A679" s="62"/>
      <c r="B679" s="62"/>
      <c r="C679" s="61" t="s">
        <v>394</v>
      </c>
      <c r="D679" s="73"/>
      <c r="E679" s="74"/>
      <c r="F679" s="74"/>
      <c r="G679" s="74"/>
      <c r="H679" s="75"/>
      <c r="I679" s="73"/>
      <c r="J679" s="75"/>
      <c r="K679" s="73"/>
      <c r="L679" s="75">
        <f>L672+L674+L675</f>
        <v>430.37</v>
      </c>
    </row>
    <row r="680" spans="1:83" ht="63.75" x14ac:dyDescent="0.2">
      <c r="A680" s="72" t="s">
        <v>976</v>
      </c>
      <c r="B680" s="62" t="str">
        <f>Source!F188</f>
        <v>24.3.03.11-0027</v>
      </c>
      <c r="C680" s="62" t="str">
        <f>Source!G188</f>
        <v>Трубы напорные полиэтиленовые газопроводные ПЭ100, стандартное размерное отношение SDR11, номинальный наружный диаметр 110 мм, толщина стенки 10,0 мм</v>
      </c>
      <c r="D680" s="73" t="str">
        <f>Source!H188</f>
        <v>м</v>
      </c>
      <c r="E680" s="74">
        <f>SmtRes!AT186</f>
        <v>100</v>
      </c>
      <c r="F680" s="74"/>
      <c r="G680" s="74">
        <f>Source!I188</f>
        <v>21</v>
      </c>
      <c r="H680" s="75">
        <f>Source!AL188+Source!AO188+Source!AM188+Source!AN188</f>
        <v>588.41</v>
      </c>
      <c r="I680" s="73">
        <f>IF(Source!BC188&lt;&gt; 0, Source!BC188, 1)</f>
        <v>1.03</v>
      </c>
      <c r="J680" s="75">
        <f>ROUND(H680*I680, 2)</f>
        <v>606.05999999999995</v>
      </c>
      <c r="K680" s="73"/>
      <c r="L680" s="75">
        <f>Source!P188</f>
        <v>12727.26</v>
      </c>
      <c r="AD680">
        <f>ROUND((Source!AT188/100)*((ROUND(ROUND(Source!AO188,2)*Source!I188, 2)+ROUND(ROUND(Source!AN188,2)*Source!I188, 2))), 2)</f>
        <v>0</v>
      </c>
      <c r="AE680">
        <f>ROUND((Source!AU188/100)*((ROUND(ROUND(Source!AO188,2)*Source!I188, 2)+ROUND(ROUND(Source!AN188,2)*Source!I188, 2))), 2)</f>
        <v>0</v>
      </c>
      <c r="AN680">
        <f>L680</f>
        <v>12727.26</v>
      </c>
      <c r="AW680">
        <f>L680</f>
        <v>12727.26</v>
      </c>
      <c r="AZ680">
        <f>Source!X188</f>
        <v>0</v>
      </c>
      <c r="BA680">
        <f>Source!Y188</f>
        <v>0</v>
      </c>
      <c r="CD680">
        <v>1</v>
      </c>
    </row>
    <row r="681" spans="1:83" x14ac:dyDescent="0.2">
      <c r="A681" s="62"/>
      <c r="B681" s="62"/>
      <c r="C681" s="62" t="s">
        <v>893</v>
      </c>
      <c r="D681" s="73"/>
      <c r="E681" s="74"/>
      <c r="F681" s="74"/>
      <c r="G681" s="74"/>
      <c r="H681" s="75"/>
      <c r="I681" s="73"/>
      <c r="J681" s="75"/>
      <c r="K681" s="73"/>
      <c r="L681" s="75">
        <f>SUM(AR670:AR684)+SUM(AS670:AS684)+SUM(AT670:AT684)+SUM(AU670:AU684)+SUM(AV670:AV684)</f>
        <v>248.10000000000002</v>
      </c>
    </row>
    <row r="682" spans="1:83" ht="38.25" x14ac:dyDescent="0.2">
      <c r="A682" s="62"/>
      <c r="B682" s="62" t="s">
        <v>43</v>
      </c>
      <c r="C682" s="62" t="s">
        <v>904</v>
      </c>
      <c r="D682" s="73" t="s">
        <v>194</v>
      </c>
      <c r="E682" s="74">
        <f>Source!BZ187</f>
        <v>117</v>
      </c>
      <c r="F682" s="74"/>
      <c r="G682" s="74">
        <f>Source!AT187</f>
        <v>117</v>
      </c>
      <c r="H682" s="75"/>
      <c r="I682" s="73"/>
      <c r="J682" s="75"/>
      <c r="K682" s="73"/>
      <c r="L682" s="75">
        <f>SUM(AZ670:AZ684)</f>
        <v>290.27999999999997</v>
      </c>
    </row>
    <row r="683" spans="1:83" ht="38.25" x14ac:dyDescent="0.2">
      <c r="A683" s="79"/>
      <c r="B683" s="79" t="s">
        <v>44</v>
      </c>
      <c r="C683" s="79" t="s">
        <v>905</v>
      </c>
      <c r="D683" s="80" t="s">
        <v>194</v>
      </c>
      <c r="E683" s="81">
        <f>Source!CA187</f>
        <v>74</v>
      </c>
      <c r="F683" s="81"/>
      <c r="G683" s="81">
        <f>Source!AU187</f>
        <v>74</v>
      </c>
      <c r="H683" s="82"/>
      <c r="I683" s="80"/>
      <c r="J683" s="82"/>
      <c r="K683" s="80"/>
      <c r="L683" s="82">
        <f>SUM(BA670:BA684)</f>
        <v>183.59</v>
      </c>
    </row>
    <row r="684" spans="1:83" x14ac:dyDescent="0.2">
      <c r="A684" s="43"/>
      <c r="B684" s="43"/>
      <c r="C684" s="119" t="s">
        <v>896</v>
      </c>
      <c r="D684" s="119"/>
      <c r="E684" s="119"/>
      <c r="F684" s="119"/>
      <c r="G684" s="119"/>
      <c r="H684" s="119"/>
      <c r="I684" s="120">
        <f>IF(E670&lt;&gt;0,K684/E670, 0)</f>
        <v>64911.904761904763</v>
      </c>
      <c r="J684" s="120"/>
      <c r="K684" s="120">
        <f>L672+L674+L682+L683+L675+SUM(L680:L680)</f>
        <v>13631.5</v>
      </c>
      <c r="L684" s="120"/>
      <c r="AD684">
        <f>ROUND((Source!AT187/100)*((ROUND(SUMIF(SmtRes!AQ183:'SmtRes'!AQ186,"=1",SmtRes!AD183:'SmtRes'!AD186)*Source!I187, 2)+ROUND(SUMIF(SmtRes!AQ183:'SmtRes'!AQ186,"=1",SmtRes!AC183:'SmtRes'!AC186)*Source!I187, 2))), 2)</f>
        <v>203.65</v>
      </c>
      <c r="AE684">
        <f>ROUND((Source!AU187/100)*((ROUND(SUMIF(SmtRes!AQ183:'SmtRes'!AQ186,"=1",SmtRes!AD183:'SmtRes'!AD186)*Source!I187, 2)+ROUND(SUMIF(SmtRes!AQ183:'SmtRes'!AQ186,"=1",SmtRes!AC183:'SmtRes'!AC186)*Source!I187, 2))), 2)</f>
        <v>128.80000000000001</v>
      </c>
      <c r="AN684" s="22">
        <f>L672+L674+L682+L683+L675</f>
        <v>904.24</v>
      </c>
      <c r="AO684" s="22">
        <f>L674</f>
        <v>182.27</v>
      </c>
      <c r="AQ684" t="s">
        <v>897</v>
      </c>
      <c r="AR684" s="22">
        <f>L672</f>
        <v>176.62</v>
      </c>
      <c r="AT684" s="22">
        <f>L675</f>
        <v>71.48</v>
      </c>
      <c r="AV684" t="s">
        <v>897</v>
      </c>
      <c r="AW684">
        <f>0</f>
        <v>0</v>
      </c>
      <c r="AZ684">
        <f>Source!X187</f>
        <v>290.27999999999997</v>
      </c>
      <c r="BA684">
        <f>Source!Y187</f>
        <v>183.59</v>
      </c>
      <c r="CD684">
        <v>1</v>
      </c>
    </row>
    <row r="685" spans="1:83" ht="51" x14ac:dyDescent="0.2">
      <c r="A685" s="72" t="s">
        <v>336</v>
      </c>
      <c r="B685" s="62" t="s">
        <v>977</v>
      </c>
      <c r="C685" s="62" t="str">
        <f>Source!G189</f>
        <v>Протаскивание в футляр полиэтиленовых труб диаметром: до 110 мм</v>
      </c>
      <c r="D685" s="73" t="str">
        <f>Source!H189</f>
        <v>100 м трубы, уложенной в футляр</v>
      </c>
      <c r="E685" s="74">
        <f>Source!K189</f>
        <v>0.21</v>
      </c>
      <c r="F685" s="74"/>
      <c r="G685" s="74">
        <f>Source!I189</f>
        <v>0.21</v>
      </c>
      <c r="H685" s="75"/>
      <c r="I685" s="73"/>
      <c r="J685" s="75"/>
      <c r="K685" s="73"/>
      <c r="L685" s="75"/>
    </row>
    <row r="686" spans="1:83" x14ac:dyDescent="0.2">
      <c r="A686" s="43"/>
      <c r="B686" s="43"/>
      <c r="C686" s="60" t="str">
        <f>"Объем: "&amp;Source!I189&amp;"=21/"&amp;"100"</f>
        <v>Объем: 0,21=21/100</v>
      </c>
      <c r="D686" s="43"/>
      <c r="E686" s="43"/>
      <c r="F686" s="43"/>
      <c r="G686" s="43"/>
      <c r="H686" s="43"/>
      <c r="I686" s="43"/>
      <c r="J686" s="43"/>
      <c r="K686" s="43"/>
      <c r="L686" s="43"/>
    </row>
    <row r="687" spans="1:83" x14ac:dyDescent="0.2">
      <c r="A687" s="76"/>
      <c r="B687" s="74">
        <v>1</v>
      </c>
      <c r="C687" s="76" t="s">
        <v>899</v>
      </c>
      <c r="D687" s="73" t="s">
        <v>484</v>
      </c>
      <c r="E687" s="77"/>
      <c r="F687" s="74"/>
      <c r="G687" s="74">
        <f>Source!U189</f>
        <v>15.050700000000001</v>
      </c>
      <c r="H687" s="74"/>
      <c r="I687" s="74"/>
      <c r="J687" s="74"/>
      <c r="K687" s="74"/>
      <c r="L687" s="78">
        <f>SUM(L688:L688)-SUMIF(CE688:CE688, 1, L688:L688)</f>
        <v>6023.89</v>
      </c>
    </row>
    <row r="688" spans="1:83" x14ac:dyDescent="0.2">
      <c r="A688" s="62"/>
      <c r="B688" s="62" t="s">
        <v>642</v>
      </c>
      <c r="C688" s="62" t="s">
        <v>643</v>
      </c>
      <c r="D688" s="73" t="s">
        <v>484</v>
      </c>
      <c r="E688" s="74">
        <v>71.67</v>
      </c>
      <c r="F688" s="74"/>
      <c r="G688" s="74">
        <f>SmtRes!CX187</f>
        <v>15.050700000000001</v>
      </c>
      <c r="H688" s="75"/>
      <c r="I688" s="73"/>
      <c r="J688" s="75">
        <f>SmtRes!CZ187</f>
        <v>400.24</v>
      </c>
      <c r="K688" s="73"/>
      <c r="L688" s="75">
        <f>SmtRes!DI187</f>
        <v>6023.89</v>
      </c>
    </row>
    <row r="689" spans="1:83" x14ac:dyDescent="0.2">
      <c r="A689" s="76"/>
      <c r="B689" s="74">
        <v>2</v>
      </c>
      <c r="C689" s="76" t="s">
        <v>890</v>
      </c>
      <c r="D689" s="73"/>
      <c r="E689" s="77"/>
      <c r="F689" s="74"/>
      <c r="G689" s="74"/>
      <c r="H689" s="74"/>
      <c r="I689" s="74"/>
      <c r="J689" s="74"/>
      <c r="K689" s="74"/>
      <c r="L689" s="78">
        <f>SUM(L690:L693)-SUMIF(CE690:CE693, 1, L690:L693)</f>
        <v>75.42</v>
      </c>
    </row>
    <row r="690" spans="1:83" x14ac:dyDescent="0.2">
      <c r="A690" s="76"/>
      <c r="B690" s="74"/>
      <c r="C690" s="76" t="s">
        <v>892</v>
      </c>
      <c r="D690" s="73" t="s">
        <v>484</v>
      </c>
      <c r="E690" s="77"/>
      <c r="F690" s="74"/>
      <c r="G690" s="74">
        <f>Source!V189</f>
        <v>6.3E-3</v>
      </c>
      <c r="H690" s="74"/>
      <c r="I690" s="74"/>
      <c r="J690" s="74"/>
      <c r="K690" s="74"/>
      <c r="L690" s="78">
        <f>SUMIF(CE691:CE693, 1, L691:L693)</f>
        <v>3.39</v>
      </c>
      <c r="CE690">
        <v>1</v>
      </c>
    </row>
    <row r="691" spans="1:83" ht="25.5" x14ac:dyDescent="0.2">
      <c r="A691" s="62"/>
      <c r="B691" s="62" t="s">
        <v>636</v>
      </c>
      <c r="C691" s="62" t="s">
        <v>638</v>
      </c>
      <c r="D691" s="73" t="s">
        <v>488</v>
      </c>
      <c r="E691" s="74">
        <v>0.03</v>
      </c>
      <c r="F691" s="74"/>
      <c r="G691" s="74">
        <f>SmtRes!CX189</f>
        <v>6.3E-3</v>
      </c>
      <c r="H691" s="75"/>
      <c r="I691" s="73"/>
      <c r="J691" s="75">
        <f>SmtRes!CZ189</f>
        <v>1836.16</v>
      </c>
      <c r="K691" s="73"/>
      <c r="L691" s="75">
        <f>SmtRes!DG189</f>
        <v>11.57</v>
      </c>
    </row>
    <row r="692" spans="1:83" x14ac:dyDescent="0.2">
      <c r="A692" s="62"/>
      <c r="B692" s="62" t="s">
        <v>489</v>
      </c>
      <c r="C692" s="62" t="s">
        <v>891</v>
      </c>
      <c r="D692" s="73" t="s">
        <v>484</v>
      </c>
      <c r="E692" s="74">
        <f>SmtRes!DO189*SmtRes!AT189</f>
        <v>0.03</v>
      </c>
      <c r="F692" s="74"/>
      <c r="G692" s="74">
        <f>ROUND(E692*G685, 7)</f>
        <v>6.3E-3</v>
      </c>
      <c r="H692" s="75"/>
      <c r="I692" s="73"/>
      <c r="J692" s="75">
        <f>ROUND(SmtRes!AG189/SmtRes!DO189, 2)</f>
        <v>537.64</v>
      </c>
      <c r="K692" s="73"/>
      <c r="L692" s="75">
        <f>SmtRes!DH189</f>
        <v>3.39</v>
      </c>
      <c r="CE692">
        <v>1</v>
      </c>
    </row>
    <row r="693" spans="1:83" ht="25.5" x14ac:dyDescent="0.2">
      <c r="A693" s="62"/>
      <c r="B693" s="62" t="s">
        <v>734</v>
      </c>
      <c r="C693" s="62" t="s">
        <v>736</v>
      </c>
      <c r="D693" s="73" t="s">
        <v>488</v>
      </c>
      <c r="E693" s="74">
        <v>21.1</v>
      </c>
      <c r="F693" s="74"/>
      <c r="G693" s="74">
        <f>SmtRes!CX190</f>
        <v>4.431</v>
      </c>
      <c r="H693" s="75">
        <f>SmtRes!CZ190</f>
        <v>8.84</v>
      </c>
      <c r="I693" s="73">
        <f>SmtRes!AJ190</f>
        <v>1.63</v>
      </c>
      <c r="J693" s="75">
        <f>ROUND(H693*I693, 2)</f>
        <v>14.41</v>
      </c>
      <c r="K693" s="73"/>
      <c r="L693" s="75">
        <f>SmtRes!DG190</f>
        <v>63.85</v>
      </c>
    </row>
    <row r="694" spans="1:83" x14ac:dyDescent="0.2">
      <c r="A694" s="76"/>
      <c r="B694" s="74">
        <v>4</v>
      </c>
      <c r="C694" s="76" t="s">
        <v>937</v>
      </c>
      <c r="D694" s="73"/>
      <c r="E694" s="77"/>
      <c r="F694" s="74"/>
      <c r="G694" s="74"/>
      <c r="H694" s="74"/>
      <c r="I694" s="74"/>
      <c r="J694" s="74"/>
      <c r="K694" s="74"/>
      <c r="L694" s="78">
        <f>SUM(L695:L696)-SUMIF(CE695:CE696, 1, L695:L696)</f>
        <v>1264.1399999999999</v>
      </c>
    </row>
    <row r="695" spans="1:83" ht="25.5" x14ac:dyDescent="0.2">
      <c r="A695" s="62"/>
      <c r="B695" s="62" t="s">
        <v>737</v>
      </c>
      <c r="C695" s="62" t="s">
        <v>739</v>
      </c>
      <c r="D695" s="73" t="s">
        <v>314</v>
      </c>
      <c r="E695" s="74">
        <v>22.2</v>
      </c>
      <c r="F695" s="74"/>
      <c r="G695" s="74">
        <f>SmtRes!CX191</f>
        <v>4.6619999999999999</v>
      </c>
      <c r="H695" s="75">
        <f>SmtRes!CZ191</f>
        <v>61.7</v>
      </c>
      <c r="I695" s="73">
        <f>SmtRes!AI191</f>
        <v>1.53</v>
      </c>
      <c r="J695" s="75">
        <f>ROUND(H695*I695, 2)</f>
        <v>94.4</v>
      </c>
      <c r="K695" s="73"/>
      <c r="L695" s="75">
        <f>SmtRes!DF191</f>
        <v>440.09</v>
      </c>
    </row>
    <row r="696" spans="1:83" ht="25.5" x14ac:dyDescent="0.2">
      <c r="A696" s="62"/>
      <c r="B696" s="62" t="s">
        <v>740</v>
      </c>
      <c r="C696" s="62" t="s">
        <v>742</v>
      </c>
      <c r="D696" s="73" t="s">
        <v>243</v>
      </c>
      <c r="E696" s="74">
        <v>5.1999999999999998E-2</v>
      </c>
      <c r="F696" s="74"/>
      <c r="G696" s="74">
        <f>SmtRes!CX192</f>
        <v>1.0919999999999999E-2</v>
      </c>
      <c r="H696" s="75">
        <f>SmtRes!CZ192</f>
        <v>55898.18</v>
      </c>
      <c r="I696" s="73">
        <f>SmtRes!AI192</f>
        <v>1.35</v>
      </c>
      <c r="J696" s="75">
        <f>ROUND(H696*I696, 2)</f>
        <v>75462.539999999994</v>
      </c>
      <c r="K696" s="73"/>
      <c r="L696" s="75">
        <f>SmtRes!DF192</f>
        <v>824.05</v>
      </c>
    </row>
    <row r="697" spans="1:83" x14ac:dyDescent="0.2">
      <c r="A697" s="62"/>
      <c r="B697" s="62"/>
      <c r="C697" s="79"/>
      <c r="D697" s="80"/>
      <c r="E697" s="81"/>
      <c r="F697" s="81"/>
      <c r="G697" s="81"/>
      <c r="H697" s="82"/>
      <c r="I697" s="80"/>
      <c r="J697" s="82"/>
      <c r="K697" s="80"/>
      <c r="L697" s="82"/>
    </row>
    <row r="698" spans="1:83" x14ac:dyDescent="0.2">
      <c r="A698" s="62"/>
      <c r="B698" s="62"/>
      <c r="C698" s="61" t="s">
        <v>394</v>
      </c>
      <c r="D698" s="73"/>
      <c r="E698" s="74"/>
      <c r="F698" s="74"/>
      <c r="G698" s="74"/>
      <c r="H698" s="75"/>
      <c r="I698" s="73"/>
      <c r="J698" s="75"/>
      <c r="K698" s="73"/>
      <c r="L698" s="75">
        <f>L687+L689+L690+L694</f>
        <v>7366.84</v>
      </c>
    </row>
    <row r="699" spans="1:83" x14ac:dyDescent="0.2">
      <c r="A699" s="62"/>
      <c r="B699" s="62"/>
      <c r="C699" s="62" t="s">
        <v>893</v>
      </c>
      <c r="D699" s="73"/>
      <c r="E699" s="74"/>
      <c r="F699" s="74"/>
      <c r="G699" s="74"/>
      <c r="H699" s="75"/>
      <c r="I699" s="73"/>
      <c r="J699" s="75"/>
      <c r="K699" s="73"/>
      <c r="L699" s="75">
        <f>SUM(AR685:AR702)+SUM(AS685:AS702)+SUM(AT685:AT702)+SUM(AU685:AU702)+SUM(AV685:AV702)</f>
        <v>6027.2800000000007</v>
      </c>
    </row>
    <row r="700" spans="1:83" ht="38.25" x14ac:dyDescent="0.2">
      <c r="A700" s="62"/>
      <c r="B700" s="62" t="s">
        <v>43</v>
      </c>
      <c r="C700" s="62" t="s">
        <v>904</v>
      </c>
      <c r="D700" s="73" t="s">
        <v>194</v>
      </c>
      <c r="E700" s="74">
        <f>Source!BZ189</f>
        <v>117</v>
      </c>
      <c r="F700" s="74"/>
      <c r="G700" s="74">
        <f>Source!AT189</f>
        <v>117</v>
      </c>
      <c r="H700" s="75"/>
      <c r="I700" s="73"/>
      <c r="J700" s="75"/>
      <c r="K700" s="73"/>
      <c r="L700" s="75">
        <f>SUM(AZ685:AZ702)</f>
        <v>7051.92</v>
      </c>
    </row>
    <row r="701" spans="1:83" ht="38.25" x14ac:dyDescent="0.2">
      <c r="A701" s="79"/>
      <c r="B701" s="79" t="s">
        <v>44</v>
      </c>
      <c r="C701" s="79" t="s">
        <v>905</v>
      </c>
      <c r="D701" s="80" t="s">
        <v>194</v>
      </c>
      <c r="E701" s="81">
        <f>Source!CA189</f>
        <v>74</v>
      </c>
      <c r="F701" s="81"/>
      <c r="G701" s="81">
        <f>Source!AU189</f>
        <v>74</v>
      </c>
      <c r="H701" s="82"/>
      <c r="I701" s="80"/>
      <c r="J701" s="82"/>
      <c r="K701" s="80"/>
      <c r="L701" s="82">
        <f>SUM(BA685:BA702)</f>
        <v>4460.1899999999996</v>
      </c>
    </row>
    <row r="702" spans="1:83" x14ac:dyDescent="0.2">
      <c r="A702" s="43"/>
      <c r="B702" s="43"/>
      <c r="C702" s="119" t="s">
        <v>896</v>
      </c>
      <c r="D702" s="119"/>
      <c r="E702" s="119"/>
      <c r="F702" s="119"/>
      <c r="G702" s="119"/>
      <c r="H702" s="119"/>
      <c r="I702" s="120">
        <f>IF(E685&lt;&gt;0,K702/E685, 0)</f>
        <v>89899.761904761908</v>
      </c>
      <c r="J702" s="120"/>
      <c r="K702" s="120">
        <f>L687+L689+L694+L700+L701+L690</f>
        <v>18878.95</v>
      </c>
      <c r="L702" s="120"/>
      <c r="AD702">
        <f>ROUND((Source!AT189/100)*((ROUND(SUMIF(SmtRes!AQ187:'SmtRes'!AQ192,"=1",SmtRes!AD187:'SmtRes'!AD192)*Source!I189, 2)+ROUND(SUMIF(SmtRes!AQ187:'SmtRes'!AQ192,"=1",SmtRes!AC187:'SmtRes'!AC192)*Source!I189, 2))), 2)</f>
        <v>230.43</v>
      </c>
      <c r="AE702">
        <f>ROUND((Source!AU189/100)*((ROUND(SUMIF(SmtRes!AQ187:'SmtRes'!AQ192,"=1",SmtRes!AD187:'SmtRes'!AD192)*Source!I189, 2)+ROUND(SUMIF(SmtRes!AQ187:'SmtRes'!AQ192,"=1",SmtRes!AC187:'SmtRes'!AC192)*Source!I189, 2))), 2)</f>
        <v>145.74</v>
      </c>
      <c r="AN702" s="22">
        <f>L687+L689+L694+L700+L701+L690</f>
        <v>18878.95</v>
      </c>
      <c r="AO702" s="22">
        <f>L689</f>
        <v>75.42</v>
      </c>
      <c r="AQ702" t="s">
        <v>897</v>
      </c>
      <c r="AR702" s="22">
        <f>L687</f>
        <v>6023.89</v>
      </c>
      <c r="AT702" s="22">
        <f>L690</f>
        <v>3.39</v>
      </c>
      <c r="AV702" t="s">
        <v>897</v>
      </c>
      <c r="AW702" s="22">
        <f>L694</f>
        <v>1264.1399999999999</v>
      </c>
      <c r="AZ702">
        <f>Source!X189</f>
        <v>7051.92</v>
      </c>
      <c r="BA702">
        <f>Source!Y189</f>
        <v>4460.1899999999996</v>
      </c>
      <c r="CD702">
        <v>1</v>
      </c>
    </row>
    <row r="703" spans="1:83" ht="51" x14ac:dyDescent="0.2">
      <c r="A703" s="72" t="s">
        <v>341</v>
      </c>
      <c r="B703" s="62" t="s">
        <v>940</v>
      </c>
      <c r="C703" s="62" t="str">
        <f>Source!G190</f>
        <v>Укладка полиэтиленовых труб газопроводов в траншею со стационарно установленного барабана, диаметр труб: до 63 мм</v>
      </c>
      <c r="D703" s="73" t="str">
        <f>Source!H190</f>
        <v>100 м</v>
      </c>
      <c r="E703" s="74">
        <f>Source!K190</f>
        <v>0.21</v>
      </c>
      <c r="F703" s="74"/>
      <c r="G703" s="74">
        <f>Source!I190</f>
        <v>0.21</v>
      </c>
      <c r="H703" s="75"/>
      <c r="I703" s="73"/>
      <c r="J703" s="75"/>
      <c r="K703" s="73"/>
      <c r="L703" s="75"/>
    </row>
    <row r="704" spans="1:83" x14ac:dyDescent="0.2">
      <c r="A704" s="43"/>
      <c r="B704" s="43"/>
      <c r="C704" s="60" t="str">
        <f>"Объем: "&amp;Source!I190&amp;"=21/"&amp;"100"</f>
        <v>Объем: 0,21=21/100</v>
      </c>
      <c r="D704" s="43"/>
      <c r="E704" s="43"/>
      <c r="F704" s="43"/>
      <c r="G704" s="43"/>
      <c r="H704" s="43"/>
      <c r="I704" s="43"/>
      <c r="J704" s="43"/>
      <c r="K704" s="43"/>
      <c r="L704" s="43"/>
    </row>
    <row r="705" spans="1:83" x14ac:dyDescent="0.2">
      <c r="A705" s="76"/>
      <c r="B705" s="74">
        <v>1</v>
      </c>
      <c r="C705" s="76" t="s">
        <v>899</v>
      </c>
      <c r="D705" s="73" t="s">
        <v>484</v>
      </c>
      <c r="E705" s="77"/>
      <c r="F705" s="74"/>
      <c r="G705" s="74">
        <f>Source!U190</f>
        <v>1.1970000000000001</v>
      </c>
      <c r="H705" s="74"/>
      <c r="I705" s="74"/>
      <c r="J705" s="74"/>
      <c r="K705" s="74"/>
      <c r="L705" s="78">
        <f>SUM(L706:L706)-SUMIF(CE706:CE706, 1, L706:L706)</f>
        <v>529.15</v>
      </c>
    </row>
    <row r="706" spans="1:83" x14ac:dyDescent="0.2">
      <c r="A706" s="62"/>
      <c r="B706" s="62" t="s">
        <v>572</v>
      </c>
      <c r="C706" s="62" t="s">
        <v>573</v>
      </c>
      <c r="D706" s="73" t="s">
        <v>484</v>
      </c>
      <c r="E706" s="74">
        <v>5.7</v>
      </c>
      <c r="F706" s="74"/>
      <c r="G706" s="74">
        <f>SmtRes!CX193</f>
        <v>1.1970000000000001</v>
      </c>
      <c r="H706" s="75"/>
      <c r="I706" s="73"/>
      <c r="J706" s="75">
        <f>SmtRes!CZ193</f>
        <v>442.06</v>
      </c>
      <c r="K706" s="73"/>
      <c r="L706" s="75">
        <f>SmtRes!DI193</f>
        <v>529.15</v>
      </c>
    </row>
    <row r="707" spans="1:83" x14ac:dyDescent="0.2">
      <c r="A707" s="76"/>
      <c r="B707" s="74">
        <v>2</v>
      </c>
      <c r="C707" s="76" t="s">
        <v>890</v>
      </c>
      <c r="D707" s="73"/>
      <c r="E707" s="77"/>
      <c r="F707" s="74"/>
      <c r="G707" s="74"/>
      <c r="H707" s="74"/>
      <c r="I707" s="74"/>
      <c r="J707" s="74"/>
      <c r="K707" s="74"/>
      <c r="L707" s="78">
        <f>SUM(L708:L710)-SUMIF(CE708:CE710, 1, L708:L710)</f>
        <v>93.75</v>
      </c>
    </row>
    <row r="708" spans="1:83" hidden="1" x14ac:dyDescent="0.2">
      <c r="A708" s="76"/>
      <c r="B708" s="74"/>
      <c r="C708" s="76" t="s">
        <v>892</v>
      </c>
      <c r="D708" s="73" t="s">
        <v>484</v>
      </c>
      <c r="E708" s="77"/>
      <c r="F708" s="74"/>
      <c r="G708" s="74">
        <f>Source!V190</f>
        <v>0</v>
      </c>
      <c r="H708" s="74"/>
      <c r="I708" s="74"/>
      <c r="J708" s="74"/>
      <c r="K708" s="74"/>
      <c r="L708" s="78">
        <f>SUMIF(CE709:CE710, 1, L709:L710)</f>
        <v>0</v>
      </c>
      <c r="CE708">
        <v>1</v>
      </c>
    </row>
    <row r="709" spans="1:83" ht="76.5" x14ac:dyDescent="0.2">
      <c r="A709" s="62"/>
      <c r="B709" s="62" t="s">
        <v>574</v>
      </c>
      <c r="C709" s="62" t="s">
        <v>576</v>
      </c>
      <c r="D709" s="73" t="s">
        <v>488</v>
      </c>
      <c r="E709" s="74">
        <v>0.9</v>
      </c>
      <c r="F709" s="74"/>
      <c r="G709" s="74">
        <f>SmtRes!CX194</f>
        <v>0.189</v>
      </c>
      <c r="H709" s="75">
        <f>SmtRes!CZ194</f>
        <v>345.9</v>
      </c>
      <c r="I709" s="73">
        <f>SmtRes!AJ194</f>
        <v>1.36</v>
      </c>
      <c r="J709" s="75">
        <f>ROUND(H709*I709, 2)</f>
        <v>470.42</v>
      </c>
      <c r="K709" s="73"/>
      <c r="L709" s="75">
        <f>SmtRes!DG194</f>
        <v>88.91</v>
      </c>
    </row>
    <row r="710" spans="1:83" ht="25.5" x14ac:dyDescent="0.2">
      <c r="A710" s="62"/>
      <c r="B710" s="62" t="s">
        <v>577</v>
      </c>
      <c r="C710" s="62" t="s">
        <v>579</v>
      </c>
      <c r="D710" s="73" t="s">
        <v>488</v>
      </c>
      <c r="E710" s="74">
        <v>0.48</v>
      </c>
      <c r="F710" s="74"/>
      <c r="G710" s="74">
        <f>SmtRes!CX195</f>
        <v>0.1008</v>
      </c>
      <c r="H710" s="75">
        <f>SmtRes!CZ195</f>
        <v>27.13</v>
      </c>
      <c r="I710" s="73">
        <f>SmtRes!AJ195</f>
        <v>1.77</v>
      </c>
      <c r="J710" s="75">
        <f>ROUND(H710*I710, 2)</f>
        <v>48.02</v>
      </c>
      <c r="K710" s="73"/>
      <c r="L710" s="75">
        <f>SmtRes!DG195</f>
        <v>4.84</v>
      </c>
    </row>
    <row r="711" spans="1:83" hidden="1" x14ac:dyDescent="0.2">
      <c r="A711" s="76"/>
      <c r="B711" s="74">
        <v>4</v>
      </c>
      <c r="C711" s="76" t="s">
        <v>937</v>
      </c>
      <c r="D711" s="73"/>
      <c r="E711" s="77"/>
      <c r="F711" s="74"/>
      <c r="G711" s="74"/>
      <c r="H711" s="74"/>
      <c r="I711" s="74"/>
      <c r="J711" s="74"/>
      <c r="K711" s="74"/>
      <c r="L711" s="78">
        <f>0</f>
        <v>0</v>
      </c>
    </row>
    <row r="712" spans="1:83" x14ac:dyDescent="0.2">
      <c r="A712" s="62"/>
      <c r="B712" s="62" t="str">
        <f>EtalonRes!I215</f>
        <v>24.3.03.11</v>
      </c>
      <c r="C712" s="79" t="str">
        <f>EtalonRes!K215</f>
        <v>Трубы полиэтиленовые для газопроводов</v>
      </c>
      <c r="D712" s="80" t="str">
        <f>EtalonRes!O215</f>
        <v>м</v>
      </c>
      <c r="E712" s="81">
        <f>EtalonRes!X215</f>
        <v>100</v>
      </c>
      <c r="F712" s="81"/>
      <c r="G712" s="81">
        <f>ROUND(EtalonRes!AG215*Source!I190, 7)</f>
        <v>21</v>
      </c>
      <c r="H712" s="82"/>
      <c r="I712" s="80"/>
      <c r="J712" s="82"/>
      <c r="K712" s="80"/>
      <c r="L712" s="82"/>
    </row>
    <row r="713" spans="1:83" x14ac:dyDescent="0.2">
      <c r="A713" s="62"/>
      <c r="B713" s="62"/>
      <c r="C713" s="61" t="s">
        <v>394</v>
      </c>
      <c r="D713" s="73"/>
      <c r="E713" s="74"/>
      <c r="F713" s="74"/>
      <c r="G713" s="74"/>
      <c r="H713" s="75"/>
      <c r="I713" s="73"/>
      <c r="J713" s="75"/>
      <c r="K713" s="73"/>
      <c r="L713" s="75">
        <f>L705+L707+L708+L711</f>
        <v>622.9</v>
      </c>
    </row>
    <row r="714" spans="1:83" ht="76.5" x14ac:dyDescent="0.2">
      <c r="A714" s="72" t="s">
        <v>978</v>
      </c>
      <c r="B714" s="62" t="str">
        <f>Source!F191</f>
        <v>24.3.03.11-0071</v>
      </c>
      <c r="C714" s="62" t="str">
        <f>Source!G191</f>
        <v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v>
      </c>
      <c r="D714" s="73" t="str">
        <f>Source!H191</f>
        <v>м</v>
      </c>
      <c r="E714" s="74">
        <f>SmtRes!AT196</f>
        <v>100</v>
      </c>
      <c r="F714" s="74"/>
      <c r="G714" s="74">
        <f>Source!I191</f>
        <v>21</v>
      </c>
      <c r="H714" s="75"/>
      <c r="I714" s="73"/>
      <c r="J714" s="75">
        <f>Source!AK191</f>
        <v>445.96</v>
      </c>
      <c r="K714" s="73"/>
      <c r="L714" s="75">
        <f>Source!P191</f>
        <v>9365.16</v>
      </c>
      <c r="AD714">
        <f>ROUND((Source!AT191/100)*((ROUND(ROUND(Source!AO191,2)*Source!I191, 2)+ROUND(ROUND(Source!AN191,2)*Source!I191, 2))), 2)</f>
        <v>0</v>
      </c>
      <c r="AE714">
        <f>ROUND((Source!AU191/100)*((ROUND(ROUND(Source!AO191,2)*Source!I191, 2)+ROUND(ROUND(Source!AN191,2)*Source!I191, 2))), 2)</f>
        <v>0</v>
      </c>
      <c r="AN714">
        <f>L714</f>
        <v>9365.16</v>
      </c>
      <c r="AW714">
        <f>L714</f>
        <v>9365.16</v>
      </c>
      <c r="AZ714">
        <f>Source!X191</f>
        <v>0</v>
      </c>
      <c r="BA714">
        <f>Source!Y191</f>
        <v>0</v>
      </c>
      <c r="CD714">
        <v>1</v>
      </c>
    </row>
    <row r="715" spans="1:83" x14ac:dyDescent="0.2">
      <c r="A715" s="62"/>
      <c r="B715" s="62"/>
      <c r="C715" s="62" t="s">
        <v>893</v>
      </c>
      <c r="D715" s="73"/>
      <c r="E715" s="74"/>
      <c r="F715" s="74"/>
      <c r="G715" s="74"/>
      <c r="H715" s="75"/>
      <c r="I715" s="73"/>
      <c r="J715" s="75"/>
      <c r="K715" s="73"/>
      <c r="L715" s="75">
        <f>SUM(AR703:AR718)+SUM(AS703:AS718)+SUM(AT703:AT718)+SUM(AU703:AU718)+SUM(AV703:AV718)</f>
        <v>529.15</v>
      </c>
    </row>
    <row r="716" spans="1:83" ht="38.25" x14ac:dyDescent="0.2">
      <c r="A716" s="62"/>
      <c r="B716" s="62" t="s">
        <v>43</v>
      </c>
      <c r="C716" s="62" t="s">
        <v>904</v>
      </c>
      <c r="D716" s="73" t="s">
        <v>194</v>
      </c>
      <c r="E716" s="74">
        <f>Source!BZ190</f>
        <v>117</v>
      </c>
      <c r="F716" s="74"/>
      <c r="G716" s="74">
        <f>Source!AT190</f>
        <v>117</v>
      </c>
      <c r="H716" s="75"/>
      <c r="I716" s="73"/>
      <c r="J716" s="75"/>
      <c r="K716" s="73"/>
      <c r="L716" s="75">
        <f>SUM(AZ703:AZ718)</f>
        <v>619.11</v>
      </c>
    </row>
    <row r="717" spans="1:83" ht="38.25" x14ac:dyDescent="0.2">
      <c r="A717" s="79"/>
      <c r="B717" s="79" t="s">
        <v>44</v>
      </c>
      <c r="C717" s="79" t="s">
        <v>905</v>
      </c>
      <c r="D717" s="80" t="s">
        <v>194</v>
      </c>
      <c r="E717" s="81">
        <f>Source!CA190</f>
        <v>74</v>
      </c>
      <c r="F717" s="81"/>
      <c r="G717" s="81">
        <f>Source!AU190</f>
        <v>74</v>
      </c>
      <c r="H717" s="82"/>
      <c r="I717" s="80"/>
      <c r="J717" s="82"/>
      <c r="K717" s="80"/>
      <c r="L717" s="82">
        <f>SUM(BA703:BA718)</f>
        <v>391.57</v>
      </c>
    </row>
    <row r="718" spans="1:83" x14ac:dyDescent="0.2">
      <c r="A718" s="43"/>
      <c r="B718" s="43"/>
      <c r="C718" s="119" t="s">
        <v>896</v>
      </c>
      <c r="D718" s="119"/>
      <c r="E718" s="119"/>
      <c r="F718" s="119"/>
      <c r="G718" s="119"/>
      <c r="H718" s="119"/>
      <c r="I718" s="120">
        <f>IF(E703&lt;&gt;0,K718/E703, 0)</f>
        <v>52374.952380952382</v>
      </c>
      <c r="J718" s="120"/>
      <c r="K718" s="120">
        <f>L705+L707+L711+L716+L717+L708+SUM(L714:L714)</f>
        <v>10998.74</v>
      </c>
      <c r="L718" s="120"/>
      <c r="AD718">
        <f>ROUND((Source!AT190/100)*((ROUND(SUMIF(SmtRes!AQ193:'SmtRes'!AQ197,"=1",SmtRes!AD193:'SmtRes'!AD197)*Source!I190, 2)+ROUND(SUMIF(SmtRes!AQ193:'SmtRes'!AQ197,"=1",SmtRes!AC193:'SmtRes'!AC197)*Source!I190, 2))), 2)</f>
        <v>108.61</v>
      </c>
      <c r="AE718">
        <f>ROUND((Source!AU190/100)*((ROUND(SUMIF(SmtRes!AQ193:'SmtRes'!AQ197,"=1",SmtRes!AD193:'SmtRes'!AD197)*Source!I190, 2)+ROUND(SUMIF(SmtRes!AQ193:'SmtRes'!AQ197,"=1",SmtRes!AC193:'SmtRes'!AC197)*Source!I190, 2))), 2)</f>
        <v>68.69</v>
      </c>
      <c r="AN718" s="22">
        <f>L705+L707+L711+L716+L717+L708</f>
        <v>1633.58</v>
      </c>
      <c r="AO718" s="22">
        <f>L707</f>
        <v>93.75</v>
      </c>
      <c r="AQ718" t="s">
        <v>897</v>
      </c>
      <c r="AR718" s="22">
        <f>L705</f>
        <v>529.15</v>
      </c>
      <c r="AT718" s="22">
        <f>L708</f>
        <v>0</v>
      </c>
      <c r="AV718" t="s">
        <v>897</v>
      </c>
      <c r="AW718" s="22">
        <f>L711</f>
        <v>0</v>
      </c>
      <c r="AZ718">
        <f>Source!X190</f>
        <v>619.11</v>
      </c>
      <c r="BA718">
        <f>Source!Y190</f>
        <v>391.57</v>
      </c>
      <c r="CD718">
        <v>1</v>
      </c>
    </row>
    <row r="719" spans="1:83" ht="25.5" x14ac:dyDescent="0.2">
      <c r="A719" s="72" t="s">
        <v>343</v>
      </c>
      <c r="B719" s="62" t="s">
        <v>979</v>
      </c>
      <c r="C719" s="62" t="str">
        <f>Source!G192</f>
        <v>Устройство контрольной трубки на кожухе перехода газопровода</v>
      </c>
      <c r="D719" s="73" t="str">
        <f>Source!H192</f>
        <v>установка</v>
      </c>
      <c r="E719" s="74">
        <f>Source!K192</f>
        <v>1</v>
      </c>
      <c r="F719" s="74"/>
      <c r="G719" s="74">
        <f>Source!I192</f>
        <v>1</v>
      </c>
      <c r="H719" s="75"/>
      <c r="I719" s="73"/>
      <c r="J719" s="75"/>
      <c r="K719" s="73"/>
      <c r="L719" s="75"/>
    </row>
    <row r="720" spans="1:83" x14ac:dyDescent="0.2">
      <c r="A720" s="76"/>
      <c r="B720" s="74">
        <v>1</v>
      </c>
      <c r="C720" s="76" t="s">
        <v>899</v>
      </c>
      <c r="D720" s="73" t="s">
        <v>484</v>
      </c>
      <c r="E720" s="77"/>
      <c r="F720" s="74"/>
      <c r="G720" s="74">
        <f>Source!U192</f>
        <v>1.54</v>
      </c>
      <c r="H720" s="74"/>
      <c r="I720" s="74"/>
      <c r="J720" s="74"/>
      <c r="K720" s="74"/>
      <c r="L720" s="78">
        <f>SUM(L721:L721)-SUMIF(CE721:CE721, 1, L721:L721)</f>
        <v>602.57000000000005</v>
      </c>
    </row>
    <row r="721" spans="1:83" x14ac:dyDescent="0.2">
      <c r="A721" s="62"/>
      <c r="B721" s="62" t="s">
        <v>689</v>
      </c>
      <c r="C721" s="62" t="s">
        <v>690</v>
      </c>
      <c r="D721" s="73" t="s">
        <v>484</v>
      </c>
      <c r="E721" s="74">
        <v>1.54</v>
      </c>
      <c r="F721" s="74"/>
      <c r="G721" s="74">
        <f>SmtRes!CX198</f>
        <v>1.54</v>
      </c>
      <c r="H721" s="75"/>
      <c r="I721" s="73"/>
      <c r="J721" s="75">
        <f>SmtRes!CZ198</f>
        <v>391.28</v>
      </c>
      <c r="K721" s="73"/>
      <c r="L721" s="75">
        <f>SmtRes!DI198</f>
        <v>602.57000000000005</v>
      </c>
    </row>
    <row r="722" spans="1:83" x14ac:dyDescent="0.2">
      <c r="A722" s="76"/>
      <c r="B722" s="74">
        <v>2</v>
      </c>
      <c r="C722" s="76" t="s">
        <v>890</v>
      </c>
      <c r="D722" s="73"/>
      <c r="E722" s="77"/>
      <c r="F722" s="74"/>
      <c r="G722" s="74"/>
      <c r="H722" s="74"/>
      <c r="I722" s="74"/>
      <c r="J722" s="74"/>
      <c r="K722" s="74"/>
      <c r="L722" s="78">
        <f>SUM(L723:L729)-SUMIF(CE723:CE729, 1, L723:L729)</f>
        <v>627.95999999999981</v>
      </c>
    </row>
    <row r="723" spans="1:83" x14ac:dyDescent="0.2">
      <c r="A723" s="76"/>
      <c r="B723" s="74"/>
      <c r="C723" s="76" t="s">
        <v>892</v>
      </c>
      <c r="D723" s="73" t="s">
        <v>484</v>
      </c>
      <c r="E723" s="77"/>
      <c r="F723" s="74"/>
      <c r="G723" s="74">
        <f>Source!V192</f>
        <v>0.48</v>
      </c>
      <c r="H723" s="74"/>
      <c r="I723" s="74"/>
      <c r="J723" s="74"/>
      <c r="K723" s="74"/>
      <c r="L723" s="78">
        <f>SUMIF(CE724:CE729, 1, L724:L729)</f>
        <v>226.47</v>
      </c>
      <c r="CE723">
        <v>1</v>
      </c>
    </row>
    <row r="724" spans="1:83" ht="25.5" x14ac:dyDescent="0.2">
      <c r="A724" s="62"/>
      <c r="B724" s="62" t="s">
        <v>636</v>
      </c>
      <c r="C724" s="62" t="s">
        <v>638</v>
      </c>
      <c r="D724" s="73" t="s">
        <v>488</v>
      </c>
      <c r="E724" s="74">
        <v>0.25</v>
      </c>
      <c r="F724" s="74"/>
      <c r="G724" s="74">
        <f>SmtRes!CX200</f>
        <v>0.25</v>
      </c>
      <c r="H724" s="75"/>
      <c r="I724" s="73"/>
      <c r="J724" s="75">
        <f>SmtRes!CZ200</f>
        <v>1836.16</v>
      </c>
      <c r="K724" s="73"/>
      <c r="L724" s="75">
        <f>SmtRes!DG200</f>
        <v>459.04</v>
      </c>
    </row>
    <row r="725" spans="1:83" x14ac:dyDescent="0.2">
      <c r="A725" s="62"/>
      <c r="B725" s="62" t="s">
        <v>489</v>
      </c>
      <c r="C725" s="62" t="s">
        <v>891</v>
      </c>
      <c r="D725" s="73" t="s">
        <v>484</v>
      </c>
      <c r="E725" s="74">
        <f>SmtRes!DO200*SmtRes!AT200</f>
        <v>0.25</v>
      </c>
      <c r="F725" s="74"/>
      <c r="G725" s="74">
        <f>ROUND(E725*G719, 7)</f>
        <v>0.25</v>
      </c>
      <c r="H725" s="75"/>
      <c r="I725" s="73"/>
      <c r="J725" s="75">
        <f>ROUND(SmtRes!AG200/SmtRes!DO200, 2)</f>
        <v>537.64</v>
      </c>
      <c r="K725" s="73"/>
      <c r="L725" s="75">
        <f>SmtRes!DH200</f>
        <v>134.41</v>
      </c>
      <c r="CE725">
        <v>1</v>
      </c>
    </row>
    <row r="726" spans="1:83" ht="25.5" x14ac:dyDescent="0.2">
      <c r="A726" s="62"/>
      <c r="B726" s="62" t="s">
        <v>545</v>
      </c>
      <c r="C726" s="62" t="s">
        <v>547</v>
      </c>
      <c r="D726" s="73" t="s">
        <v>488</v>
      </c>
      <c r="E726" s="74">
        <v>0.23</v>
      </c>
      <c r="F726" s="74"/>
      <c r="G726" s="74">
        <f>SmtRes!CX201</f>
        <v>0.23</v>
      </c>
      <c r="H726" s="75"/>
      <c r="I726" s="73"/>
      <c r="J726" s="75">
        <f>SmtRes!CZ201</f>
        <v>655.95</v>
      </c>
      <c r="K726" s="73"/>
      <c r="L726" s="75">
        <f>SmtRes!DG201</f>
        <v>150.87</v>
      </c>
    </row>
    <row r="727" spans="1:83" x14ac:dyDescent="0.2">
      <c r="A727" s="62"/>
      <c r="B727" s="62" t="s">
        <v>514</v>
      </c>
      <c r="C727" s="62" t="s">
        <v>936</v>
      </c>
      <c r="D727" s="73" t="s">
        <v>484</v>
      </c>
      <c r="E727" s="74">
        <f>SmtRes!DO201*SmtRes!AT201</f>
        <v>0.23</v>
      </c>
      <c r="F727" s="74"/>
      <c r="G727" s="74">
        <f>ROUND(E727*G719, 7)</f>
        <v>0.23</v>
      </c>
      <c r="H727" s="75"/>
      <c r="I727" s="73"/>
      <c r="J727" s="75">
        <f>ROUND(SmtRes!AG201/SmtRes!DO201, 2)</f>
        <v>400.24</v>
      </c>
      <c r="K727" s="73"/>
      <c r="L727" s="75">
        <f>SmtRes!DH201</f>
        <v>92.06</v>
      </c>
      <c r="CE727">
        <v>1</v>
      </c>
    </row>
    <row r="728" spans="1:83" x14ac:dyDescent="0.2">
      <c r="A728" s="62"/>
      <c r="B728" s="62" t="s">
        <v>548</v>
      </c>
      <c r="C728" s="62" t="s">
        <v>550</v>
      </c>
      <c r="D728" s="73" t="s">
        <v>488</v>
      </c>
      <c r="E728" s="74">
        <v>0.01</v>
      </c>
      <c r="F728" s="74"/>
      <c r="G728" s="74">
        <f>SmtRes!CX202</f>
        <v>0.01</v>
      </c>
      <c r="H728" s="75">
        <f>SmtRes!CZ202</f>
        <v>4.3499999999999996</v>
      </c>
      <c r="I728" s="73">
        <f>SmtRes!AJ202</f>
        <v>1.3</v>
      </c>
      <c r="J728" s="75">
        <f>ROUND(H728*I728, 2)</f>
        <v>5.66</v>
      </c>
      <c r="K728" s="73"/>
      <c r="L728" s="75">
        <f>SmtRes!DG202</f>
        <v>0.06</v>
      </c>
    </row>
    <row r="729" spans="1:83" ht="25.5" x14ac:dyDescent="0.2">
      <c r="A729" s="62"/>
      <c r="B729" s="62" t="s">
        <v>508</v>
      </c>
      <c r="C729" s="62" t="s">
        <v>510</v>
      </c>
      <c r="D729" s="73" t="s">
        <v>488</v>
      </c>
      <c r="E729" s="74">
        <v>0.41</v>
      </c>
      <c r="F729" s="74"/>
      <c r="G729" s="74">
        <f>SmtRes!CX203</f>
        <v>0.41</v>
      </c>
      <c r="H729" s="75"/>
      <c r="I729" s="73"/>
      <c r="J729" s="75">
        <f>SmtRes!CZ203</f>
        <v>43.87</v>
      </c>
      <c r="K729" s="73"/>
      <c r="L729" s="75">
        <f>SmtRes!DG203</f>
        <v>17.989999999999998</v>
      </c>
    </row>
    <row r="730" spans="1:83" x14ac:dyDescent="0.2">
      <c r="A730" s="76"/>
      <c r="B730" s="74">
        <v>4</v>
      </c>
      <c r="C730" s="76" t="s">
        <v>937</v>
      </c>
      <c r="D730" s="73"/>
      <c r="E730" s="77"/>
      <c r="F730" s="74"/>
      <c r="G730" s="74"/>
      <c r="H730" s="74"/>
      <c r="I730" s="74"/>
      <c r="J730" s="74"/>
      <c r="K730" s="74"/>
      <c r="L730" s="78">
        <f>SUM(L731:L736)-SUMIF(CE731:CE736, 1, L731:L736)</f>
        <v>263.27</v>
      </c>
    </row>
    <row r="731" spans="1:83" x14ac:dyDescent="0.2">
      <c r="A731" s="62"/>
      <c r="B731" s="62" t="s">
        <v>551</v>
      </c>
      <c r="C731" s="62" t="s">
        <v>553</v>
      </c>
      <c r="D731" s="73" t="s">
        <v>48</v>
      </c>
      <c r="E731" s="74">
        <v>1.4999999999999999E-2</v>
      </c>
      <c r="F731" s="74"/>
      <c r="G731" s="74">
        <f>SmtRes!CX204</f>
        <v>1.4999999999999999E-2</v>
      </c>
      <c r="H731" s="75"/>
      <c r="I731" s="73"/>
      <c r="J731" s="75">
        <f>SmtRes!CZ204</f>
        <v>115.4</v>
      </c>
      <c r="K731" s="73"/>
      <c r="L731" s="75">
        <f>SmtRes!DF204</f>
        <v>1.73</v>
      </c>
    </row>
    <row r="732" spans="1:83" x14ac:dyDescent="0.2">
      <c r="A732" s="62"/>
      <c r="B732" s="62" t="s">
        <v>554</v>
      </c>
      <c r="C732" s="62" t="s">
        <v>556</v>
      </c>
      <c r="D732" s="73" t="s">
        <v>314</v>
      </c>
      <c r="E732" s="74">
        <v>3.5</v>
      </c>
      <c r="F732" s="74"/>
      <c r="G732" s="74">
        <f>SmtRes!CX205</f>
        <v>3.5</v>
      </c>
      <c r="H732" s="75">
        <f>SmtRes!CZ205</f>
        <v>41.38</v>
      </c>
      <c r="I732" s="73">
        <f>SmtRes!AI205</f>
        <v>1.39</v>
      </c>
      <c r="J732" s="75">
        <f>ROUND(H732*I732, 2)</f>
        <v>57.52</v>
      </c>
      <c r="K732" s="73"/>
      <c r="L732" s="75">
        <f>SmtRes!DF205</f>
        <v>201.32</v>
      </c>
    </row>
    <row r="733" spans="1:83" x14ac:dyDescent="0.2">
      <c r="A733" s="62"/>
      <c r="B733" s="62" t="s">
        <v>518</v>
      </c>
      <c r="C733" s="62" t="s">
        <v>520</v>
      </c>
      <c r="D733" s="73" t="s">
        <v>521</v>
      </c>
      <c r="E733" s="74">
        <v>0.16200000000000001</v>
      </c>
      <c r="F733" s="74"/>
      <c r="G733" s="74">
        <f>SmtRes!CX206</f>
        <v>0.16200000000000001</v>
      </c>
      <c r="H733" s="75"/>
      <c r="I733" s="73"/>
      <c r="J733" s="75">
        <f>SmtRes!CZ206</f>
        <v>9.5500000000000007</v>
      </c>
      <c r="K733" s="73"/>
      <c r="L733" s="75">
        <f>SmtRes!DF206</f>
        <v>1.55</v>
      </c>
    </row>
    <row r="734" spans="1:83" ht="38.25" x14ac:dyDescent="0.2">
      <c r="A734" s="62"/>
      <c r="B734" s="62" t="s">
        <v>522</v>
      </c>
      <c r="C734" s="62" t="s">
        <v>524</v>
      </c>
      <c r="D734" s="73" t="s">
        <v>314</v>
      </c>
      <c r="E734" s="74">
        <v>0.09</v>
      </c>
      <c r="F734" s="74"/>
      <c r="G734" s="74">
        <f>SmtRes!CX207</f>
        <v>0.09</v>
      </c>
      <c r="H734" s="75"/>
      <c r="I734" s="73"/>
      <c r="J734" s="75">
        <f>SmtRes!CZ207</f>
        <v>131.85</v>
      </c>
      <c r="K734" s="73"/>
      <c r="L734" s="75">
        <f>SmtRes!DF207</f>
        <v>11.87</v>
      </c>
    </row>
    <row r="735" spans="1:83" ht="25.5" x14ac:dyDescent="0.2">
      <c r="A735" s="62"/>
      <c r="B735" s="62" t="s">
        <v>743</v>
      </c>
      <c r="C735" s="62" t="s">
        <v>745</v>
      </c>
      <c r="D735" s="73" t="s">
        <v>48</v>
      </c>
      <c r="E735" s="74">
        <v>0.02</v>
      </c>
      <c r="F735" s="74"/>
      <c r="G735" s="74">
        <f>SmtRes!CX208</f>
        <v>0.02</v>
      </c>
      <c r="H735" s="75">
        <f>SmtRes!CZ208</f>
        <v>565.20000000000005</v>
      </c>
      <c r="I735" s="73">
        <f>SmtRes!AI208</f>
        <v>3.57</v>
      </c>
      <c r="J735" s="75">
        <f>ROUND(H735*I735, 2)</f>
        <v>2017.76</v>
      </c>
      <c r="K735" s="73"/>
      <c r="L735" s="75">
        <f>SmtRes!DF208</f>
        <v>40.36</v>
      </c>
    </row>
    <row r="736" spans="1:83" ht="38.25" x14ac:dyDescent="0.2">
      <c r="A736" s="62"/>
      <c r="B736" s="62" t="s">
        <v>746</v>
      </c>
      <c r="C736" s="62" t="s">
        <v>748</v>
      </c>
      <c r="D736" s="73" t="s">
        <v>48</v>
      </c>
      <c r="E736" s="74">
        <v>1E-3</v>
      </c>
      <c r="F736" s="74"/>
      <c r="G736" s="74">
        <f>SmtRes!CX209</f>
        <v>1E-3</v>
      </c>
      <c r="H736" s="75">
        <f>SmtRes!CZ209</f>
        <v>4442.71</v>
      </c>
      <c r="I736" s="73">
        <f>SmtRes!AI209</f>
        <v>1.45</v>
      </c>
      <c r="J736" s="75">
        <f>ROUND(H736*I736, 2)</f>
        <v>6441.93</v>
      </c>
      <c r="K736" s="73"/>
      <c r="L736" s="75">
        <f>SmtRes!DF209</f>
        <v>6.44</v>
      </c>
    </row>
    <row r="737" spans="1:83" x14ac:dyDescent="0.2">
      <c r="A737" s="62"/>
      <c r="B737" s="62"/>
      <c r="C737" s="79"/>
      <c r="D737" s="80"/>
      <c r="E737" s="81"/>
      <c r="F737" s="81"/>
      <c r="G737" s="81"/>
      <c r="H737" s="82"/>
      <c r="I737" s="80"/>
      <c r="J737" s="82"/>
      <c r="K737" s="80"/>
      <c r="L737" s="82"/>
    </row>
    <row r="738" spans="1:83" x14ac:dyDescent="0.2">
      <c r="A738" s="62"/>
      <c r="B738" s="62"/>
      <c r="C738" s="61" t="s">
        <v>394</v>
      </c>
      <c r="D738" s="73"/>
      <c r="E738" s="74"/>
      <c r="F738" s="74"/>
      <c r="G738" s="74"/>
      <c r="H738" s="75"/>
      <c r="I738" s="73"/>
      <c r="J738" s="75"/>
      <c r="K738" s="73"/>
      <c r="L738" s="75">
        <f>L720+L722+L723+L730</f>
        <v>1720.2699999999998</v>
      </c>
    </row>
    <row r="739" spans="1:83" x14ac:dyDescent="0.2">
      <c r="A739" s="62"/>
      <c r="B739" s="62"/>
      <c r="C739" s="62" t="s">
        <v>893</v>
      </c>
      <c r="D739" s="73"/>
      <c r="E739" s="74"/>
      <c r="F739" s="74"/>
      <c r="G739" s="74"/>
      <c r="H739" s="75"/>
      <c r="I739" s="73"/>
      <c r="J739" s="75"/>
      <c r="K739" s="73"/>
      <c r="L739" s="75">
        <f>SUM(AR719:AR742)+SUM(AS719:AS742)+SUM(AT719:AT742)+SUM(AU719:AU742)+SUM(AV719:AV742)</f>
        <v>829.04000000000008</v>
      </c>
    </row>
    <row r="740" spans="1:83" ht="38.25" x14ac:dyDescent="0.2">
      <c r="A740" s="62"/>
      <c r="B740" s="62" t="s">
        <v>43</v>
      </c>
      <c r="C740" s="62" t="s">
        <v>904</v>
      </c>
      <c r="D740" s="73" t="s">
        <v>194</v>
      </c>
      <c r="E740" s="74">
        <f>Source!BZ192</f>
        <v>117</v>
      </c>
      <c r="F740" s="74"/>
      <c r="G740" s="74">
        <f>Source!AT192</f>
        <v>117</v>
      </c>
      <c r="H740" s="75"/>
      <c r="I740" s="73"/>
      <c r="J740" s="75"/>
      <c r="K740" s="73"/>
      <c r="L740" s="75">
        <f>SUM(AZ719:AZ742)</f>
        <v>969.98</v>
      </c>
    </row>
    <row r="741" spans="1:83" ht="38.25" x14ac:dyDescent="0.2">
      <c r="A741" s="79"/>
      <c r="B741" s="79" t="s">
        <v>44</v>
      </c>
      <c r="C741" s="79" t="s">
        <v>905</v>
      </c>
      <c r="D741" s="80" t="s">
        <v>194</v>
      </c>
      <c r="E741" s="81">
        <f>Source!CA192</f>
        <v>74</v>
      </c>
      <c r="F741" s="81"/>
      <c r="G741" s="81">
        <f>Source!AU192</f>
        <v>74</v>
      </c>
      <c r="H741" s="82"/>
      <c r="I741" s="80"/>
      <c r="J741" s="82"/>
      <c r="K741" s="80"/>
      <c r="L741" s="82">
        <f>SUM(BA719:BA742)</f>
        <v>613.49</v>
      </c>
    </row>
    <row r="742" spans="1:83" x14ac:dyDescent="0.2">
      <c r="A742" s="43"/>
      <c r="B742" s="43"/>
      <c r="C742" s="119" t="s">
        <v>896</v>
      </c>
      <c r="D742" s="119"/>
      <c r="E742" s="119"/>
      <c r="F742" s="119"/>
      <c r="G742" s="119"/>
      <c r="H742" s="119"/>
      <c r="I742" s="120">
        <f>IF(E719&lt;&gt;0,K742/E719, 0)</f>
        <v>3303.7399999999993</v>
      </c>
      <c r="J742" s="120"/>
      <c r="K742" s="120">
        <f>L720+L722+L730+L740+L741+L723</f>
        <v>3303.7399999999993</v>
      </c>
      <c r="L742" s="120"/>
      <c r="AD742">
        <f>ROUND((Source!AT192/100)*((ROUND(SUMIF(SmtRes!AQ198:'SmtRes'!AQ209,"=1",SmtRes!AD198:'SmtRes'!AD209)*Source!I192, 2)+ROUND(SUMIF(SmtRes!AQ198:'SmtRes'!AQ209,"=1",SmtRes!AC198:'SmtRes'!AC209)*Source!I192, 2))), 2)</f>
        <v>1555.12</v>
      </c>
      <c r="AE742">
        <f>ROUND((Source!AU192/100)*((ROUND(SUMIF(SmtRes!AQ198:'SmtRes'!AQ209,"=1",SmtRes!AD198:'SmtRes'!AD209)*Source!I192, 2)+ROUND(SUMIF(SmtRes!AQ198:'SmtRes'!AQ209,"=1",SmtRes!AC198:'SmtRes'!AC209)*Source!I192, 2))), 2)</f>
        <v>983.58</v>
      </c>
      <c r="AN742" s="22">
        <f>L720+L722+L730+L740+L741+L723</f>
        <v>3303.7399999999993</v>
      </c>
      <c r="AO742" s="22">
        <f>L722</f>
        <v>627.95999999999981</v>
      </c>
      <c r="AQ742" t="s">
        <v>897</v>
      </c>
      <c r="AR742" s="22">
        <f>L720</f>
        <v>602.57000000000005</v>
      </c>
      <c r="AT742" s="22">
        <f>L723</f>
        <v>226.47</v>
      </c>
      <c r="AV742" t="s">
        <v>897</v>
      </c>
      <c r="AW742" s="22">
        <f>L730</f>
        <v>263.27</v>
      </c>
      <c r="AZ742">
        <f>Source!X192</f>
        <v>969.98</v>
      </c>
      <c r="BA742">
        <f>Source!Y192</f>
        <v>613.49</v>
      </c>
      <c r="CD742">
        <v>1</v>
      </c>
    </row>
    <row r="743" spans="1:83" ht="51" x14ac:dyDescent="0.2">
      <c r="A743" s="83" t="s">
        <v>348</v>
      </c>
      <c r="B743" s="79" t="str">
        <f>Source!F193</f>
        <v>23.3.06.01-0004</v>
      </c>
      <c r="C743" s="79" t="str">
        <f>Source!G193</f>
        <v>Трубы стальные сварные оцинкованные водогазопроводные с резьбой, легкие, номинальный диаметр 32 мм, толщина стенки 2,8 мм</v>
      </c>
      <c r="D743" s="80" t="str">
        <f>Source!H193</f>
        <v>м</v>
      </c>
      <c r="E743" s="81">
        <f>Source!K193</f>
        <v>2</v>
      </c>
      <c r="F743" s="81"/>
      <c r="G743" s="81">
        <f>Source!I193</f>
        <v>2</v>
      </c>
      <c r="H743" s="82">
        <f>Source!AL193</f>
        <v>243.58</v>
      </c>
      <c r="I743" s="80">
        <f>IF(Source!BC193&lt;&gt; 0, Source!BC193, 1)</f>
        <v>0.74</v>
      </c>
      <c r="J743" s="82">
        <f>ROUND(H743*I743, 2)</f>
        <v>180.25</v>
      </c>
      <c r="K743" s="80"/>
      <c r="L743" s="82">
        <f>Source!P193</f>
        <v>360.5</v>
      </c>
    </row>
    <row r="744" spans="1:83" x14ac:dyDescent="0.2">
      <c r="A744" s="43"/>
      <c r="B744" s="43"/>
      <c r="C744" s="119" t="s">
        <v>896</v>
      </c>
      <c r="D744" s="119"/>
      <c r="E744" s="119"/>
      <c r="F744" s="119"/>
      <c r="G744" s="119"/>
      <c r="H744" s="119"/>
      <c r="I744" s="120">
        <f>IF(E743&lt;&gt;0,K744/E743, 0)</f>
        <v>180.25</v>
      </c>
      <c r="J744" s="120"/>
      <c r="K744" s="120">
        <f>L743</f>
        <v>360.5</v>
      </c>
      <c r="L744" s="120"/>
      <c r="AD744">
        <f>ROUND((Source!AT193/100)*((ROUND(ROUND(Source!AO193,2)*Source!I193, 2)+ROUND(ROUND(Source!AN193,2)*Source!I193, 2))), 2)</f>
        <v>0</v>
      </c>
      <c r="AE744">
        <f>ROUND((Source!AU193/100)*((ROUND(ROUND(Source!AO193,2)*Source!I193, 2)+ROUND(ROUND(Source!AN193,2)*Source!I193, 2))), 2)</f>
        <v>0</v>
      </c>
      <c r="AN744" s="22">
        <f>L743</f>
        <v>360.5</v>
      </c>
      <c r="AO744">
        <f>0</f>
        <v>0</v>
      </c>
      <c r="AQ744" t="s">
        <v>897</v>
      </c>
      <c r="AR744">
        <f>0</f>
        <v>0</v>
      </c>
      <c r="AT744">
        <f>0</f>
        <v>0</v>
      </c>
      <c r="AV744" t="s">
        <v>897</v>
      </c>
      <c r="AW744" s="22">
        <f>L743</f>
        <v>360.5</v>
      </c>
      <c r="AZ744">
        <f>Source!X193</f>
        <v>0</v>
      </c>
      <c r="BA744">
        <f>Source!Y193</f>
        <v>0</v>
      </c>
      <c r="CD744">
        <v>1</v>
      </c>
    </row>
    <row r="745" spans="1:83" ht="51" x14ac:dyDescent="0.2">
      <c r="A745" s="72" t="s">
        <v>349</v>
      </c>
      <c r="B745" s="62" t="s">
        <v>940</v>
      </c>
      <c r="C745" s="62" t="str">
        <f>Source!G194</f>
        <v>Укладка полиэтиленовых труб газопроводов в траншею со стационарно установленного барабана, диаметр труб: до 63 мм</v>
      </c>
      <c r="D745" s="73" t="str">
        <f>Source!H194</f>
        <v>100 м</v>
      </c>
      <c r="E745" s="74">
        <f>Source!K194</f>
        <v>0.01</v>
      </c>
      <c r="F745" s="74"/>
      <c r="G745" s="74">
        <f>Source!I194</f>
        <v>0.01</v>
      </c>
      <c r="H745" s="75"/>
      <c r="I745" s="73"/>
      <c r="J745" s="75"/>
      <c r="K745" s="73"/>
      <c r="L745" s="75"/>
    </row>
    <row r="746" spans="1:83" x14ac:dyDescent="0.2">
      <c r="A746" s="43"/>
      <c r="B746" s="43"/>
      <c r="C746" s="60" t="str">
        <f>"Объем: "&amp;Source!I194&amp;"=1/"&amp;"100"</f>
        <v>Объем: 0,01=1/100</v>
      </c>
      <c r="D746" s="43"/>
      <c r="E746" s="43"/>
      <c r="F746" s="43"/>
      <c r="G746" s="43"/>
      <c r="H746" s="43"/>
      <c r="I746" s="43"/>
      <c r="J746" s="43"/>
      <c r="K746" s="43"/>
      <c r="L746" s="43"/>
    </row>
    <row r="747" spans="1:83" x14ac:dyDescent="0.2">
      <c r="A747" s="76"/>
      <c r="B747" s="74">
        <v>1</v>
      </c>
      <c r="C747" s="76" t="s">
        <v>899</v>
      </c>
      <c r="D747" s="73" t="s">
        <v>484</v>
      </c>
      <c r="E747" s="77"/>
      <c r="F747" s="74"/>
      <c r="G747" s="74">
        <f>Source!U194</f>
        <v>5.7000000000000002E-2</v>
      </c>
      <c r="H747" s="74"/>
      <c r="I747" s="74"/>
      <c r="J747" s="74"/>
      <c r="K747" s="74"/>
      <c r="L747" s="78">
        <f>SUM(L748:L748)-SUMIF(CE748:CE748, 1, L748:L748)</f>
        <v>25.2</v>
      </c>
    </row>
    <row r="748" spans="1:83" x14ac:dyDescent="0.2">
      <c r="A748" s="62"/>
      <c r="B748" s="62" t="s">
        <v>572</v>
      </c>
      <c r="C748" s="62" t="s">
        <v>573</v>
      </c>
      <c r="D748" s="73" t="s">
        <v>484</v>
      </c>
      <c r="E748" s="74">
        <v>5.7</v>
      </c>
      <c r="F748" s="74"/>
      <c r="G748" s="74">
        <f>SmtRes!CX210</f>
        <v>5.7000000000000002E-2</v>
      </c>
      <c r="H748" s="75"/>
      <c r="I748" s="73"/>
      <c r="J748" s="75">
        <f>SmtRes!CZ210</f>
        <v>442.06</v>
      </c>
      <c r="K748" s="73"/>
      <c r="L748" s="75">
        <f>SmtRes!DI210</f>
        <v>25.2</v>
      </c>
    </row>
    <row r="749" spans="1:83" x14ac:dyDescent="0.2">
      <c r="A749" s="76"/>
      <c r="B749" s="74">
        <v>2</v>
      </c>
      <c r="C749" s="76" t="s">
        <v>890</v>
      </c>
      <c r="D749" s="73"/>
      <c r="E749" s="77"/>
      <c r="F749" s="74"/>
      <c r="G749" s="74"/>
      <c r="H749" s="74"/>
      <c r="I749" s="74"/>
      <c r="J749" s="74"/>
      <c r="K749" s="74"/>
      <c r="L749" s="78">
        <f>SUM(L750:L752)-SUMIF(CE750:CE752, 1, L750:L752)</f>
        <v>4.4600000000000009</v>
      </c>
    </row>
    <row r="750" spans="1:83" hidden="1" x14ac:dyDescent="0.2">
      <c r="A750" s="76"/>
      <c r="B750" s="74"/>
      <c r="C750" s="76" t="s">
        <v>892</v>
      </c>
      <c r="D750" s="73" t="s">
        <v>484</v>
      </c>
      <c r="E750" s="77"/>
      <c r="F750" s="74"/>
      <c r="G750" s="74">
        <f>Source!V194</f>
        <v>0</v>
      </c>
      <c r="H750" s="74"/>
      <c r="I750" s="74"/>
      <c r="J750" s="74"/>
      <c r="K750" s="74"/>
      <c r="L750" s="78">
        <f>SUMIF(CE751:CE752, 1, L751:L752)</f>
        <v>0</v>
      </c>
      <c r="CE750">
        <v>1</v>
      </c>
    </row>
    <row r="751" spans="1:83" ht="76.5" x14ac:dyDescent="0.2">
      <c r="A751" s="62"/>
      <c r="B751" s="62" t="s">
        <v>574</v>
      </c>
      <c r="C751" s="62" t="s">
        <v>576</v>
      </c>
      <c r="D751" s="73" t="s">
        <v>488</v>
      </c>
      <c r="E751" s="74">
        <v>0.9</v>
      </c>
      <c r="F751" s="74"/>
      <c r="G751" s="74">
        <f>SmtRes!CX211</f>
        <v>8.9999999999999993E-3</v>
      </c>
      <c r="H751" s="75">
        <f>SmtRes!CZ211</f>
        <v>345.9</v>
      </c>
      <c r="I751" s="73">
        <f>SmtRes!AJ211</f>
        <v>1.36</v>
      </c>
      <c r="J751" s="75">
        <f>ROUND(H751*I751, 2)</f>
        <v>470.42</v>
      </c>
      <c r="K751" s="73"/>
      <c r="L751" s="75">
        <f>SmtRes!DG211</f>
        <v>4.2300000000000004</v>
      </c>
    </row>
    <row r="752" spans="1:83" ht="25.5" x14ac:dyDescent="0.2">
      <c r="A752" s="62"/>
      <c r="B752" s="62" t="s">
        <v>577</v>
      </c>
      <c r="C752" s="62" t="s">
        <v>579</v>
      </c>
      <c r="D752" s="73" t="s">
        <v>488</v>
      </c>
      <c r="E752" s="74">
        <v>0.48</v>
      </c>
      <c r="F752" s="74"/>
      <c r="G752" s="74">
        <f>SmtRes!CX212</f>
        <v>4.7999999999999996E-3</v>
      </c>
      <c r="H752" s="75">
        <f>SmtRes!CZ212</f>
        <v>27.13</v>
      </c>
      <c r="I752" s="73">
        <f>SmtRes!AJ212</f>
        <v>1.77</v>
      </c>
      <c r="J752" s="75">
        <f>ROUND(H752*I752, 2)</f>
        <v>48.02</v>
      </c>
      <c r="K752" s="73"/>
      <c r="L752" s="75">
        <f>SmtRes!DG212</f>
        <v>0.23</v>
      </c>
    </row>
    <row r="753" spans="1:82" hidden="1" x14ac:dyDescent="0.2">
      <c r="A753" s="76"/>
      <c r="B753" s="74">
        <v>4</v>
      </c>
      <c r="C753" s="76" t="s">
        <v>937</v>
      </c>
      <c r="D753" s="73"/>
      <c r="E753" s="77"/>
      <c r="F753" s="74"/>
      <c r="G753" s="74"/>
      <c r="H753" s="74"/>
      <c r="I753" s="74"/>
      <c r="J753" s="74"/>
      <c r="K753" s="74"/>
      <c r="L753" s="78">
        <f>0</f>
        <v>0</v>
      </c>
    </row>
    <row r="754" spans="1:82" x14ac:dyDescent="0.2">
      <c r="A754" s="62"/>
      <c r="B754" s="62" t="str">
        <f>EtalonRes!I235</f>
        <v>24.3.03.11</v>
      </c>
      <c r="C754" s="79" t="str">
        <f>EtalonRes!K235</f>
        <v>Трубы полиэтиленовые для газопроводов</v>
      </c>
      <c r="D754" s="80" t="str">
        <f>EtalonRes!O235</f>
        <v>м</v>
      </c>
      <c r="E754" s="81">
        <f>EtalonRes!X235</f>
        <v>100</v>
      </c>
      <c r="F754" s="81"/>
      <c r="G754" s="81">
        <f>ROUND(EtalonRes!AG235*Source!I194, 7)</f>
        <v>1</v>
      </c>
      <c r="H754" s="82"/>
      <c r="I754" s="80"/>
      <c r="J754" s="82"/>
      <c r="K754" s="80"/>
      <c r="L754" s="82"/>
    </row>
    <row r="755" spans="1:82" x14ac:dyDescent="0.2">
      <c r="A755" s="62"/>
      <c r="B755" s="62"/>
      <c r="C755" s="61" t="s">
        <v>394</v>
      </c>
      <c r="D755" s="73"/>
      <c r="E755" s="74"/>
      <c r="F755" s="74"/>
      <c r="G755" s="74"/>
      <c r="H755" s="75"/>
      <c r="I755" s="73"/>
      <c r="J755" s="75"/>
      <c r="K755" s="73"/>
      <c r="L755" s="75">
        <f>L747+L749+L750+L753</f>
        <v>29.66</v>
      </c>
    </row>
    <row r="756" spans="1:82" ht="63.75" x14ac:dyDescent="0.2">
      <c r="A756" s="72" t="s">
        <v>980</v>
      </c>
      <c r="B756" s="62" t="str">
        <f>Source!F195</f>
        <v>24.3.03.11-0021</v>
      </c>
      <c r="C756" s="62" t="str">
        <f>Source!G195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756" s="73" t="str">
        <f>Source!H195</f>
        <v>м</v>
      </c>
      <c r="E756" s="74">
        <f>SmtRes!AT213</f>
        <v>100</v>
      </c>
      <c r="F756" s="74"/>
      <c r="G756" s="74">
        <f>Source!I195</f>
        <v>1</v>
      </c>
      <c r="H756" s="75">
        <f>Source!AL195+Source!AO195+Source!AM195+Source!AN195</f>
        <v>56.15</v>
      </c>
      <c r="I756" s="73">
        <f>IF(Source!BC195&lt;&gt; 0, Source!BC195, 1)</f>
        <v>1.03</v>
      </c>
      <c r="J756" s="75">
        <f>ROUND(H756*I756, 2)</f>
        <v>57.83</v>
      </c>
      <c r="K756" s="73"/>
      <c r="L756" s="75">
        <f>Source!P195</f>
        <v>57.83</v>
      </c>
      <c r="AD756">
        <f>ROUND((Source!AT195/100)*((ROUND(ROUND(Source!AO195,2)*Source!I195, 2)+ROUND(ROUND(Source!AN195,2)*Source!I195, 2))), 2)</f>
        <v>0</v>
      </c>
      <c r="AE756">
        <f>ROUND((Source!AU195/100)*((ROUND(ROUND(Source!AO195,2)*Source!I195, 2)+ROUND(ROUND(Source!AN195,2)*Source!I195, 2))), 2)</f>
        <v>0</v>
      </c>
      <c r="AN756">
        <f>L756</f>
        <v>57.83</v>
      </c>
      <c r="AW756">
        <f>L756</f>
        <v>57.83</v>
      </c>
      <c r="AZ756">
        <f>Source!X195</f>
        <v>0</v>
      </c>
      <c r="BA756">
        <f>Source!Y195</f>
        <v>0</v>
      </c>
      <c r="CD756">
        <v>1</v>
      </c>
    </row>
    <row r="757" spans="1:82" x14ac:dyDescent="0.2">
      <c r="A757" s="62"/>
      <c r="B757" s="62"/>
      <c r="C757" s="62" t="s">
        <v>893</v>
      </c>
      <c r="D757" s="73"/>
      <c r="E757" s="74"/>
      <c r="F757" s="74"/>
      <c r="G757" s="74"/>
      <c r="H757" s="75"/>
      <c r="I757" s="73"/>
      <c r="J757" s="75"/>
      <c r="K757" s="73"/>
      <c r="L757" s="75">
        <f>SUM(AR745:AR760)+SUM(AS745:AS760)+SUM(AT745:AT760)+SUM(AU745:AU760)+SUM(AV745:AV760)</f>
        <v>25.2</v>
      </c>
    </row>
    <row r="758" spans="1:82" ht="38.25" x14ac:dyDescent="0.2">
      <c r="A758" s="62"/>
      <c r="B758" s="62" t="s">
        <v>43</v>
      </c>
      <c r="C758" s="62" t="s">
        <v>904</v>
      </c>
      <c r="D758" s="73" t="s">
        <v>194</v>
      </c>
      <c r="E758" s="74">
        <f>Source!BZ194</f>
        <v>117</v>
      </c>
      <c r="F758" s="74"/>
      <c r="G758" s="74">
        <f>Source!AT194</f>
        <v>117</v>
      </c>
      <c r="H758" s="75"/>
      <c r="I758" s="73"/>
      <c r="J758" s="75"/>
      <c r="K758" s="73"/>
      <c r="L758" s="75">
        <f>SUM(AZ745:AZ760)</f>
        <v>29.48</v>
      </c>
    </row>
    <row r="759" spans="1:82" ht="38.25" x14ac:dyDescent="0.2">
      <c r="A759" s="79"/>
      <c r="B759" s="79" t="s">
        <v>44</v>
      </c>
      <c r="C759" s="79" t="s">
        <v>905</v>
      </c>
      <c r="D759" s="80" t="s">
        <v>194</v>
      </c>
      <c r="E759" s="81">
        <f>Source!CA194</f>
        <v>74</v>
      </c>
      <c r="F759" s="81"/>
      <c r="G759" s="81">
        <f>Source!AU194</f>
        <v>74</v>
      </c>
      <c r="H759" s="82"/>
      <c r="I759" s="80"/>
      <c r="J759" s="82"/>
      <c r="K759" s="80"/>
      <c r="L759" s="82">
        <f>SUM(BA745:BA760)</f>
        <v>18.649999999999999</v>
      </c>
    </row>
    <row r="760" spans="1:82" x14ac:dyDescent="0.2">
      <c r="A760" s="43"/>
      <c r="B760" s="43"/>
      <c r="C760" s="119" t="s">
        <v>896</v>
      </c>
      <c r="D760" s="119"/>
      <c r="E760" s="119"/>
      <c r="F760" s="119"/>
      <c r="G760" s="119"/>
      <c r="H760" s="119"/>
      <c r="I760" s="120">
        <f>IF(E745&lt;&gt;0,K760/E745, 0)</f>
        <v>13562</v>
      </c>
      <c r="J760" s="120"/>
      <c r="K760" s="120">
        <f>L747+L749+L753+L758+L759+L750+SUM(L756:L756)</f>
        <v>135.62</v>
      </c>
      <c r="L760" s="120"/>
      <c r="AD760">
        <f>ROUND((Source!AT194/100)*((ROUND(SUMIF(SmtRes!AQ210:'SmtRes'!AQ214,"=1",SmtRes!AD210:'SmtRes'!AD214)*Source!I194, 2)+ROUND(SUMIF(SmtRes!AQ210:'SmtRes'!AQ214,"=1",SmtRes!AC210:'SmtRes'!AC214)*Source!I194, 2))), 2)</f>
        <v>5.17</v>
      </c>
      <c r="AE760">
        <f>ROUND((Source!AU194/100)*((ROUND(SUMIF(SmtRes!AQ210:'SmtRes'!AQ214,"=1",SmtRes!AD210:'SmtRes'!AD214)*Source!I194, 2)+ROUND(SUMIF(SmtRes!AQ210:'SmtRes'!AQ214,"=1",SmtRes!AC210:'SmtRes'!AC214)*Source!I194, 2))), 2)</f>
        <v>3.27</v>
      </c>
      <c r="AN760" s="22">
        <f>L747+L749+L753+L758+L759+L750</f>
        <v>77.789999999999992</v>
      </c>
      <c r="AO760" s="22">
        <f>L749</f>
        <v>4.4600000000000009</v>
      </c>
      <c r="AQ760" t="s">
        <v>897</v>
      </c>
      <c r="AR760" s="22">
        <f>L747</f>
        <v>25.2</v>
      </c>
      <c r="AT760" s="22">
        <f>L750</f>
        <v>0</v>
      </c>
      <c r="AV760" t="s">
        <v>897</v>
      </c>
      <c r="AW760" s="22">
        <f>L753</f>
        <v>0</v>
      </c>
      <c r="AZ760">
        <f>Source!X194</f>
        <v>29.48</v>
      </c>
      <c r="BA760">
        <f>Source!Y194</f>
        <v>18.649999999999999</v>
      </c>
      <c r="CD760">
        <v>1</v>
      </c>
    </row>
    <row r="761" spans="1:82" ht="38.25" x14ac:dyDescent="0.2">
      <c r="A761" s="72" t="s">
        <v>354</v>
      </c>
      <c r="B761" s="62" t="s">
        <v>981</v>
      </c>
      <c r="C761" s="62" t="str">
        <f>Source!G196</f>
        <v>Укладка футляра из стальных водопроводных труб  диаметром: до 100 мм(для контрольной трубки)</v>
      </c>
      <c r="D761" s="73" t="str">
        <f>Source!H196</f>
        <v>км</v>
      </c>
      <c r="E761" s="74">
        <f>Source!K196</f>
        <v>1E-3</v>
      </c>
      <c r="F761" s="74"/>
      <c r="G761" s="74">
        <f>Source!I196</f>
        <v>1E-3</v>
      </c>
      <c r="H761" s="75"/>
      <c r="I761" s="73"/>
      <c r="J761" s="75"/>
      <c r="K761" s="73"/>
      <c r="L761" s="75"/>
    </row>
    <row r="762" spans="1:82" x14ac:dyDescent="0.2">
      <c r="A762" s="76"/>
      <c r="B762" s="74">
        <v>1</v>
      </c>
      <c r="C762" s="76" t="s">
        <v>899</v>
      </c>
      <c r="D762" s="73" t="s">
        <v>484</v>
      </c>
      <c r="E762" s="77"/>
      <c r="F762" s="74"/>
      <c r="G762" s="74">
        <f>Source!U196</f>
        <v>0.36779000000000001</v>
      </c>
      <c r="H762" s="74"/>
      <c r="I762" s="74"/>
      <c r="J762" s="74"/>
      <c r="K762" s="74"/>
      <c r="L762" s="78">
        <f>SUM(L763:L767)-SUMIF(CE763:CE767, 1, L763:L767)</f>
        <v>147.69</v>
      </c>
    </row>
    <row r="763" spans="1:82" x14ac:dyDescent="0.2">
      <c r="A763" s="62"/>
      <c r="B763" s="62" t="s">
        <v>583</v>
      </c>
      <c r="C763" s="62" t="s">
        <v>584</v>
      </c>
      <c r="D763" s="73" t="s">
        <v>585</v>
      </c>
      <c r="E763" s="74">
        <v>45.66</v>
      </c>
      <c r="F763" s="74"/>
      <c r="G763" s="74">
        <f>SmtRes!CX215</f>
        <v>4.5659999999999999E-2</v>
      </c>
      <c r="H763" s="75"/>
      <c r="I763" s="73"/>
      <c r="J763" s="75">
        <f>SmtRes!CZ215</f>
        <v>325.57</v>
      </c>
      <c r="K763" s="73"/>
      <c r="L763" s="75">
        <f>SmtRes!DI215</f>
        <v>14.87</v>
      </c>
    </row>
    <row r="764" spans="1:82" x14ac:dyDescent="0.2">
      <c r="A764" s="62"/>
      <c r="B764" s="62" t="s">
        <v>749</v>
      </c>
      <c r="C764" s="62" t="s">
        <v>750</v>
      </c>
      <c r="D764" s="73" t="s">
        <v>585</v>
      </c>
      <c r="E764" s="74">
        <v>135.96</v>
      </c>
      <c r="F764" s="74"/>
      <c r="G764" s="74">
        <f>SmtRes!CX216</f>
        <v>0.13596</v>
      </c>
      <c r="H764" s="75"/>
      <c r="I764" s="73"/>
      <c r="J764" s="75">
        <f>SmtRes!CZ216</f>
        <v>355.44</v>
      </c>
      <c r="K764" s="73"/>
      <c r="L764" s="75">
        <f>SmtRes!DI216</f>
        <v>48.33</v>
      </c>
    </row>
    <row r="765" spans="1:82" x14ac:dyDescent="0.2">
      <c r="A765" s="62"/>
      <c r="B765" s="62" t="s">
        <v>586</v>
      </c>
      <c r="C765" s="62" t="s">
        <v>587</v>
      </c>
      <c r="D765" s="73" t="s">
        <v>585</v>
      </c>
      <c r="E765" s="74">
        <v>79.31</v>
      </c>
      <c r="F765" s="74"/>
      <c r="G765" s="74">
        <f>SmtRes!CX217</f>
        <v>7.9310000000000005E-2</v>
      </c>
      <c r="H765" s="75"/>
      <c r="I765" s="73"/>
      <c r="J765" s="75">
        <f>SmtRes!CZ217</f>
        <v>400.24</v>
      </c>
      <c r="K765" s="73"/>
      <c r="L765" s="75">
        <f>SmtRes!DI217</f>
        <v>31.74</v>
      </c>
    </row>
    <row r="766" spans="1:82" x14ac:dyDescent="0.2">
      <c r="A766" s="62"/>
      <c r="B766" s="62" t="s">
        <v>647</v>
      </c>
      <c r="C766" s="62" t="s">
        <v>648</v>
      </c>
      <c r="D766" s="73" t="s">
        <v>585</v>
      </c>
      <c r="E766" s="74">
        <v>60.51</v>
      </c>
      <c r="F766" s="74"/>
      <c r="G766" s="74">
        <f>SmtRes!CX218</f>
        <v>6.0510000000000001E-2</v>
      </c>
      <c r="H766" s="75"/>
      <c r="I766" s="73"/>
      <c r="J766" s="75">
        <f>SmtRes!CZ218</f>
        <v>459.98</v>
      </c>
      <c r="K766" s="73"/>
      <c r="L766" s="75">
        <f>SmtRes!DI218</f>
        <v>27.83</v>
      </c>
    </row>
    <row r="767" spans="1:82" x14ac:dyDescent="0.2">
      <c r="A767" s="62"/>
      <c r="B767" s="62" t="s">
        <v>751</v>
      </c>
      <c r="C767" s="62" t="s">
        <v>752</v>
      </c>
      <c r="D767" s="73" t="s">
        <v>585</v>
      </c>
      <c r="E767" s="74">
        <v>46.35</v>
      </c>
      <c r="F767" s="74"/>
      <c r="G767" s="74">
        <f>SmtRes!CX219</f>
        <v>4.6350000000000002E-2</v>
      </c>
      <c r="H767" s="75"/>
      <c r="I767" s="73"/>
      <c r="J767" s="75">
        <f>SmtRes!CZ219</f>
        <v>537.64</v>
      </c>
      <c r="K767" s="73"/>
      <c r="L767" s="75">
        <f>SmtRes!DI219</f>
        <v>24.92</v>
      </c>
    </row>
    <row r="768" spans="1:82" x14ac:dyDescent="0.2">
      <c r="A768" s="76"/>
      <c r="B768" s="74">
        <v>2</v>
      </c>
      <c r="C768" s="76" t="s">
        <v>890</v>
      </c>
      <c r="D768" s="73"/>
      <c r="E768" s="77"/>
      <c r="F768" s="74"/>
      <c r="G768" s="74"/>
      <c r="H768" s="74"/>
      <c r="I768" s="74"/>
      <c r="J768" s="74"/>
      <c r="K768" s="74"/>
      <c r="L768" s="78">
        <f>SUM(L769:L775)-SUMIF(CE769:CE775, 1, L769:L775)</f>
        <v>68</v>
      </c>
    </row>
    <row r="769" spans="1:83" x14ac:dyDescent="0.2">
      <c r="A769" s="76"/>
      <c r="B769" s="74"/>
      <c r="C769" s="76" t="s">
        <v>892</v>
      </c>
      <c r="D769" s="73" t="s">
        <v>484</v>
      </c>
      <c r="E769" s="77"/>
      <c r="F769" s="74"/>
      <c r="G769" s="74">
        <f>Source!V196</f>
        <v>7.8070000000000001E-2</v>
      </c>
      <c r="H769" s="74"/>
      <c r="I769" s="74"/>
      <c r="J769" s="74"/>
      <c r="K769" s="74"/>
      <c r="L769" s="78">
        <f>SUMIF(CE770:CE775, 1, L770:L775)</f>
        <v>33.200000000000003</v>
      </c>
      <c r="CE769">
        <v>1</v>
      </c>
    </row>
    <row r="770" spans="1:83" ht="25.5" x14ac:dyDescent="0.2">
      <c r="A770" s="62"/>
      <c r="B770" s="62" t="s">
        <v>545</v>
      </c>
      <c r="C770" s="62" t="s">
        <v>547</v>
      </c>
      <c r="D770" s="73" t="s">
        <v>488</v>
      </c>
      <c r="E770" s="74">
        <v>0.32</v>
      </c>
      <c r="F770" s="74"/>
      <c r="G770" s="74">
        <f>SmtRes!CX221</f>
        <v>3.2000000000000003E-4</v>
      </c>
      <c r="H770" s="75"/>
      <c r="I770" s="73"/>
      <c r="J770" s="75">
        <f>SmtRes!CZ221</f>
        <v>655.95</v>
      </c>
      <c r="K770" s="73"/>
      <c r="L770" s="75">
        <f>SmtRes!DG221</f>
        <v>0.21</v>
      </c>
    </row>
    <row r="771" spans="1:83" x14ac:dyDescent="0.2">
      <c r="A771" s="62"/>
      <c r="B771" s="62" t="s">
        <v>514</v>
      </c>
      <c r="C771" s="62" t="s">
        <v>936</v>
      </c>
      <c r="D771" s="73" t="s">
        <v>484</v>
      </c>
      <c r="E771" s="74">
        <f>SmtRes!DO221*SmtRes!AT221</f>
        <v>0.32</v>
      </c>
      <c r="F771" s="74"/>
      <c r="G771" s="74">
        <f>ROUND(E771*G761, 7)</f>
        <v>3.2000000000000003E-4</v>
      </c>
      <c r="H771" s="75"/>
      <c r="I771" s="73"/>
      <c r="J771" s="75">
        <f>ROUND(SmtRes!AG221/SmtRes!DO221, 2)</f>
        <v>400.24</v>
      </c>
      <c r="K771" s="73"/>
      <c r="L771" s="75">
        <f>SmtRes!DH221</f>
        <v>0.13</v>
      </c>
      <c r="CE771">
        <v>1</v>
      </c>
    </row>
    <row r="772" spans="1:83" ht="51" x14ac:dyDescent="0.2">
      <c r="A772" s="62"/>
      <c r="B772" s="62" t="s">
        <v>657</v>
      </c>
      <c r="C772" s="62" t="s">
        <v>659</v>
      </c>
      <c r="D772" s="73" t="s">
        <v>488</v>
      </c>
      <c r="E772" s="74">
        <v>32.75</v>
      </c>
      <c r="F772" s="74"/>
      <c r="G772" s="74">
        <f>SmtRes!CX222</f>
        <v>3.2750000000000001E-2</v>
      </c>
      <c r="H772" s="75">
        <f>SmtRes!CZ222</f>
        <v>1069.08</v>
      </c>
      <c r="I772" s="73">
        <f>SmtRes!AJ222</f>
        <v>1.4</v>
      </c>
      <c r="J772" s="75">
        <f>ROUND(H772*I772, 2)</f>
        <v>1496.71</v>
      </c>
      <c r="K772" s="73"/>
      <c r="L772" s="75">
        <f>SmtRes!DG222</f>
        <v>49.02</v>
      </c>
    </row>
    <row r="773" spans="1:83" x14ac:dyDescent="0.2">
      <c r="A773" s="62"/>
      <c r="B773" s="62" t="s">
        <v>497</v>
      </c>
      <c r="C773" s="62" t="s">
        <v>903</v>
      </c>
      <c r="D773" s="73" t="s">
        <v>484</v>
      </c>
      <c r="E773" s="74">
        <f>SmtRes!DO222*SmtRes!AT222</f>
        <v>32.75</v>
      </c>
      <c r="F773" s="74"/>
      <c r="G773" s="74">
        <f>ROUND(E773*G761, 7)</f>
        <v>3.2750000000000001E-2</v>
      </c>
      <c r="H773" s="75"/>
      <c r="I773" s="73"/>
      <c r="J773" s="75">
        <f>ROUND(SmtRes!AG222/SmtRes!DO222, 2)</f>
        <v>459.98</v>
      </c>
      <c r="K773" s="73"/>
      <c r="L773" s="75">
        <f>SmtRes!DH222</f>
        <v>15.06</v>
      </c>
      <c r="CE773">
        <v>1</v>
      </c>
    </row>
    <row r="774" spans="1:83" ht="51" x14ac:dyDescent="0.2">
      <c r="A774" s="62"/>
      <c r="B774" s="62" t="s">
        <v>511</v>
      </c>
      <c r="C774" s="62" t="s">
        <v>513</v>
      </c>
      <c r="D774" s="73" t="s">
        <v>488</v>
      </c>
      <c r="E774" s="74">
        <v>45</v>
      </c>
      <c r="F774" s="74"/>
      <c r="G774" s="74">
        <f>SmtRes!CX223</f>
        <v>4.4999999999999998E-2</v>
      </c>
      <c r="H774" s="75"/>
      <c r="I774" s="73"/>
      <c r="J774" s="75">
        <f>SmtRes!CZ223</f>
        <v>417.12</v>
      </c>
      <c r="K774" s="73"/>
      <c r="L774" s="75">
        <f>SmtRes!DG223</f>
        <v>18.77</v>
      </c>
    </row>
    <row r="775" spans="1:83" x14ac:dyDescent="0.2">
      <c r="A775" s="62"/>
      <c r="B775" s="62" t="s">
        <v>514</v>
      </c>
      <c r="C775" s="62" t="s">
        <v>936</v>
      </c>
      <c r="D775" s="73" t="s">
        <v>484</v>
      </c>
      <c r="E775" s="74">
        <f>SmtRes!DO223*SmtRes!AT223</f>
        <v>45</v>
      </c>
      <c r="F775" s="74"/>
      <c r="G775" s="74">
        <f>ROUND(E775*G761, 7)</f>
        <v>4.4999999999999998E-2</v>
      </c>
      <c r="H775" s="75"/>
      <c r="I775" s="73"/>
      <c r="J775" s="75">
        <f>ROUND(SmtRes!AG223/SmtRes!DO223, 2)</f>
        <v>400.24</v>
      </c>
      <c r="K775" s="73"/>
      <c r="L775" s="75">
        <f>SmtRes!DH223</f>
        <v>18.010000000000002</v>
      </c>
      <c r="CE775">
        <v>1</v>
      </c>
    </row>
    <row r="776" spans="1:83" x14ac:dyDescent="0.2">
      <c r="A776" s="76"/>
      <c r="B776" s="74">
        <v>4</v>
      </c>
      <c r="C776" s="76" t="s">
        <v>937</v>
      </c>
      <c r="D776" s="73"/>
      <c r="E776" s="77"/>
      <c r="F776" s="74"/>
      <c r="G776" s="74"/>
      <c r="H776" s="74"/>
      <c r="I776" s="74"/>
      <c r="J776" s="74"/>
      <c r="K776" s="74"/>
      <c r="L776" s="78">
        <f>SUM(L777:L780)-SUMIF(CE777:CE780, 1, L777:L780)</f>
        <v>10.049999999999999</v>
      </c>
    </row>
    <row r="777" spans="1:83" x14ac:dyDescent="0.2">
      <c r="A777" s="62"/>
      <c r="B777" s="62" t="s">
        <v>518</v>
      </c>
      <c r="C777" s="62" t="s">
        <v>520</v>
      </c>
      <c r="D777" s="73" t="s">
        <v>521</v>
      </c>
      <c r="E777" s="74">
        <v>28.58</v>
      </c>
      <c r="F777" s="74"/>
      <c r="G777" s="74">
        <f>SmtRes!CX224</f>
        <v>2.8580000000000001E-2</v>
      </c>
      <c r="H777" s="75"/>
      <c r="I777" s="73"/>
      <c r="J777" s="75">
        <f>SmtRes!CZ224</f>
        <v>9.5500000000000007</v>
      </c>
      <c r="K777" s="73"/>
      <c r="L777" s="75">
        <f>SmtRes!DF224</f>
        <v>0.27</v>
      </c>
    </row>
    <row r="778" spans="1:83" ht="38.25" x14ac:dyDescent="0.2">
      <c r="A778" s="62"/>
      <c r="B778" s="62" t="s">
        <v>522</v>
      </c>
      <c r="C778" s="62" t="s">
        <v>524</v>
      </c>
      <c r="D778" s="73" t="s">
        <v>314</v>
      </c>
      <c r="E778" s="74">
        <v>14.42</v>
      </c>
      <c r="F778" s="74"/>
      <c r="G778" s="74">
        <f>SmtRes!CX225</f>
        <v>1.4420000000000001E-2</v>
      </c>
      <c r="H778" s="75"/>
      <c r="I778" s="73"/>
      <c r="J778" s="75">
        <f>SmtRes!CZ225</f>
        <v>131.85</v>
      </c>
      <c r="K778" s="73"/>
      <c r="L778" s="75">
        <f>SmtRes!DF225</f>
        <v>1.9</v>
      </c>
    </row>
    <row r="779" spans="1:83" ht="25.5" x14ac:dyDescent="0.2">
      <c r="A779" s="62"/>
      <c r="B779" s="62" t="s">
        <v>753</v>
      </c>
      <c r="C779" s="62" t="s">
        <v>755</v>
      </c>
      <c r="D779" s="73" t="s">
        <v>130</v>
      </c>
      <c r="E779" s="74">
        <v>0.52</v>
      </c>
      <c r="F779" s="74"/>
      <c r="G779" s="74">
        <f>SmtRes!CX226</f>
        <v>5.1999999999999995E-4</v>
      </c>
      <c r="H779" s="75">
        <f>SmtRes!CZ226</f>
        <v>104.63</v>
      </c>
      <c r="I779" s="73">
        <f>SmtRes!AI226</f>
        <v>1.22</v>
      </c>
      <c r="J779" s="75">
        <f>ROUND(H779*I779, 2)</f>
        <v>127.65</v>
      </c>
      <c r="K779" s="73"/>
      <c r="L779" s="75">
        <f>SmtRes!DF226</f>
        <v>7.0000000000000007E-2</v>
      </c>
    </row>
    <row r="780" spans="1:83" ht="51" x14ac:dyDescent="0.2">
      <c r="A780" s="62"/>
      <c r="B780" s="62" t="s">
        <v>756</v>
      </c>
      <c r="C780" s="62" t="s">
        <v>758</v>
      </c>
      <c r="D780" s="73" t="s">
        <v>48</v>
      </c>
      <c r="E780" s="74">
        <v>0.46</v>
      </c>
      <c r="F780" s="74"/>
      <c r="G780" s="74">
        <f>SmtRes!CX227</f>
        <v>4.6000000000000001E-4</v>
      </c>
      <c r="H780" s="75">
        <f>SmtRes!CZ227</f>
        <v>16655</v>
      </c>
      <c r="I780" s="73">
        <f>SmtRes!AI227</f>
        <v>1.02</v>
      </c>
      <c r="J780" s="75">
        <f>ROUND(H780*I780, 2)</f>
        <v>16988.099999999999</v>
      </c>
      <c r="K780" s="73"/>
      <c r="L780" s="75">
        <f>SmtRes!DF227</f>
        <v>7.81</v>
      </c>
    </row>
    <row r="781" spans="1:83" x14ac:dyDescent="0.2">
      <c r="A781" s="62"/>
      <c r="B781" s="62" t="str">
        <f>EtalonRes!I250</f>
        <v>23.5.02.02</v>
      </c>
      <c r="C781" s="79" t="str">
        <f>EtalonRes!K250</f>
        <v>Трубы стальные</v>
      </c>
      <c r="D781" s="80" t="str">
        <f>EtalonRes!O250</f>
        <v>м</v>
      </c>
      <c r="E781" s="81">
        <f>EtalonRes!X250</f>
        <v>1010</v>
      </c>
      <c r="F781" s="81"/>
      <c r="G781" s="81">
        <f>ROUND(EtalonRes!AG250*Source!I196, 7)</f>
        <v>1.01</v>
      </c>
      <c r="H781" s="82"/>
      <c r="I781" s="80"/>
      <c r="J781" s="82"/>
      <c r="K781" s="80"/>
      <c r="L781" s="82"/>
    </row>
    <row r="782" spans="1:83" x14ac:dyDescent="0.2">
      <c r="A782" s="62"/>
      <c r="B782" s="62"/>
      <c r="C782" s="61" t="s">
        <v>394</v>
      </c>
      <c r="D782" s="73"/>
      <c r="E782" s="74"/>
      <c r="F782" s="74"/>
      <c r="G782" s="74"/>
      <c r="H782" s="75"/>
      <c r="I782" s="73"/>
      <c r="J782" s="75"/>
      <c r="K782" s="73"/>
      <c r="L782" s="75">
        <f>L762+L768+L769+L776</f>
        <v>258.94</v>
      </c>
    </row>
    <row r="783" spans="1:83" ht="51" x14ac:dyDescent="0.2">
      <c r="A783" s="72" t="s">
        <v>982</v>
      </c>
      <c r="B783" s="62" t="str">
        <f>Source!F197</f>
        <v>23.5.02.02-0050</v>
      </c>
      <c r="C783" s="62" t="str">
        <f>Source!G197</f>
        <v>Трубы стальные электросварные прямошовные из стали марок Ст2, 10, наружный диаметр 89 мм, толщина стенки 4,5 мм</v>
      </c>
      <c r="D783" s="73" t="str">
        <f>Source!H197</f>
        <v>м</v>
      </c>
      <c r="E783" s="74">
        <f>SmtRes!AT228</f>
        <v>1000</v>
      </c>
      <c r="F783" s="74"/>
      <c r="G783" s="74">
        <f>Source!I197</f>
        <v>1</v>
      </c>
      <c r="H783" s="75">
        <f>Source!AL197+Source!AO197+Source!AM197+Source!AN197</f>
        <v>460.59</v>
      </c>
      <c r="I783" s="73">
        <f>IF(Source!BC197&lt;&gt; 0, Source!BC197, 1)</f>
        <v>0.88</v>
      </c>
      <c r="J783" s="75">
        <f>ROUND(H783*I783, 2)</f>
        <v>405.32</v>
      </c>
      <c r="K783" s="73"/>
      <c r="L783" s="75">
        <f>Source!P197</f>
        <v>405.32</v>
      </c>
      <c r="AD783">
        <f>ROUND((Source!AT197/100)*((ROUND(ROUND(Source!AO197,2)*Source!I197, 2)+ROUND(ROUND(Source!AN197,2)*Source!I197, 2))), 2)</f>
        <v>0</v>
      </c>
      <c r="AE783">
        <f>ROUND((Source!AU197/100)*((ROUND(ROUND(Source!AO197,2)*Source!I197, 2)+ROUND(ROUND(Source!AN197,2)*Source!I197, 2))), 2)</f>
        <v>0</v>
      </c>
      <c r="AN783">
        <f>L783</f>
        <v>405.32</v>
      </c>
      <c r="AW783">
        <f>L783</f>
        <v>405.32</v>
      </c>
      <c r="AZ783">
        <f>Source!X197</f>
        <v>0</v>
      </c>
      <c r="BA783">
        <f>Source!Y197</f>
        <v>0</v>
      </c>
      <c r="CD783">
        <v>1</v>
      </c>
    </row>
    <row r="784" spans="1:83" x14ac:dyDescent="0.2">
      <c r="A784" s="62"/>
      <c r="B784" s="62"/>
      <c r="C784" s="62" t="s">
        <v>893</v>
      </c>
      <c r="D784" s="73"/>
      <c r="E784" s="74"/>
      <c r="F784" s="74"/>
      <c r="G784" s="74"/>
      <c r="H784" s="75"/>
      <c r="I784" s="73"/>
      <c r="J784" s="75"/>
      <c r="K784" s="73"/>
      <c r="L784" s="75">
        <f>SUM(AR761:AR787)+SUM(AS761:AS787)+SUM(AT761:AT787)+SUM(AU761:AU787)+SUM(AV761:AV787)</f>
        <v>180.89</v>
      </c>
    </row>
    <row r="785" spans="1:83" ht="38.25" x14ac:dyDescent="0.2">
      <c r="A785" s="62"/>
      <c r="B785" s="62" t="s">
        <v>43</v>
      </c>
      <c r="C785" s="62" t="s">
        <v>904</v>
      </c>
      <c r="D785" s="73" t="s">
        <v>194</v>
      </c>
      <c r="E785" s="74">
        <f>Source!BZ196</f>
        <v>117</v>
      </c>
      <c r="F785" s="74"/>
      <c r="G785" s="74">
        <f>Source!AT196</f>
        <v>117</v>
      </c>
      <c r="H785" s="75"/>
      <c r="I785" s="73"/>
      <c r="J785" s="75"/>
      <c r="K785" s="73"/>
      <c r="L785" s="75">
        <f>SUM(AZ761:AZ787)</f>
        <v>211.64</v>
      </c>
    </row>
    <row r="786" spans="1:83" ht="38.25" x14ac:dyDescent="0.2">
      <c r="A786" s="79"/>
      <c r="B786" s="79" t="s">
        <v>44</v>
      </c>
      <c r="C786" s="79" t="s">
        <v>905</v>
      </c>
      <c r="D786" s="80" t="s">
        <v>194</v>
      </c>
      <c r="E786" s="81">
        <f>Source!CA196</f>
        <v>74</v>
      </c>
      <c r="F786" s="81"/>
      <c r="G786" s="81">
        <f>Source!AU196</f>
        <v>74</v>
      </c>
      <c r="H786" s="82"/>
      <c r="I786" s="80"/>
      <c r="J786" s="82"/>
      <c r="K786" s="80"/>
      <c r="L786" s="82">
        <f>SUM(BA761:BA787)</f>
        <v>133.86000000000001</v>
      </c>
    </row>
    <row r="787" spans="1:83" x14ac:dyDescent="0.2">
      <c r="A787" s="43"/>
      <c r="B787" s="43"/>
      <c r="C787" s="119" t="s">
        <v>896</v>
      </c>
      <c r="D787" s="119"/>
      <c r="E787" s="119"/>
      <c r="F787" s="119"/>
      <c r="G787" s="119"/>
      <c r="H787" s="119"/>
      <c r="I787" s="120">
        <f>IF(E761&lt;&gt;0,K787/E761, 0)</f>
        <v>1009760</v>
      </c>
      <c r="J787" s="120"/>
      <c r="K787" s="120">
        <f>L762+L768+L776+L785+L786+L769+SUM(L783:L783)</f>
        <v>1009.76</v>
      </c>
      <c r="L787" s="120"/>
      <c r="AD787">
        <f>ROUND((Source!AT196/100)*((ROUND(SUMIF(SmtRes!AQ215:'SmtRes'!AQ228,"=1",SmtRes!AD215:'SmtRes'!AD228)*Source!I196, 2)+ROUND(SUMIF(SmtRes!AQ215:'SmtRes'!AQ228,"=1",SmtRes!AC215:'SmtRes'!AC228)*Source!I196, 2))), 2)</f>
        <v>3.91</v>
      </c>
      <c r="AE787">
        <f>ROUND((Source!AU196/100)*((ROUND(SUMIF(SmtRes!AQ215:'SmtRes'!AQ228,"=1",SmtRes!AD215:'SmtRes'!AD228)*Source!I196, 2)+ROUND(SUMIF(SmtRes!AQ215:'SmtRes'!AQ228,"=1",SmtRes!AC215:'SmtRes'!AC228)*Source!I196, 2))), 2)</f>
        <v>2.4700000000000002</v>
      </c>
      <c r="AN787" s="22">
        <f>L762+L768+L776+L785+L786+L769</f>
        <v>604.44000000000005</v>
      </c>
      <c r="AO787" s="22">
        <f>L768</f>
        <v>68</v>
      </c>
      <c r="AQ787" t="s">
        <v>897</v>
      </c>
      <c r="AR787" s="22">
        <f>L762</f>
        <v>147.69</v>
      </c>
      <c r="AT787" s="22">
        <f>L769</f>
        <v>33.200000000000003</v>
      </c>
      <c r="AV787" t="s">
        <v>897</v>
      </c>
      <c r="AW787" s="22">
        <f>L776</f>
        <v>10.049999999999999</v>
      </c>
      <c r="AZ787">
        <f>Source!X196</f>
        <v>211.64</v>
      </c>
      <c r="BA787">
        <f>Source!Y196</f>
        <v>133.86000000000001</v>
      </c>
      <c r="CD787">
        <v>1</v>
      </c>
    </row>
    <row r="788" spans="1:83" ht="38.25" x14ac:dyDescent="0.2">
      <c r="A788" s="72" t="s">
        <v>362</v>
      </c>
      <c r="B788" s="62" t="s">
        <v>983</v>
      </c>
      <c r="C788" s="62" t="str">
        <f>Source!G198</f>
        <v>Установка неразъемного соединения "полиэтилен-сталь" на газопроводе, диаметр газопровода: до 32 мм</v>
      </c>
      <c r="D788" s="73" t="str">
        <f>Source!H198</f>
        <v>ШТ</v>
      </c>
      <c r="E788" s="74">
        <f>Source!K198</f>
        <v>1</v>
      </c>
      <c r="F788" s="74"/>
      <c r="G788" s="74">
        <f>Source!I198</f>
        <v>1</v>
      </c>
      <c r="H788" s="75"/>
      <c r="I788" s="73"/>
      <c r="J788" s="75"/>
      <c r="K788" s="73"/>
      <c r="L788" s="75"/>
    </row>
    <row r="789" spans="1:83" x14ac:dyDescent="0.2">
      <c r="A789" s="76"/>
      <c r="B789" s="74">
        <v>1</v>
      </c>
      <c r="C789" s="76" t="s">
        <v>899</v>
      </c>
      <c r="D789" s="73" t="s">
        <v>484</v>
      </c>
      <c r="E789" s="77"/>
      <c r="F789" s="74"/>
      <c r="G789" s="74">
        <f>Source!U198</f>
        <v>0.39</v>
      </c>
      <c r="H789" s="74"/>
      <c r="I789" s="74"/>
      <c r="J789" s="74"/>
      <c r="K789" s="74"/>
      <c r="L789" s="78">
        <f>SUM(L790:L790)-SUMIF(CE790:CE790, 1, L790:L790)</f>
        <v>158.43</v>
      </c>
    </row>
    <row r="790" spans="1:83" x14ac:dyDescent="0.2">
      <c r="A790" s="62"/>
      <c r="B790" s="62" t="s">
        <v>759</v>
      </c>
      <c r="C790" s="62" t="s">
        <v>760</v>
      </c>
      <c r="D790" s="73" t="s">
        <v>484</v>
      </c>
      <c r="E790" s="74">
        <v>0.39</v>
      </c>
      <c r="F790" s="74"/>
      <c r="G790" s="74">
        <f>SmtRes!CX229</f>
        <v>0.39</v>
      </c>
      <c r="H790" s="75"/>
      <c r="I790" s="73"/>
      <c r="J790" s="75">
        <f>SmtRes!CZ229</f>
        <v>406.22</v>
      </c>
      <c r="K790" s="73"/>
      <c r="L790" s="75">
        <f>SmtRes!DI229</f>
        <v>158.43</v>
      </c>
    </row>
    <row r="791" spans="1:83" x14ac:dyDescent="0.2">
      <c r="A791" s="76"/>
      <c r="B791" s="74">
        <v>2</v>
      </c>
      <c r="C791" s="76" t="s">
        <v>890</v>
      </c>
      <c r="D791" s="73"/>
      <c r="E791" s="77"/>
      <c r="F791" s="74"/>
      <c r="G791" s="74"/>
      <c r="H791" s="74"/>
      <c r="I791" s="74"/>
      <c r="J791" s="74"/>
      <c r="K791" s="74"/>
      <c r="L791" s="78">
        <f>SUM(L792:L795)-SUMIF(CE792:CE795, 1, L792:L795)</f>
        <v>15.860000000000001</v>
      </c>
    </row>
    <row r="792" spans="1:83" hidden="1" x14ac:dyDescent="0.2">
      <c r="A792" s="76"/>
      <c r="B792" s="74"/>
      <c r="C792" s="76" t="s">
        <v>892</v>
      </c>
      <c r="D792" s="73" t="s">
        <v>484</v>
      </c>
      <c r="E792" s="77"/>
      <c r="F792" s="74"/>
      <c r="G792" s="74">
        <f>Source!V198</f>
        <v>0</v>
      </c>
      <c r="H792" s="74"/>
      <c r="I792" s="74"/>
      <c r="J792" s="74"/>
      <c r="K792" s="74"/>
      <c r="L792" s="78">
        <f>SUMIF(CE793:CE795, 1, L793:L795)</f>
        <v>0</v>
      </c>
      <c r="CE792">
        <v>1</v>
      </c>
    </row>
    <row r="793" spans="1:83" ht="51" x14ac:dyDescent="0.2">
      <c r="A793" s="62"/>
      <c r="B793" s="62" t="s">
        <v>761</v>
      </c>
      <c r="C793" s="62" t="s">
        <v>763</v>
      </c>
      <c r="D793" s="73" t="s">
        <v>488</v>
      </c>
      <c r="E793" s="74">
        <v>0.12</v>
      </c>
      <c r="F793" s="74"/>
      <c r="G793" s="74">
        <f>SmtRes!CX230</f>
        <v>0.12</v>
      </c>
      <c r="H793" s="75"/>
      <c r="I793" s="73"/>
      <c r="J793" s="75">
        <f>SmtRes!CZ230</f>
        <v>107.31</v>
      </c>
      <c r="K793" s="73"/>
      <c r="L793" s="75">
        <f>SmtRes!DG230</f>
        <v>12.88</v>
      </c>
    </row>
    <row r="794" spans="1:83" ht="38.25" x14ac:dyDescent="0.2">
      <c r="A794" s="62"/>
      <c r="B794" s="62" t="s">
        <v>588</v>
      </c>
      <c r="C794" s="62" t="s">
        <v>590</v>
      </c>
      <c r="D794" s="73" t="s">
        <v>488</v>
      </c>
      <c r="E794" s="74">
        <v>0.15</v>
      </c>
      <c r="F794" s="74"/>
      <c r="G794" s="74">
        <f>SmtRes!CX231</f>
        <v>0.15</v>
      </c>
      <c r="H794" s="75">
        <f>SmtRes!CZ231</f>
        <v>8.6300000000000008</v>
      </c>
      <c r="I794" s="73">
        <f>SmtRes!AJ231</f>
        <v>1.6</v>
      </c>
      <c r="J794" s="75">
        <f>ROUND(H794*I794, 2)</f>
        <v>13.81</v>
      </c>
      <c r="K794" s="73"/>
      <c r="L794" s="75">
        <f>SmtRes!DG231</f>
        <v>2.0699999999999998</v>
      </c>
    </row>
    <row r="795" spans="1:83" ht="38.25" x14ac:dyDescent="0.2">
      <c r="A795" s="62"/>
      <c r="B795" s="62" t="s">
        <v>591</v>
      </c>
      <c r="C795" s="62" t="s">
        <v>593</v>
      </c>
      <c r="D795" s="73" t="s">
        <v>488</v>
      </c>
      <c r="E795" s="74">
        <v>0.21</v>
      </c>
      <c r="F795" s="74"/>
      <c r="G795" s="74">
        <f>SmtRes!CX232</f>
        <v>0.21</v>
      </c>
      <c r="H795" s="75">
        <f>SmtRes!CZ232</f>
        <v>3.34</v>
      </c>
      <c r="I795" s="73">
        <f>SmtRes!AJ232</f>
        <v>1.3</v>
      </c>
      <c r="J795" s="75">
        <f>ROUND(H795*I795, 2)</f>
        <v>4.34</v>
      </c>
      <c r="K795" s="73"/>
      <c r="L795" s="75">
        <f>SmtRes!DG232</f>
        <v>0.91</v>
      </c>
    </row>
    <row r="796" spans="1:83" x14ac:dyDescent="0.2">
      <c r="A796" s="76"/>
      <c r="B796" s="74">
        <v>4</v>
      </c>
      <c r="C796" s="76" t="s">
        <v>937</v>
      </c>
      <c r="D796" s="73"/>
      <c r="E796" s="77"/>
      <c r="F796" s="74"/>
      <c r="G796" s="74"/>
      <c r="H796" s="74"/>
      <c r="I796" s="74"/>
      <c r="J796" s="74"/>
      <c r="K796" s="74"/>
      <c r="L796" s="78">
        <f>SUM(L797:L799)-SUMIF(CE797:CE799, 1, L797:L799)</f>
        <v>10.159999999999998</v>
      </c>
    </row>
    <row r="797" spans="1:83" ht="25.5" x14ac:dyDescent="0.2">
      <c r="A797" s="62"/>
      <c r="B797" s="62" t="s">
        <v>602</v>
      </c>
      <c r="C797" s="62" t="s">
        <v>604</v>
      </c>
      <c r="D797" s="73" t="s">
        <v>314</v>
      </c>
      <c r="E797" s="74">
        <v>6.0000000000000001E-3</v>
      </c>
      <c r="F797" s="74"/>
      <c r="G797" s="74">
        <f>SmtRes!CX233</f>
        <v>6.0000000000000001E-3</v>
      </c>
      <c r="H797" s="75">
        <f>SmtRes!CZ233</f>
        <v>596.80999999999995</v>
      </c>
      <c r="I797" s="73">
        <f>SmtRes!AI233</f>
        <v>1.68</v>
      </c>
      <c r="J797" s="75">
        <f>ROUND(H797*I797, 2)</f>
        <v>1002.64</v>
      </c>
      <c r="K797" s="73"/>
      <c r="L797" s="75">
        <f>SmtRes!DF233</f>
        <v>6.02</v>
      </c>
    </row>
    <row r="798" spans="1:83" ht="38.25" x14ac:dyDescent="0.2">
      <c r="A798" s="62"/>
      <c r="B798" s="62" t="s">
        <v>764</v>
      </c>
      <c r="C798" s="62" t="s">
        <v>766</v>
      </c>
      <c r="D798" s="73" t="s">
        <v>243</v>
      </c>
      <c r="E798" s="74">
        <v>4.0000000000000003E-5</v>
      </c>
      <c r="F798" s="74"/>
      <c r="G798" s="74">
        <f>SmtRes!CX234</f>
        <v>4.0000000000000003E-5</v>
      </c>
      <c r="H798" s="75"/>
      <c r="I798" s="73"/>
      <c r="J798" s="75">
        <f>SmtRes!CZ234</f>
        <v>101535.08</v>
      </c>
      <c r="K798" s="73"/>
      <c r="L798" s="75">
        <f>SmtRes!DF234</f>
        <v>4.0599999999999996</v>
      </c>
    </row>
    <row r="799" spans="1:83" x14ac:dyDescent="0.2">
      <c r="A799" s="62"/>
      <c r="B799" s="62" t="s">
        <v>594</v>
      </c>
      <c r="C799" s="62" t="s">
        <v>596</v>
      </c>
      <c r="D799" s="73" t="s">
        <v>314</v>
      </c>
      <c r="E799" s="74">
        <v>8.9999999999999998E-4</v>
      </c>
      <c r="F799" s="74"/>
      <c r="G799" s="74">
        <f>SmtRes!CX235</f>
        <v>8.9999999999999998E-4</v>
      </c>
      <c r="H799" s="75">
        <f>SmtRes!CZ235</f>
        <v>56.11</v>
      </c>
      <c r="I799" s="73">
        <f>SmtRes!AI235</f>
        <v>1.63</v>
      </c>
      <c r="J799" s="75">
        <f>ROUND(H799*I799, 2)</f>
        <v>91.46</v>
      </c>
      <c r="K799" s="73"/>
      <c r="L799" s="75">
        <f>SmtRes!DF235</f>
        <v>0.08</v>
      </c>
    </row>
    <row r="800" spans="1:83" ht="25.5" x14ac:dyDescent="0.2">
      <c r="A800" s="62"/>
      <c r="B800" s="62" t="str">
        <f>EtalonRes!I258</f>
        <v>23.8.03.07</v>
      </c>
      <c r="C800" s="62" t="str">
        <f>EtalonRes!K258</f>
        <v>Соединительный элемент «сталь-полиэтилен»</v>
      </c>
      <c r="D800" s="73" t="str">
        <f>EtalonRes!O258</f>
        <v>ШТ</v>
      </c>
      <c r="E800" s="74">
        <f>EtalonRes!X258</f>
        <v>1</v>
      </c>
      <c r="F800" s="74"/>
      <c r="G800" s="74">
        <f>ROUND(EtalonRes!AG258*Source!I198, 7)</f>
        <v>1</v>
      </c>
      <c r="H800" s="75"/>
      <c r="I800" s="73"/>
      <c r="J800" s="75"/>
      <c r="K800" s="73"/>
      <c r="L800" s="75"/>
    </row>
    <row r="801" spans="1:83" ht="25.5" x14ac:dyDescent="0.2">
      <c r="A801" s="62"/>
      <c r="B801" s="62" t="str">
        <f>EtalonRes!I259</f>
        <v>24.3.05.07</v>
      </c>
      <c r="C801" s="79" t="str">
        <f>EtalonRes!K259</f>
        <v>Муфты полиэтиленовые с закладными электронагревателями</v>
      </c>
      <c r="D801" s="80" t="str">
        <f>EtalonRes!O259</f>
        <v>ШТ</v>
      </c>
      <c r="E801" s="81">
        <f>EtalonRes!X259</f>
        <v>1</v>
      </c>
      <c r="F801" s="81"/>
      <c r="G801" s="81">
        <f>ROUND(EtalonRes!AG259*Source!I198, 7)</f>
        <v>1</v>
      </c>
      <c r="H801" s="82"/>
      <c r="I801" s="80"/>
      <c r="J801" s="82"/>
      <c r="K801" s="80"/>
      <c r="L801" s="82"/>
    </row>
    <row r="802" spans="1:83" x14ac:dyDescent="0.2">
      <c r="A802" s="62"/>
      <c r="B802" s="62"/>
      <c r="C802" s="61" t="s">
        <v>394</v>
      </c>
      <c r="D802" s="73"/>
      <c r="E802" s="74"/>
      <c r="F802" s="74"/>
      <c r="G802" s="74"/>
      <c r="H802" s="75"/>
      <c r="I802" s="73"/>
      <c r="J802" s="75"/>
      <c r="K802" s="73"/>
      <c r="L802" s="75">
        <f>L789+L791+L792+L796</f>
        <v>184.45000000000002</v>
      </c>
    </row>
    <row r="803" spans="1:83" x14ac:dyDescent="0.2">
      <c r="A803" s="62"/>
      <c r="B803" s="62"/>
      <c r="C803" s="62" t="s">
        <v>893</v>
      </c>
      <c r="D803" s="73"/>
      <c r="E803" s="74"/>
      <c r="F803" s="74"/>
      <c r="G803" s="74"/>
      <c r="H803" s="75"/>
      <c r="I803" s="73"/>
      <c r="J803" s="75"/>
      <c r="K803" s="73"/>
      <c r="L803" s="75">
        <f>SUM(AR788:AR806)+SUM(AS788:AS806)+SUM(AT788:AT806)+SUM(AU788:AU806)+SUM(AV788:AV806)</f>
        <v>158.43</v>
      </c>
    </row>
    <row r="804" spans="1:83" ht="38.25" x14ac:dyDescent="0.2">
      <c r="A804" s="62"/>
      <c r="B804" s="62" t="s">
        <v>43</v>
      </c>
      <c r="C804" s="62" t="s">
        <v>904</v>
      </c>
      <c r="D804" s="73" t="s">
        <v>194</v>
      </c>
      <c r="E804" s="74">
        <f>Source!BZ198</f>
        <v>117</v>
      </c>
      <c r="F804" s="74"/>
      <c r="G804" s="74">
        <f>Source!AT198</f>
        <v>117</v>
      </c>
      <c r="H804" s="75"/>
      <c r="I804" s="73"/>
      <c r="J804" s="75"/>
      <c r="K804" s="73"/>
      <c r="L804" s="75">
        <f>SUM(AZ788:AZ806)</f>
        <v>185.36</v>
      </c>
    </row>
    <row r="805" spans="1:83" ht="38.25" x14ac:dyDescent="0.2">
      <c r="A805" s="79"/>
      <c r="B805" s="79" t="s">
        <v>44</v>
      </c>
      <c r="C805" s="79" t="s">
        <v>905</v>
      </c>
      <c r="D805" s="80" t="s">
        <v>194</v>
      </c>
      <c r="E805" s="81">
        <f>Source!CA198</f>
        <v>74</v>
      </c>
      <c r="F805" s="81"/>
      <c r="G805" s="81">
        <f>Source!AU198</f>
        <v>74</v>
      </c>
      <c r="H805" s="82"/>
      <c r="I805" s="80"/>
      <c r="J805" s="82"/>
      <c r="K805" s="80"/>
      <c r="L805" s="82">
        <f>SUM(BA788:BA806)</f>
        <v>117.24</v>
      </c>
    </row>
    <row r="806" spans="1:83" x14ac:dyDescent="0.2">
      <c r="A806" s="43"/>
      <c r="B806" s="43"/>
      <c r="C806" s="119" t="s">
        <v>896</v>
      </c>
      <c r="D806" s="119"/>
      <c r="E806" s="119"/>
      <c r="F806" s="119"/>
      <c r="G806" s="119"/>
      <c r="H806" s="119"/>
      <c r="I806" s="120">
        <f>IF(E788&lt;&gt;0,K806/E788, 0)</f>
        <v>487.05000000000007</v>
      </c>
      <c r="J806" s="120"/>
      <c r="K806" s="120">
        <f>L789+L791+L796+L804+L805+L792</f>
        <v>487.05000000000007</v>
      </c>
      <c r="L806" s="120"/>
      <c r="AD806">
        <f>ROUND((Source!AT198/100)*((ROUND(SUMIF(SmtRes!AQ229:'SmtRes'!AQ235,"=1",SmtRes!AD229:'SmtRes'!AD235)*Source!I198, 2)+ROUND(SUMIF(SmtRes!AQ229:'SmtRes'!AQ235,"=1",SmtRes!AC229:'SmtRes'!AC235)*Source!I198, 2))), 2)</f>
        <v>475.28</v>
      </c>
      <c r="AE806">
        <f>ROUND((Source!AU198/100)*((ROUND(SUMIF(SmtRes!AQ229:'SmtRes'!AQ235,"=1",SmtRes!AD229:'SmtRes'!AD235)*Source!I198, 2)+ROUND(SUMIF(SmtRes!AQ229:'SmtRes'!AQ235,"=1",SmtRes!AC229:'SmtRes'!AC235)*Source!I198, 2))), 2)</f>
        <v>300.60000000000002</v>
      </c>
      <c r="AN806" s="22">
        <f>L789+L791+L796+L804+L805+L792</f>
        <v>487.05000000000007</v>
      </c>
      <c r="AO806" s="22">
        <f>L791</f>
        <v>15.860000000000001</v>
      </c>
      <c r="AQ806" t="s">
        <v>897</v>
      </c>
      <c r="AR806" s="22">
        <f>L789</f>
        <v>158.43</v>
      </c>
      <c r="AT806" s="22">
        <f>L792</f>
        <v>0</v>
      </c>
      <c r="AV806" t="s">
        <v>897</v>
      </c>
      <c r="AW806" s="22">
        <f>L796</f>
        <v>10.159999999999998</v>
      </c>
      <c r="AZ806">
        <f>Source!X198</f>
        <v>185.36</v>
      </c>
      <c r="BA806">
        <f>Source!Y198</f>
        <v>117.24</v>
      </c>
      <c r="CD806">
        <v>1</v>
      </c>
    </row>
    <row r="807" spans="1:83" ht="51" x14ac:dyDescent="0.2">
      <c r="A807" s="83" t="s">
        <v>366</v>
      </c>
      <c r="B807" s="79" t="str">
        <f>Source!F199</f>
        <v>23.8.04.08-0011</v>
      </c>
      <c r="C807" s="79" t="str">
        <f>Source!G199</f>
        <v>Соединение неразъемное полиэтилен-сталь, стандартное размерное отношение SDR11, наружный диаметр 32х32 мм</v>
      </c>
      <c r="D807" s="80" t="str">
        <f>Source!H199</f>
        <v>ШТ</v>
      </c>
      <c r="E807" s="81">
        <f>Source!K199</f>
        <v>1</v>
      </c>
      <c r="F807" s="81"/>
      <c r="G807" s="81">
        <f>Source!I199</f>
        <v>1</v>
      </c>
      <c r="H807" s="82">
        <f>Source!AL199</f>
        <v>403.06</v>
      </c>
      <c r="I807" s="80">
        <f>IF(Source!BC199&lt;&gt; 0, Source!BC199, 1)</f>
        <v>1.07</v>
      </c>
      <c r="J807" s="82">
        <f>ROUND(H807*I807, 2)</f>
        <v>431.27</v>
      </c>
      <c r="K807" s="80"/>
      <c r="L807" s="82">
        <f>Source!P199</f>
        <v>431.27</v>
      </c>
    </row>
    <row r="808" spans="1:83" x14ac:dyDescent="0.2">
      <c r="A808" s="43"/>
      <c r="B808" s="43"/>
      <c r="C808" s="119" t="s">
        <v>896</v>
      </c>
      <c r="D808" s="119"/>
      <c r="E808" s="119"/>
      <c r="F808" s="119"/>
      <c r="G808" s="119"/>
      <c r="H808" s="119"/>
      <c r="I808" s="120">
        <f>IF(E807&lt;&gt;0,K808/E807, 0)</f>
        <v>431.27</v>
      </c>
      <c r="J808" s="120"/>
      <c r="K808" s="120">
        <f>L807</f>
        <v>431.27</v>
      </c>
      <c r="L808" s="120"/>
      <c r="AD808">
        <f>ROUND((Source!AT199/100)*((ROUND(ROUND(Source!AO199,2)*Source!I199, 2)+ROUND(ROUND(Source!AN199,2)*Source!I199, 2))), 2)</f>
        <v>0</v>
      </c>
      <c r="AE808">
        <f>ROUND((Source!AU199/100)*((ROUND(ROUND(Source!AO199,2)*Source!I199, 2)+ROUND(ROUND(Source!AN199,2)*Source!I199, 2))), 2)</f>
        <v>0</v>
      </c>
      <c r="AN808" s="22">
        <f>L807</f>
        <v>431.27</v>
      </c>
      <c r="AO808">
        <f>0</f>
        <v>0</v>
      </c>
      <c r="AQ808" t="s">
        <v>897</v>
      </c>
      <c r="AR808">
        <f>0</f>
        <v>0</v>
      </c>
      <c r="AT808">
        <f>0</f>
        <v>0</v>
      </c>
      <c r="AV808" t="s">
        <v>897</v>
      </c>
      <c r="AW808" s="22">
        <f>L807</f>
        <v>431.27</v>
      </c>
      <c r="AZ808">
        <f>Source!X199</f>
        <v>0</v>
      </c>
      <c r="BA808">
        <f>Source!Y199</f>
        <v>0</v>
      </c>
      <c r="CD808">
        <v>1</v>
      </c>
    </row>
    <row r="809" spans="1:83" ht="25.5" x14ac:dyDescent="0.2">
      <c r="A809" s="72" t="s">
        <v>370</v>
      </c>
      <c r="B809" s="62" t="s">
        <v>945</v>
      </c>
      <c r="C809" s="62" t="str">
        <f>Source!G200</f>
        <v>Кабель, прокладываемый в траншее, масса 1м кабеля: до 0,6 кг</v>
      </c>
      <c r="D809" s="73" t="str">
        <f>Source!H200</f>
        <v>км кабеля</v>
      </c>
      <c r="E809" s="74">
        <f>Source!K200</f>
        <v>2.4E-2</v>
      </c>
      <c r="F809" s="74"/>
      <c r="G809" s="74">
        <f>Source!I200</f>
        <v>2.4E-2</v>
      </c>
      <c r="H809" s="75"/>
      <c r="I809" s="73"/>
      <c r="J809" s="75"/>
      <c r="K809" s="73"/>
      <c r="L809" s="75"/>
    </row>
    <row r="810" spans="1:83" x14ac:dyDescent="0.2">
      <c r="A810" s="76"/>
      <c r="B810" s="74">
        <v>1</v>
      </c>
      <c r="C810" s="76" t="s">
        <v>899</v>
      </c>
      <c r="D810" s="73" t="s">
        <v>484</v>
      </c>
      <c r="E810" s="77"/>
      <c r="F810" s="74"/>
      <c r="G810" s="74">
        <f>Source!U200</f>
        <v>0.64800000000000002</v>
      </c>
      <c r="H810" s="74"/>
      <c r="I810" s="74"/>
      <c r="J810" s="74"/>
      <c r="K810" s="74"/>
      <c r="L810" s="78">
        <f>SUM(L811:L811)-SUMIF(CE811:CE811, 1, L811:L811)</f>
        <v>244.84</v>
      </c>
    </row>
    <row r="811" spans="1:83" x14ac:dyDescent="0.2">
      <c r="A811" s="62"/>
      <c r="B811" s="62" t="s">
        <v>605</v>
      </c>
      <c r="C811" s="62" t="s">
        <v>606</v>
      </c>
      <c r="D811" s="73" t="s">
        <v>484</v>
      </c>
      <c r="E811" s="74">
        <v>27</v>
      </c>
      <c r="F811" s="74"/>
      <c r="G811" s="74">
        <f>SmtRes!CX236</f>
        <v>0.64800000000000002</v>
      </c>
      <c r="H811" s="75"/>
      <c r="I811" s="73"/>
      <c r="J811" s="75">
        <f>SmtRes!CZ236</f>
        <v>377.84</v>
      </c>
      <c r="K811" s="73"/>
      <c r="L811" s="75">
        <f>SmtRes!DI236</f>
        <v>244.84</v>
      </c>
    </row>
    <row r="812" spans="1:83" x14ac:dyDescent="0.2">
      <c r="A812" s="76"/>
      <c r="B812" s="74">
        <v>2</v>
      </c>
      <c r="C812" s="76" t="s">
        <v>890</v>
      </c>
      <c r="D812" s="73"/>
      <c r="E812" s="77"/>
      <c r="F812" s="74"/>
      <c r="G812" s="74"/>
      <c r="H812" s="74"/>
      <c r="I812" s="74"/>
      <c r="J812" s="74"/>
      <c r="K812" s="74"/>
      <c r="L812" s="78">
        <f>SUM(L813:L816)-SUMIF(CE813:CE816, 1, L813:L816)</f>
        <v>250.18</v>
      </c>
    </row>
    <row r="813" spans="1:83" x14ac:dyDescent="0.2">
      <c r="A813" s="76"/>
      <c r="B813" s="74"/>
      <c r="C813" s="76" t="s">
        <v>892</v>
      </c>
      <c r="D813" s="73" t="s">
        <v>484</v>
      </c>
      <c r="E813" s="77"/>
      <c r="F813" s="74"/>
      <c r="G813" s="74">
        <f>Source!V200</f>
        <v>0.17807999999999999</v>
      </c>
      <c r="H813" s="74"/>
      <c r="I813" s="74"/>
      <c r="J813" s="74"/>
      <c r="K813" s="74"/>
      <c r="L813" s="78">
        <f>SUMIF(CE814:CE816, 1, L814:L816)</f>
        <v>81.91</v>
      </c>
      <c r="CE813">
        <v>1</v>
      </c>
    </row>
    <row r="814" spans="1:83" ht="38.25" x14ac:dyDescent="0.2">
      <c r="A814" s="62"/>
      <c r="B814" s="62" t="s">
        <v>607</v>
      </c>
      <c r="C814" s="62" t="s">
        <v>609</v>
      </c>
      <c r="D814" s="73" t="s">
        <v>488</v>
      </c>
      <c r="E814" s="74">
        <v>7.42</v>
      </c>
      <c r="F814" s="74"/>
      <c r="G814" s="74">
        <f>SmtRes!CX238</f>
        <v>0.17807999999999999</v>
      </c>
      <c r="H814" s="75">
        <f>SmtRes!CZ238</f>
        <v>995.51</v>
      </c>
      <c r="I814" s="73">
        <f>SmtRes!AJ238</f>
        <v>1.35</v>
      </c>
      <c r="J814" s="75">
        <f>ROUND(H814*I814, 2)</f>
        <v>1343.94</v>
      </c>
      <c r="K814" s="73"/>
      <c r="L814" s="75">
        <f>SmtRes!DG238</f>
        <v>239.33</v>
      </c>
    </row>
    <row r="815" spans="1:83" x14ac:dyDescent="0.2">
      <c r="A815" s="62"/>
      <c r="B815" s="62" t="s">
        <v>497</v>
      </c>
      <c r="C815" s="62" t="s">
        <v>903</v>
      </c>
      <c r="D815" s="73" t="s">
        <v>484</v>
      </c>
      <c r="E815" s="74">
        <f>SmtRes!DO238*SmtRes!AT238</f>
        <v>7.42</v>
      </c>
      <c r="F815" s="74"/>
      <c r="G815" s="74">
        <f>ROUND(E815*G809, 7)</f>
        <v>0.17807999999999999</v>
      </c>
      <c r="H815" s="75"/>
      <c r="I815" s="73"/>
      <c r="J815" s="75">
        <f>ROUND(SmtRes!AG238/SmtRes!DO238, 2)</f>
        <v>459.98</v>
      </c>
      <c r="K815" s="73"/>
      <c r="L815" s="75">
        <f>SmtRes!DH238</f>
        <v>81.91</v>
      </c>
      <c r="CE815">
        <v>1</v>
      </c>
    </row>
    <row r="816" spans="1:83" ht="25.5" x14ac:dyDescent="0.2">
      <c r="A816" s="62"/>
      <c r="B816" s="62" t="s">
        <v>610</v>
      </c>
      <c r="C816" s="79" t="s">
        <v>612</v>
      </c>
      <c r="D816" s="80" t="s">
        <v>488</v>
      </c>
      <c r="E816" s="81">
        <v>7.42</v>
      </c>
      <c r="F816" s="81"/>
      <c r="G816" s="81">
        <f>SmtRes!CX239</f>
        <v>0.17807999999999999</v>
      </c>
      <c r="H816" s="82">
        <f>SmtRes!CZ239</f>
        <v>34.409999999999997</v>
      </c>
      <c r="I816" s="80">
        <f>SmtRes!AJ239</f>
        <v>1.77</v>
      </c>
      <c r="J816" s="82">
        <f>ROUND(H816*I816, 2)</f>
        <v>60.91</v>
      </c>
      <c r="K816" s="80"/>
      <c r="L816" s="82">
        <f>SmtRes!DG239</f>
        <v>10.85</v>
      </c>
    </row>
    <row r="817" spans="1:83" x14ac:dyDescent="0.2">
      <c r="A817" s="62"/>
      <c r="B817" s="62"/>
      <c r="C817" s="61" t="s">
        <v>394</v>
      </c>
      <c r="D817" s="73"/>
      <c r="E817" s="74"/>
      <c r="F817" s="74"/>
      <c r="G817" s="74"/>
      <c r="H817" s="75"/>
      <c r="I817" s="73"/>
      <c r="J817" s="75"/>
      <c r="K817" s="73"/>
      <c r="L817" s="75">
        <f>L810+L812+L813</f>
        <v>576.92999999999995</v>
      </c>
    </row>
    <row r="818" spans="1:83" ht="38.25" x14ac:dyDescent="0.2">
      <c r="A818" s="72" t="s">
        <v>984</v>
      </c>
      <c r="B818" s="62" t="str">
        <f>Source!F201</f>
        <v>421/пр_2020_п.75_пп.а</v>
      </c>
      <c r="C818" s="62" t="str">
        <f>Source!G201</f>
        <v>Сметная стоимость вспомогательных ненормируемых материальных ресурсов, не учтенная в сметной норме, 2%</v>
      </c>
      <c r="D818" s="73" t="str">
        <f>Source!H201</f>
        <v>%</v>
      </c>
      <c r="E818" s="74">
        <f>SmtRes!AT240</f>
        <v>2</v>
      </c>
      <c r="F818" s="74"/>
      <c r="G818" s="74">
        <f>Source!I201</f>
        <v>2</v>
      </c>
      <c r="H818" s="75"/>
      <c r="I818" s="73"/>
      <c r="J818" s="75"/>
      <c r="K818" s="73"/>
      <c r="L818" s="75">
        <f>Source!P201</f>
        <v>4.9000000000000004</v>
      </c>
      <c r="AD818">
        <f>ROUND((Source!AT201/100)*((ROUND(0*Source!I201, 2)+ROUND(0*Source!I201, 2))), 2)</f>
        <v>0</v>
      </c>
      <c r="AE818">
        <f>ROUND((Source!AU201/100)*((ROUND(0*Source!I201, 2)+ROUND(0*Source!I201, 2))), 2)</f>
        <v>0</v>
      </c>
      <c r="AN818">
        <f>L818</f>
        <v>4.9000000000000004</v>
      </c>
      <c r="AW818">
        <f>L818</f>
        <v>4.9000000000000004</v>
      </c>
      <c r="AZ818">
        <f>Source!X201</f>
        <v>0</v>
      </c>
      <c r="BA818">
        <f>Source!Y201</f>
        <v>0</v>
      </c>
      <c r="CD818">
        <v>2</v>
      </c>
    </row>
    <row r="819" spans="1:83" x14ac:dyDescent="0.2">
      <c r="A819" s="62"/>
      <c r="B819" s="62"/>
      <c r="C819" s="62" t="s">
        <v>893</v>
      </c>
      <c r="D819" s="73"/>
      <c r="E819" s="74"/>
      <c r="F819" s="74"/>
      <c r="G819" s="74"/>
      <c r="H819" s="75"/>
      <c r="I819" s="73"/>
      <c r="J819" s="75"/>
      <c r="K819" s="73"/>
      <c r="L819" s="75">
        <f>SUM(AR809:AR822)+SUM(AS809:AS822)+SUM(AT809:AT822)+SUM(AU809:AU822)+SUM(AV809:AV822)</f>
        <v>326.75</v>
      </c>
    </row>
    <row r="820" spans="1:83" ht="25.5" x14ac:dyDescent="0.2">
      <c r="A820" s="62"/>
      <c r="B820" s="62" t="s">
        <v>189</v>
      </c>
      <c r="C820" s="62" t="s">
        <v>947</v>
      </c>
      <c r="D820" s="73" t="s">
        <v>194</v>
      </c>
      <c r="E820" s="74">
        <f>Source!BZ200</f>
        <v>111</v>
      </c>
      <c r="F820" s="74"/>
      <c r="G820" s="74">
        <f>Source!AT200</f>
        <v>111</v>
      </c>
      <c r="H820" s="75"/>
      <c r="I820" s="73"/>
      <c r="J820" s="75"/>
      <c r="K820" s="73"/>
      <c r="L820" s="75">
        <f>SUM(AZ809:AZ822)</f>
        <v>362.69</v>
      </c>
    </row>
    <row r="821" spans="1:83" ht="25.5" x14ac:dyDescent="0.2">
      <c r="A821" s="79"/>
      <c r="B821" s="79" t="s">
        <v>190</v>
      </c>
      <c r="C821" s="79" t="s">
        <v>948</v>
      </c>
      <c r="D821" s="80" t="s">
        <v>194</v>
      </c>
      <c r="E821" s="81">
        <f>Source!CA200</f>
        <v>52</v>
      </c>
      <c r="F821" s="81"/>
      <c r="G821" s="81">
        <f>Source!AU200</f>
        <v>52</v>
      </c>
      <c r="H821" s="82"/>
      <c r="I821" s="80"/>
      <c r="J821" s="82"/>
      <c r="K821" s="80"/>
      <c r="L821" s="82">
        <f>SUM(BA809:BA822)</f>
        <v>169.91</v>
      </c>
    </row>
    <row r="822" spans="1:83" x14ac:dyDescent="0.2">
      <c r="A822" s="43"/>
      <c r="B822" s="43"/>
      <c r="C822" s="119" t="s">
        <v>896</v>
      </c>
      <c r="D822" s="119"/>
      <c r="E822" s="119"/>
      <c r="F822" s="119"/>
      <c r="G822" s="119"/>
      <c r="H822" s="119"/>
      <c r="I822" s="120">
        <f>IF(E809&lt;&gt;0,K822/E809, 0)</f>
        <v>46434.583333333343</v>
      </c>
      <c r="J822" s="120"/>
      <c r="K822" s="120">
        <f>L810+L812+L820+L821+L813+SUM(L818:L818)</f>
        <v>1114.4300000000003</v>
      </c>
      <c r="L822" s="120"/>
      <c r="AD822">
        <f>ROUND((Source!AT200/100)*((ROUND(SUMIF(SmtRes!AQ236:'SmtRes'!AQ240,"=1",SmtRes!AD236:'SmtRes'!AD240)*Source!I200, 2)+ROUND(SUMIF(SmtRes!AQ236:'SmtRes'!AQ240,"=1",SmtRes!AC236:'SmtRes'!AC240)*Source!I200, 2))), 2)</f>
        <v>22.32</v>
      </c>
      <c r="AE822">
        <f>ROUND((Source!AU200/100)*((ROUND(SUMIF(SmtRes!AQ236:'SmtRes'!AQ240,"=1",SmtRes!AD236:'SmtRes'!AD240)*Source!I200, 2)+ROUND(SUMIF(SmtRes!AQ236:'SmtRes'!AQ240,"=1",SmtRes!AC236:'SmtRes'!AC240)*Source!I200, 2))), 2)</f>
        <v>10.46</v>
      </c>
      <c r="AN822" s="22">
        <f>L810+L812+L820+L821+L813</f>
        <v>1109.5300000000002</v>
      </c>
      <c r="AO822" s="22">
        <f>L812</f>
        <v>250.18</v>
      </c>
      <c r="AQ822" t="s">
        <v>897</v>
      </c>
      <c r="AR822" s="22">
        <f>L810</f>
        <v>244.84</v>
      </c>
      <c r="AT822" s="22">
        <f>L813</f>
        <v>81.91</v>
      </c>
      <c r="AV822" t="s">
        <v>897</v>
      </c>
      <c r="AW822">
        <f>0</f>
        <v>0</v>
      </c>
      <c r="AZ822">
        <f>Source!X200</f>
        <v>362.69</v>
      </c>
      <c r="BA822">
        <f>Source!Y200</f>
        <v>169.91</v>
      </c>
      <c r="CD822">
        <v>2</v>
      </c>
    </row>
    <row r="823" spans="1:83" ht="63.75" x14ac:dyDescent="0.2">
      <c r="A823" s="83" t="s">
        <v>372</v>
      </c>
      <c r="B823" s="79" t="s">
        <v>1046</v>
      </c>
      <c r="C823" s="79" t="str">
        <f>Source!G202</f>
        <v>Провод-спутник медно-стальной  П-274М</v>
      </c>
      <c r="D823" s="80" t="str">
        <f>Source!H202</f>
        <v>м</v>
      </c>
      <c r="E823" s="81">
        <f>Source!K202</f>
        <v>24</v>
      </c>
      <c r="F823" s="81"/>
      <c r="G823" s="81">
        <f>Source!I202</f>
        <v>24</v>
      </c>
      <c r="H823" s="82"/>
      <c r="I823" s="80"/>
      <c r="J823" s="82">
        <f>Source!AL202</f>
        <v>45.18</v>
      </c>
      <c r="K823" s="80"/>
      <c r="L823" s="82">
        <f>Source!HG202</f>
        <v>1084.32</v>
      </c>
    </row>
    <row r="824" spans="1:83" x14ac:dyDescent="0.2">
      <c r="A824" s="43"/>
      <c r="B824" s="43"/>
      <c r="C824" s="119" t="s">
        <v>896</v>
      </c>
      <c r="D824" s="119"/>
      <c r="E824" s="119"/>
      <c r="F824" s="119"/>
      <c r="G824" s="119"/>
      <c r="H824" s="119"/>
      <c r="I824" s="120">
        <f>IF(E823&lt;&gt;0,K824/E823, 0)</f>
        <v>45.18</v>
      </c>
      <c r="J824" s="120"/>
      <c r="K824" s="120">
        <f>L823</f>
        <v>1084.32</v>
      </c>
      <c r="L824" s="120"/>
      <c r="AD824">
        <f>ROUND((Source!AT202/100)*((ROUND(ROUND(Source!AO202,2)*Source!I202, 2)+ROUND(ROUND(Source!AN202,2)*Source!I202, 2))), 2)</f>
        <v>0</v>
      </c>
      <c r="AE824">
        <f>ROUND((Source!AU202/100)*((ROUND(ROUND(Source!AO202,2)*Source!I202, 2)+ROUND(ROUND(Source!AN202,2)*Source!I202, 2))), 2)</f>
        <v>0</v>
      </c>
      <c r="AN824" s="22">
        <f>L823</f>
        <v>1084.32</v>
      </c>
      <c r="AO824">
        <f>0</f>
        <v>0</v>
      </c>
      <c r="AQ824" t="s">
        <v>897</v>
      </c>
      <c r="AR824">
        <f>0</f>
        <v>0</v>
      </c>
      <c r="AT824">
        <f>0</f>
        <v>0</v>
      </c>
      <c r="AV824" t="s">
        <v>897</v>
      </c>
      <c r="AW824" s="22">
        <f>L823</f>
        <v>1084.32</v>
      </c>
      <c r="AX824" s="22">
        <f>L823</f>
        <v>1084.32</v>
      </c>
      <c r="AZ824">
        <f>Source!X202</f>
        <v>0</v>
      </c>
      <c r="BA824">
        <f>Source!Y202</f>
        <v>0</v>
      </c>
      <c r="CD824">
        <v>1</v>
      </c>
    </row>
    <row r="825" spans="1:83" ht="51" x14ac:dyDescent="0.2">
      <c r="A825" s="72" t="s">
        <v>377</v>
      </c>
      <c r="B825" s="62" t="s">
        <v>985</v>
      </c>
      <c r="C825" s="62" t="str">
        <f>Source!G203</f>
        <v>Сварка полиэтиленовых труб при помощи соединительных деталей с закладными электронагревателями, диаметр труб: до 32 мм</v>
      </c>
      <c r="D825" s="73" t="str">
        <f>Source!H203</f>
        <v>соединение</v>
      </c>
      <c r="E825" s="74">
        <f>Source!K203</f>
        <v>2</v>
      </c>
      <c r="F825" s="74"/>
      <c r="G825" s="74">
        <f>Source!I203</f>
        <v>2</v>
      </c>
      <c r="H825" s="75"/>
      <c r="I825" s="73"/>
      <c r="J825" s="75"/>
      <c r="K825" s="73"/>
      <c r="L825" s="75"/>
    </row>
    <row r="826" spans="1:83" x14ac:dyDescent="0.2">
      <c r="A826" s="76"/>
      <c r="B826" s="74">
        <v>1</v>
      </c>
      <c r="C826" s="76" t="s">
        <v>899</v>
      </c>
      <c r="D826" s="73" t="s">
        <v>484</v>
      </c>
      <c r="E826" s="77"/>
      <c r="F826" s="74"/>
      <c r="G826" s="74">
        <f>Source!U203</f>
        <v>0.56000000000000005</v>
      </c>
      <c r="H826" s="74"/>
      <c r="I826" s="74"/>
      <c r="J826" s="74"/>
      <c r="K826" s="74"/>
      <c r="L826" s="78">
        <f>SUM(L827:L827)-SUMIF(CE827:CE827, 1, L827:L827)</f>
        <v>216.61</v>
      </c>
    </row>
    <row r="827" spans="1:83" x14ac:dyDescent="0.2">
      <c r="A827" s="62"/>
      <c r="B827" s="62" t="s">
        <v>600</v>
      </c>
      <c r="C827" s="62" t="s">
        <v>601</v>
      </c>
      <c r="D827" s="73" t="s">
        <v>484</v>
      </c>
      <c r="E827" s="74">
        <v>0.28000000000000003</v>
      </c>
      <c r="F827" s="74"/>
      <c r="G827" s="74">
        <f>SmtRes!CX241</f>
        <v>0.56000000000000005</v>
      </c>
      <c r="H827" s="75"/>
      <c r="I827" s="73"/>
      <c r="J827" s="75">
        <f>SmtRes!CZ241</f>
        <v>386.8</v>
      </c>
      <c r="K827" s="73"/>
      <c r="L827" s="75">
        <f>SmtRes!DI241</f>
        <v>216.61</v>
      </c>
    </row>
    <row r="828" spans="1:83" x14ac:dyDescent="0.2">
      <c r="A828" s="76"/>
      <c r="B828" s="74">
        <v>2</v>
      </c>
      <c r="C828" s="76" t="s">
        <v>890</v>
      </c>
      <c r="D828" s="73"/>
      <c r="E828" s="77"/>
      <c r="F828" s="74"/>
      <c r="G828" s="74"/>
      <c r="H828" s="74"/>
      <c r="I828" s="74"/>
      <c r="J828" s="74"/>
      <c r="K828" s="74"/>
      <c r="L828" s="78">
        <f>SUM(L829:L831)-SUMIF(CE829:CE831, 1, L829:L831)</f>
        <v>6.66</v>
      </c>
    </row>
    <row r="829" spans="1:83" hidden="1" x14ac:dyDescent="0.2">
      <c r="A829" s="76"/>
      <c r="B829" s="74"/>
      <c r="C829" s="76" t="s">
        <v>892</v>
      </c>
      <c r="D829" s="73" t="s">
        <v>484</v>
      </c>
      <c r="E829" s="77"/>
      <c r="F829" s="74"/>
      <c r="G829" s="74">
        <f>Source!V203</f>
        <v>0</v>
      </c>
      <c r="H829" s="74"/>
      <c r="I829" s="74"/>
      <c r="J829" s="74"/>
      <c r="K829" s="74"/>
      <c r="L829" s="78">
        <f>SUMIF(CE830:CE831, 1, L830:L831)</f>
        <v>0</v>
      </c>
      <c r="CE829">
        <v>1</v>
      </c>
    </row>
    <row r="830" spans="1:83" ht="38.25" x14ac:dyDescent="0.2">
      <c r="A830" s="62"/>
      <c r="B830" s="62" t="s">
        <v>588</v>
      </c>
      <c r="C830" s="62" t="s">
        <v>590</v>
      </c>
      <c r="D830" s="73" t="s">
        <v>488</v>
      </c>
      <c r="E830" s="74">
        <v>0.15</v>
      </c>
      <c r="F830" s="74"/>
      <c r="G830" s="74">
        <f>SmtRes!CX242</f>
        <v>0.3</v>
      </c>
      <c r="H830" s="75">
        <f>SmtRes!CZ242</f>
        <v>8.6300000000000008</v>
      </c>
      <c r="I830" s="73">
        <f>SmtRes!AJ242</f>
        <v>1.6</v>
      </c>
      <c r="J830" s="75">
        <f>ROUND(H830*I830, 2)</f>
        <v>13.81</v>
      </c>
      <c r="K830" s="73"/>
      <c r="L830" s="75">
        <f>SmtRes!DG242</f>
        <v>4.1399999999999997</v>
      </c>
    </row>
    <row r="831" spans="1:83" ht="38.25" x14ac:dyDescent="0.2">
      <c r="A831" s="62"/>
      <c r="B831" s="62" t="s">
        <v>591</v>
      </c>
      <c r="C831" s="62" t="s">
        <v>593</v>
      </c>
      <c r="D831" s="73" t="s">
        <v>488</v>
      </c>
      <c r="E831" s="74">
        <v>0.28999999999999998</v>
      </c>
      <c r="F831" s="74"/>
      <c r="G831" s="74">
        <f>SmtRes!CX243</f>
        <v>0.57999999999999996</v>
      </c>
      <c r="H831" s="75">
        <f>SmtRes!CZ243</f>
        <v>3.34</v>
      </c>
      <c r="I831" s="73">
        <f>SmtRes!AJ243</f>
        <v>1.3</v>
      </c>
      <c r="J831" s="75">
        <f>ROUND(H831*I831, 2)</f>
        <v>4.34</v>
      </c>
      <c r="K831" s="73"/>
      <c r="L831" s="75">
        <f>SmtRes!DG243</f>
        <v>2.52</v>
      </c>
    </row>
    <row r="832" spans="1:83" x14ac:dyDescent="0.2">
      <c r="A832" s="76"/>
      <c r="B832" s="74">
        <v>4</v>
      </c>
      <c r="C832" s="76" t="s">
        <v>937</v>
      </c>
      <c r="D832" s="73"/>
      <c r="E832" s="77"/>
      <c r="F832" s="74"/>
      <c r="G832" s="74"/>
      <c r="H832" s="74"/>
      <c r="I832" s="74"/>
      <c r="J832" s="74"/>
      <c r="K832" s="74"/>
      <c r="L832" s="78">
        <f>SUM(L833:L834)-SUMIF(CE833:CE834, 1, L833:L834)</f>
        <v>20.23</v>
      </c>
    </row>
    <row r="833" spans="1:83" ht="25.5" x14ac:dyDescent="0.2">
      <c r="A833" s="62"/>
      <c r="B833" s="62" t="s">
        <v>602</v>
      </c>
      <c r="C833" s="62" t="s">
        <v>604</v>
      </c>
      <c r="D833" s="73" t="s">
        <v>314</v>
      </c>
      <c r="E833" s="74">
        <v>0.01</v>
      </c>
      <c r="F833" s="74"/>
      <c r="G833" s="74">
        <f>SmtRes!CX244</f>
        <v>0.02</v>
      </c>
      <c r="H833" s="75">
        <f>SmtRes!CZ244</f>
        <v>596.80999999999995</v>
      </c>
      <c r="I833" s="73">
        <f>SmtRes!AI244</f>
        <v>1.68</v>
      </c>
      <c r="J833" s="75">
        <f>ROUND(H833*I833, 2)</f>
        <v>1002.64</v>
      </c>
      <c r="K833" s="73"/>
      <c r="L833" s="75">
        <f>SmtRes!DF244</f>
        <v>20.05</v>
      </c>
    </row>
    <row r="834" spans="1:83" x14ac:dyDescent="0.2">
      <c r="A834" s="62"/>
      <c r="B834" s="62" t="s">
        <v>594</v>
      </c>
      <c r="C834" s="62" t="s">
        <v>596</v>
      </c>
      <c r="D834" s="73" t="s">
        <v>314</v>
      </c>
      <c r="E834" s="74">
        <v>1E-3</v>
      </c>
      <c r="F834" s="74"/>
      <c r="G834" s="74">
        <f>SmtRes!CX245</f>
        <v>2E-3</v>
      </c>
      <c r="H834" s="75">
        <f>SmtRes!CZ245</f>
        <v>56.11</v>
      </c>
      <c r="I834" s="73">
        <f>SmtRes!AI245</f>
        <v>1.63</v>
      </c>
      <c r="J834" s="75">
        <f>ROUND(H834*I834, 2)</f>
        <v>91.46</v>
      </c>
      <c r="K834" s="73"/>
      <c r="L834" s="75">
        <f>SmtRes!DF245</f>
        <v>0.18</v>
      </c>
    </row>
    <row r="835" spans="1:83" ht="25.5" x14ac:dyDescent="0.2">
      <c r="A835" s="62"/>
      <c r="B835" s="62" t="str">
        <f>EtalonRes!I270</f>
        <v>24.3.05.07</v>
      </c>
      <c r="C835" s="79" t="str">
        <f>EtalonRes!K270</f>
        <v>Муфты полиэтиленовые с закладными электронагревателями</v>
      </c>
      <c r="D835" s="80" t="str">
        <f>EtalonRes!O270</f>
        <v>ШТ</v>
      </c>
      <c r="E835" s="81">
        <f>EtalonRes!X270</f>
        <v>1</v>
      </c>
      <c r="F835" s="81"/>
      <c r="G835" s="81">
        <f>ROUND(EtalonRes!AG270*Source!I203, 7)</f>
        <v>2</v>
      </c>
      <c r="H835" s="82"/>
      <c r="I835" s="80"/>
      <c r="J835" s="82"/>
      <c r="K835" s="80"/>
      <c r="L835" s="82"/>
    </row>
    <row r="836" spans="1:83" x14ac:dyDescent="0.2">
      <c r="A836" s="62"/>
      <c r="B836" s="62"/>
      <c r="C836" s="61" t="s">
        <v>394</v>
      </c>
      <c r="D836" s="73"/>
      <c r="E836" s="74"/>
      <c r="F836" s="74"/>
      <c r="G836" s="74"/>
      <c r="H836" s="75"/>
      <c r="I836" s="73"/>
      <c r="J836" s="75"/>
      <c r="K836" s="73"/>
      <c r="L836" s="75">
        <f>L826+L828+L829+L832</f>
        <v>243.5</v>
      </c>
    </row>
    <row r="837" spans="1:83" ht="25.5" x14ac:dyDescent="0.2">
      <c r="A837" s="72" t="s">
        <v>986</v>
      </c>
      <c r="B837" s="62" t="str">
        <f>Source!F204</f>
        <v>24.3.05.07-0512</v>
      </c>
      <c r="C837" s="62" t="str">
        <f>Source!G204</f>
        <v>Муфта полиэтиленовая электросварная, ПЭ100, SDR11, диаметр 32 мм</v>
      </c>
      <c r="D837" s="73" t="str">
        <f>Source!H204</f>
        <v>ШТ</v>
      </c>
      <c r="E837" s="74">
        <f>SmtRes!AT246</f>
        <v>1</v>
      </c>
      <c r="F837" s="74"/>
      <c r="G837" s="74">
        <f>Source!I204</f>
        <v>2</v>
      </c>
      <c r="H837" s="75">
        <f>Source!AL204+Source!AO204+Source!AM204+Source!AN204</f>
        <v>120.79</v>
      </c>
      <c r="I837" s="73">
        <f>IF(Source!BC204&lt;&gt; 0, Source!BC204, 1)</f>
        <v>1.27</v>
      </c>
      <c r="J837" s="75">
        <f>ROUND(H837*I837, 2)</f>
        <v>153.4</v>
      </c>
      <c r="K837" s="73"/>
      <c r="L837" s="75">
        <f>Source!P204</f>
        <v>306.8</v>
      </c>
      <c r="AD837">
        <f>ROUND((Source!AT204/100)*((ROUND(ROUND(Source!AO204,2)*Source!I204, 2)+ROUND(ROUND(Source!AN204,2)*Source!I204, 2))), 2)</f>
        <v>0</v>
      </c>
      <c r="AE837">
        <f>ROUND((Source!AU204/100)*((ROUND(ROUND(Source!AO204,2)*Source!I204, 2)+ROUND(ROUND(Source!AN204,2)*Source!I204, 2))), 2)</f>
        <v>0</v>
      </c>
      <c r="AN837">
        <f>L837</f>
        <v>306.8</v>
      </c>
      <c r="AW837">
        <f>L837</f>
        <v>306.8</v>
      </c>
      <c r="AZ837">
        <f>Source!X204</f>
        <v>0</v>
      </c>
      <c r="BA837">
        <f>Source!Y204</f>
        <v>0</v>
      </c>
      <c r="CD837">
        <v>1</v>
      </c>
    </row>
    <row r="838" spans="1:83" x14ac:dyDescent="0.2">
      <c r="A838" s="62"/>
      <c r="B838" s="62"/>
      <c r="C838" s="62" t="s">
        <v>893</v>
      </c>
      <c r="D838" s="73"/>
      <c r="E838" s="74"/>
      <c r="F838" s="74"/>
      <c r="G838" s="74"/>
      <c r="H838" s="75"/>
      <c r="I838" s="73"/>
      <c r="J838" s="75"/>
      <c r="K838" s="73"/>
      <c r="L838" s="75">
        <f>SUM(AR825:AR841)+SUM(AS825:AS841)+SUM(AT825:AT841)+SUM(AU825:AU841)+SUM(AV825:AV841)</f>
        <v>216.61</v>
      </c>
    </row>
    <row r="839" spans="1:83" ht="38.25" x14ac:dyDescent="0.2">
      <c r="A839" s="62"/>
      <c r="B839" s="62" t="s">
        <v>43</v>
      </c>
      <c r="C839" s="62" t="s">
        <v>904</v>
      </c>
      <c r="D839" s="73" t="s">
        <v>194</v>
      </c>
      <c r="E839" s="74">
        <f>Source!BZ203</f>
        <v>117</v>
      </c>
      <c r="F839" s="74"/>
      <c r="G839" s="74">
        <f>Source!AT203</f>
        <v>117</v>
      </c>
      <c r="H839" s="75"/>
      <c r="I839" s="73"/>
      <c r="J839" s="75"/>
      <c r="K839" s="73"/>
      <c r="L839" s="75">
        <f>SUM(AZ825:AZ841)</f>
        <v>253.43</v>
      </c>
    </row>
    <row r="840" spans="1:83" ht="38.25" x14ac:dyDescent="0.2">
      <c r="A840" s="79"/>
      <c r="B840" s="79" t="s">
        <v>44</v>
      </c>
      <c r="C840" s="79" t="s">
        <v>905</v>
      </c>
      <c r="D840" s="80" t="s">
        <v>194</v>
      </c>
      <c r="E840" s="81">
        <f>Source!CA203</f>
        <v>74</v>
      </c>
      <c r="F840" s="81"/>
      <c r="G840" s="81">
        <f>Source!AU203</f>
        <v>74</v>
      </c>
      <c r="H840" s="82"/>
      <c r="I840" s="80"/>
      <c r="J840" s="82"/>
      <c r="K840" s="80"/>
      <c r="L840" s="82">
        <f>SUM(BA825:BA841)</f>
        <v>160.29</v>
      </c>
    </row>
    <row r="841" spans="1:83" x14ac:dyDescent="0.2">
      <c r="A841" s="43"/>
      <c r="B841" s="43"/>
      <c r="C841" s="119" t="s">
        <v>896</v>
      </c>
      <c r="D841" s="119"/>
      <c r="E841" s="119"/>
      <c r="F841" s="119"/>
      <c r="G841" s="119"/>
      <c r="H841" s="119"/>
      <c r="I841" s="120">
        <f>IF(E825&lt;&gt;0,K841/E825, 0)</f>
        <v>482.01</v>
      </c>
      <c r="J841" s="120"/>
      <c r="K841" s="120">
        <f>L826+L828+L832+L839+L840+L829+SUM(L837:L837)</f>
        <v>964.02</v>
      </c>
      <c r="L841" s="120"/>
      <c r="AD841">
        <f>ROUND((Source!AT203/100)*((ROUND(SUMIF(SmtRes!AQ241:'SmtRes'!AQ246,"=1",SmtRes!AD241:'SmtRes'!AD246)*Source!I203, 2)+ROUND(SUMIF(SmtRes!AQ241:'SmtRes'!AQ246,"=1",SmtRes!AC241:'SmtRes'!AC246)*Source!I203, 2))), 2)</f>
        <v>905.11</v>
      </c>
      <c r="AE841">
        <f>ROUND((Source!AU203/100)*((ROUND(SUMIF(SmtRes!AQ241:'SmtRes'!AQ246,"=1",SmtRes!AD241:'SmtRes'!AD246)*Source!I203, 2)+ROUND(SUMIF(SmtRes!AQ241:'SmtRes'!AQ246,"=1",SmtRes!AC241:'SmtRes'!AC246)*Source!I203, 2))), 2)</f>
        <v>572.46</v>
      </c>
      <c r="AN841" s="22">
        <f>L826+L828+L832+L839+L840+L829</f>
        <v>657.22</v>
      </c>
      <c r="AO841" s="22">
        <f>L828</f>
        <v>6.66</v>
      </c>
      <c r="AQ841" t="s">
        <v>897</v>
      </c>
      <c r="AR841" s="22">
        <f>L826</f>
        <v>216.61</v>
      </c>
      <c r="AT841" s="22">
        <f>L829</f>
        <v>0</v>
      </c>
      <c r="AV841" t="s">
        <v>897</v>
      </c>
      <c r="AW841" s="22">
        <f>L832</f>
        <v>20.23</v>
      </c>
      <c r="AZ841">
        <f>Source!X203</f>
        <v>253.43</v>
      </c>
      <c r="BA841">
        <f>Source!Y203</f>
        <v>160.29</v>
      </c>
      <c r="CD841">
        <v>1</v>
      </c>
    </row>
    <row r="842" spans="1:83" ht="63.75" x14ac:dyDescent="0.2">
      <c r="A842" s="72" t="s">
        <v>385</v>
      </c>
      <c r="B842" s="62" t="s">
        <v>987</v>
      </c>
      <c r="C842" s="62" t="str">
        <f>Source!G205</f>
        <v>Установка седловых отводов полиэтиленовых с закладными нагревателями на газопроводе из полиэтиленовых труб диаметром: свыше 63 до 110 мм</v>
      </c>
      <c r="D842" s="73" t="str">
        <f>Source!H205</f>
        <v>соединение</v>
      </c>
      <c r="E842" s="74">
        <f>Source!K205</f>
        <v>1</v>
      </c>
      <c r="F842" s="74"/>
      <c r="G842" s="74">
        <f>Source!I205</f>
        <v>1</v>
      </c>
      <c r="H842" s="75"/>
      <c r="I842" s="73"/>
      <c r="J842" s="75"/>
      <c r="K842" s="73"/>
      <c r="L842" s="75"/>
    </row>
    <row r="843" spans="1:83" x14ac:dyDescent="0.2">
      <c r="A843" s="76"/>
      <c r="B843" s="74">
        <v>1</v>
      </c>
      <c r="C843" s="76" t="s">
        <v>899</v>
      </c>
      <c r="D843" s="73" t="s">
        <v>484</v>
      </c>
      <c r="E843" s="77"/>
      <c r="F843" s="74"/>
      <c r="G843" s="74">
        <f>Source!U205</f>
        <v>1.4</v>
      </c>
      <c r="H843" s="74"/>
      <c r="I843" s="74"/>
      <c r="J843" s="74"/>
      <c r="K843" s="74"/>
      <c r="L843" s="78">
        <f>SUM(L844:L844)-SUMIF(CE844:CE844, 1, L844:L844)</f>
        <v>602.15</v>
      </c>
    </row>
    <row r="844" spans="1:83" x14ac:dyDescent="0.2">
      <c r="A844" s="62"/>
      <c r="B844" s="62" t="s">
        <v>543</v>
      </c>
      <c r="C844" s="62" t="s">
        <v>544</v>
      </c>
      <c r="D844" s="73" t="s">
        <v>484</v>
      </c>
      <c r="E844" s="74">
        <v>1.4</v>
      </c>
      <c r="F844" s="74"/>
      <c r="G844" s="74">
        <f>SmtRes!CX247</f>
        <v>1.4</v>
      </c>
      <c r="H844" s="75"/>
      <c r="I844" s="73"/>
      <c r="J844" s="75">
        <f>SmtRes!CZ247</f>
        <v>430.11</v>
      </c>
      <c r="K844" s="73"/>
      <c r="L844" s="75">
        <f>SmtRes!DI247</f>
        <v>602.15</v>
      </c>
    </row>
    <row r="845" spans="1:83" x14ac:dyDescent="0.2">
      <c r="A845" s="76"/>
      <c r="B845" s="74">
        <v>2</v>
      </c>
      <c r="C845" s="76" t="s">
        <v>890</v>
      </c>
      <c r="D845" s="73"/>
      <c r="E845" s="77"/>
      <c r="F845" s="74"/>
      <c r="G845" s="74"/>
      <c r="H845" s="74"/>
      <c r="I845" s="74"/>
      <c r="J845" s="74"/>
      <c r="K845" s="74"/>
      <c r="L845" s="78">
        <f>SUM(L846:L847)-SUMIF(CE846:CE847, 1, L846:L847)</f>
        <v>5.25</v>
      </c>
    </row>
    <row r="846" spans="1:83" hidden="1" x14ac:dyDescent="0.2">
      <c r="A846" s="76"/>
      <c r="B846" s="74"/>
      <c r="C846" s="76" t="s">
        <v>892</v>
      </c>
      <c r="D846" s="73" t="s">
        <v>484</v>
      </c>
      <c r="E846" s="77"/>
      <c r="F846" s="74"/>
      <c r="G846" s="74">
        <f>Source!V205</f>
        <v>0</v>
      </c>
      <c r="H846" s="74"/>
      <c r="I846" s="74"/>
      <c r="J846" s="74"/>
      <c r="K846" s="74"/>
      <c r="L846" s="78">
        <f>SUMIF(CE847:CE847, 1, L847:L847)</f>
        <v>0</v>
      </c>
      <c r="CE846">
        <v>1</v>
      </c>
    </row>
    <row r="847" spans="1:83" ht="38.25" x14ac:dyDescent="0.2">
      <c r="A847" s="62"/>
      <c r="B847" s="62" t="s">
        <v>588</v>
      </c>
      <c r="C847" s="62" t="s">
        <v>590</v>
      </c>
      <c r="D847" s="73" t="s">
        <v>488</v>
      </c>
      <c r="E847" s="74">
        <v>0.38</v>
      </c>
      <c r="F847" s="74"/>
      <c r="G847" s="74">
        <f>SmtRes!CX248</f>
        <v>0.38</v>
      </c>
      <c r="H847" s="75">
        <f>SmtRes!CZ248</f>
        <v>8.6300000000000008</v>
      </c>
      <c r="I847" s="73">
        <f>SmtRes!AJ248</f>
        <v>1.6</v>
      </c>
      <c r="J847" s="75">
        <f>ROUND(H847*I847, 2)</f>
        <v>13.81</v>
      </c>
      <c r="K847" s="73"/>
      <c r="L847" s="75">
        <f>SmtRes!DG248</f>
        <v>5.25</v>
      </c>
    </row>
    <row r="848" spans="1:83" x14ac:dyDescent="0.2">
      <c r="A848" s="76"/>
      <c r="B848" s="74">
        <v>4</v>
      </c>
      <c r="C848" s="76" t="s">
        <v>937</v>
      </c>
      <c r="D848" s="73"/>
      <c r="E848" s="77"/>
      <c r="F848" s="74"/>
      <c r="G848" s="74"/>
      <c r="H848" s="74"/>
      <c r="I848" s="74"/>
      <c r="J848" s="74"/>
      <c r="K848" s="74"/>
      <c r="L848" s="78">
        <f>SUM(L849:L849)-SUMIF(CE849:CE849, 1, L849:L849)</f>
        <v>40.11</v>
      </c>
    </row>
    <row r="849" spans="1:82" ht="25.5" x14ac:dyDescent="0.2">
      <c r="A849" s="62"/>
      <c r="B849" s="62" t="s">
        <v>602</v>
      </c>
      <c r="C849" s="62" t="s">
        <v>604</v>
      </c>
      <c r="D849" s="73" t="s">
        <v>314</v>
      </c>
      <c r="E849" s="74">
        <v>0.04</v>
      </c>
      <c r="F849" s="74"/>
      <c r="G849" s="74">
        <f>SmtRes!CX249</f>
        <v>0.04</v>
      </c>
      <c r="H849" s="75">
        <f>SmtRes!CZ249</f>
        <v>596.80999999999995</v>
      </c>
      <c r="I849" s="73">
        <f>SmtRes!AI249</f>
        <v>1.68</v>
      </c>
      <c r="J849" s="75">
        <f>ROUND(H849*I849, 2)</f>
        <v>1002.64</v>
      </c>
      <c r="K849" s="73"/>
      <c r="L849" s="75">
        <f>SmtRes!DF249</f>
        <v>40.11</v>
      </c>
    </row>
    <row r="850" spans="1:82" ht="25.5" x14ac:dyDescent="0.2">
      <c r="A850" s="62"/>
      <c r="B850" s="62" t="str">
        <f>EtalonRes!I274</f>
        <v>24.3.05.13</v>
      </c>
      <c r="C850" s="79" t="str">
        <f>EtalonRes!K274</f>
        <v>Седелка крановая полиэтиленовая с закладными электронагревателями</v>
      </c>
      <c r="D850" s="80" t="str">
        <f>EtalonRes!O274</f>
        <v>ШТ</v>
      </c>
      <c r="E850" s="81">
        <f>EtalonRes!X274</f>
        <v>1</v>
      </c>
      <c r="F850" s="81"/>
      <c r="G850" s="81">
        <f>ROUND(EtalonRes!AG274*Source!I205, 7)</f>
        <v>1</v>
      </c>
      <c r="H850" s="82"/>
      <c r="I850" s="80"/>
      <c r="J850" s="82"/>
      <c r="K850" s="80"/>
      <c r="L850" s="82"/>
    </row>
    <row r="851" spans="1:82" x14ac:dyDescent="0.2">
      <c r="A851" s="62"/>
      <c r="B851" s="62"/>
      <c r="C851" s="61" t="s">
        <v>394</v>
      </c>
      <c r="D851" s="73"/>
      <c r="E851" s="74"/>
      <c r="F851" s="74"/>
      <c r="G851" s="74"/>
      <c r="H851" s="75"/>
      <c r="I851" s="73"/>
      <c r="J851" s="75"/>
      <c r="K851" s="73"/>
      <c r="L851" s="75">
        <f>L843+L845+L846+L848</f>
        <v>647.51</v>
      </c>
    </row>
    <row r="852" spans="1:82" ht="51" x14ac:dyDescent="0.2">
      <c r="A852" s="72" t="s">
        <v>988</v>
      </c>
      <c r="B852" s="62" t="str">
        <f>Source!F206</f>
        <v>24.3.05.13-0002</v>
      </c>
      <c r="C852" s="62" t="str">
        <f>Source!G206</f>
        <v>Седелка крановая полиэтиленовая электросварная, стандартное размерное отношение SDR11, номинальный наружный диаметр 110х32 мм</v>
      </c>
      <c r="D852" s="73" t="str">
        <f>Source!H206</f>
        <v>ШТ</v>
      </c>
      <c r="E852" s="74">
        <f>SmtRes!AT250</f>
        <v>1</v>
      </c>
      <c r="F852" s="74"/>
      <c r="G852" s="74">
        <f>Source!I206</f>
        <v>1</v>
      </c>
      <c r="H852" s="75">
        <f>Source!AL206+Source!AO206+Source!AM206+Source!AN206</f>
        <v>3106.43</v>
      </c>
      <c r="I852" s="73">
        <f>IF(Source!BC206&lt;&gt; 0, Source!BC206, 1)</f>
        <v>0.99</v>
      </c>
      <c r="J852" s="75">
        <f>ROUND(H852*I852, 2)</f>
        <v>3075.37</v>
      </c>
      <c r="K852" s="73"/>
      <c r="L852" s="75">
        <f>Source!P206</f>
        <v>3075.37</v>
      </c>
      <c r="AD852">
        <f>ROUND((Source!AT206/100)*((ROUND(ROUND(Source!AO206,2)*Source!I206, 2)+ROUND(ROUND(Source!AN206,2)*Source!I206, 2))), 2)</f>
        <v>0</v>
      </c>
      <c r="AE852">
        <f>ROUND((Source!AU206/100)*((ROUND(ROUND(Source!AO206,2)*Source!I206, 2)+ROUND(ROUND(Source!AN206,2)*Source!I206, 2))), 2)</f>
        <v>0</v>
      </c>
      <c r="AN852">
        <f>L852</f>
        <v>3075.37</v>
      </c>
      <c r="AW852">
        <f>L852</f>
        <v>3075.37</v>
      </c>
      <c r="AZ852">
        <f>Source!X206</f>
        <v>0</v>
      </c>
      <c r="BA852">
        <f>Source!Y206</f>
        <v>0</v>
      </c>
      <c r="CD852">
        <v>1</v>
      </c>
    </row>
    <row r="853" spans="1:82" x14ac:dyDescent="0.2">
      <c r="A853" s="62"/>
      <c r="B853" s="62"/>
      <c r="C853" s="62" t="s">
        <v>893</v>
      </c>
      <c r="D853" s="73"/>
      <c r="E853" s="74"/>
      <c r="F853" s="74"/>
      <c r="G853" s="74"/>
      <c r="H853" s="75"/>
      <c r="I853" s="73"/>
      <c r="J853" s="75"/>
      <c r="K853" s="73"/>
      <c r="L853" s="75">
        <f>SUM(AR842:AR856)+SUM(AS842:AS856)+SUM(AT842:AT856)+SUM(AU842:AU856)+SUM(AV842:AV856)</f>
        <v>602.15</v>
      </c>
    </row>
    <row r="854" spans="1:82" ht="38.25" x14ac:dyDescent="0.2">
      <c r="A854" s="62"/>
      <c r="B854" s="62" t="s">
        <v>43</v>
      </c>
      <c r="C854" s="62" t="s">
        <v>904</v>
      </c>
      <c r="D854" s="73" t="s">
        <v>194</v>
      </c>
      <c r="E854" s="74">
        <f>Source!BZ205</f>
        <v>117</v>
      </c>
      <c r="F854" s="74"/>
      <c r="G854" s="74">
        <f>Source!AT205</f>
        <v>117</v>
      </c>
      <c r="H854" s="75"/>
      <c r="I854" s="73"/>
      <c r="J854" s="75"/>
      <c r="K854" s="73"/>
      <c r="L854" s="75">
        <f>SUM(AZ842:AZ856)</f>
        <v>704.52</v>
      </c>
    </row>
    <row r="855" spans="1:82" ht="38.25" x14ac:dyDescent="0.2">
      <c r="A855" s="79"/>
      <c r="B855" s="79" t="s">
        <v>44</v>
      </c>
      <c r="C855" s="79" t="s">
        <v>905</v>
      </c>
      <c r="D855" s="80" t="s">
        <v>194</v>
      </c>
      <c r="E855" s="81">
        <f>Source!CA205</f>
        <v>74</v>
      </c>
      <c r="F855" s="81"/>
      <c r="G855" s="81">
        <f>Source!AU205</f>
        <v>74</v>
      </c>
      <c r="H855" s="82"/>
      <c r="I855" s="80"/>
      <c r="J855" s="82"/>
      <c r="K855" s="80"/>
      <c r="L855" s="82">
        <f>SUM(BA842:BA856)</f>
        <v>445.59</v>
      </c>
    </row>
    <row r="856" spans="1:82" x14ac:dyDescent="0.2">
      <c r="A856" s="43"/>
      <c r="B856" s="43"/>
      <c r="C856" s="119" t="s">
        <v>896</v>
      </c>
      <c r="D856" s="119"/>
      <c r="E856" s="119"/>
      <c r="F856" s="119"/>
      <c r="G856" s="119"/>
      <c r="H856" s="119"/>
      <c r="I856" s="120">
        <f>IF(E842&lt;&gt;0,K856/E842, 0)</f>
        <v>4872.99</v>
      </c>
      <c r="J856" s="120"/>
      <c r="K856" s="120">
        <f>L843+L845+L848+L854+L855+L846+SUM(L852:L852)</f>
        <v>4872.99</v>
      </c>
      <c r="L856" s="120"/>
      <c r="AD856">
        <f>ROUND((Source!AT205/100)*((ROUND(SUMIF(SmtRes!AQ247:'SmtRes'!AQ250,"=1",SmtRes!AD247:'SmtRes'!AD250)*Source!I205, 2)+ROUND(SUMIF(SmtRes!AQ247:'SmtRes'!AQ250,"=1",SmtRes!AC247:'SmtRes'!AC250)*Source!I205, 2))), 2)</f>
        <v>503.23</v>
      </c>
      <c r="AE856">
        <f>ROUND((Source!AU205/100)*((ROUND(SUMIF(SmtRes!AQ247:'SmtRes'!AQ250,"=1",SmtRes!AD247:'SmtRes'!AD250)*Source!I205, 2)+ROUND(SUMIF(SmtRes!AQ247:'SmtRes'!AQ250,"=1",SmtRes!AC247:'SmtRes'!AC250)*Source!I205, 2))), 2)</f>
        <v>318.27999999999997</v>
      </c>
      <c r="AN856" s="22">
        <f>L843+L845+L848+L854+L855+L846</f>
        <v>1797.62</v>
      </c>
      <c r="AO856" s="22">
        <f>L845</f>
        <v>5.25</v>
      </c>
      <c r="AQ856" t="s">
        <v>897</v>
      </c>
      <c r="AR856" s="22">
        <f>L843</f>
        <v>602.15</v>
      </c>
      <c r="AT856" s="22">
        <f>L846</f>
        <v>0</v>
      </c>
      <c r="AV856" t="s">
        <v>897</v>
      </c>
      <c r="AW856" s="22">
        <f>L848</f>
        <v>40.11</v>
      </c>
      <c r="AZ856">
        <f>Source!X205</f>
        <v>704.52</v>
      </c>
      <c r="BA856">
        <f>Source!Y205</f>
        <v>445.59</v>
      </c>
      <c r="CD856">
        <v>1</v>
      </c>
    </row>
    <row r="857" spans="1:82" x14ac:dyDescent="0.2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</row>
    <row r="858" spans="1:82" x14ac:dyDescent="0.2">
      <c r="A858" s="84"/>
      <c r="B858" s="61"/>
      <c r="C858" s="118" t="s">
        <v>908</v>
      </c>
      <c r="D858" s="118"/>
      <c r="E858" s="118"/>
      <c r="F858" s="118"/>
      <c r="G858" s="118"/>
      <c r="H858" s="118"/>
      <c r="I858" s="78"/>
      <c r="J858" s="84"/>
      <c r="K858" s="85"/>
      <c r="L858" s="78">
        <f>L860+L861+L867+L871</f>
        <v>75288.359999999986</v>
      </c>
    </row>
    <row r="859" spans="1:82" x14ac:dyDescent="0.2">
      <c r="A859" s="86"/>
      <c r="B859" s="62"/>
      <c r="C859" s="124" t="s">
        <v>909</v>
      </c>
      <c r="D859" s="124"/>
      <c r="E859" s="124"/>
      <c r="F859" s="124"/>
      <c r="G859" s="124"/>
      <c r="H859" s="124"/>
      <c r="I859" s="75"/>
      <c r="J859" s="86"/>
      <c r="K859" s="74"/>
      <c r="L859" s="75"/>
    </row>
    <row r="860" spans="1:82" x14ac:dyDescent="0.2">
      <c r="A860" s="86"/>
      <c r="B860" s="62"/>
      <c r="C860" s="124" t="s">
        <v>910</v>
      </c>
      <c r="D860" s="124"/>
      <c r="E860" s="124"/>
      <c r="F860" s="124"/>
      <c r="G860" s="124"/>
      <c r="H860" s="124"/>
      <c r="I860" s="75"/>
      <c r="J860" s="86"/>
      <c r="K860" s="74"/>
      <c r="L860" s="75">
        <f>SUM(AR618:AR856)</f>
        <v>13446.580000000002</v>
      </c>
    </row>
    <row r="861" spans="1:82" hidden="1" x14ac:dyDescent="0.2">
      <c r="A861" s="86"/>
      <c r="B861" s="62"/>
      <c r="C861" s="124" t="s">
        <v>911</v>
      </c>
      <c r="D861" s="124"/>
      <c r="E861" s="124"/>
      <c r="F861" s="124"/>
      <c r="G861" s="124"/>
      <c r="H861" s="124"/>
      <c r="I861" s="75"/>
      <c r="J861" s="86"/>
      <c r="K861" s="74"/>
      <c r="L861" s="75">
        <f>L863+L866+L865</f>
        <v>32019.60999999999</v>
      </c>
    </row>
    <row r="862" spans="1:82" hidden="1" x14ac:dyDescent="0.2">
      <c r="A862" s="86"/>
      <c r="B862" s="62"/>
      <c r="C862" s="124" t="s">
        <v>912</v>
      </c>
      <c r="D862" s="124"/>
      <c r="E862" s="124"/>
      <c r="F862" s="124"/>
      <c r="G862" s="124"/>
      <c r="H862" s="124"/>
      <c r="I862" s="75"/>
      <c r="J862" s="86"/>
      <c r="K862" s="74"/>
      <c r="L862" s="75"/>
    </row>
    <row r="863" spans="1:82" x14ac:dyDescent="0.2">
      <c r="A863" s="86"/>
      <c r="B863" s="62"/>
      <c r="C863" s="124" t="s">
        <v>911</v>
      </c>
      <c r="D863" s="124"/>
      <c r="E863" s="124"/>
      <c r="F863" s="124"/>
      <c r="G863" s="124"/>
      <c r="H863" s="124"/>
      <c r="I863" s="75"/>
      <c r="J863" s="86"/>
      <c r="K863" s="74"/>
      <c r="L863" s="75">
        <f>SUM(AO618:AO856)</f>
        <v>25192.05999999999</v>
      </c>
    </row>
    <row r="864" spans="1:82" hidden="1" x14ac:dyDescent="0.2">
      <c r="A864" s="86"/>
      <c r="B864" s="62"/>
      <c r="C864" s="124" t="s">
        <v>913</v>
      </c>
      <c r="D864" s="124"/>
      <c r="E864" s="124"/>
      <c r="F864" s="124"/>
      <c r="G864" s="124"/>
      <c r="H864" s="124"/>
      <c r="I864" s="75"/>
      <c r="J864" s="86"/>
      <c r="K864" s="74"/>
      <c r="L864" s="75"/>
    </row>
    <row r="865" spans="1:12" x14ac:dyDescent="0.2">
      <c r="A865" s="86"/>
      <c r="B865" s="62"/>
      <c r="C865" s="124" t="s">
        <v>933</v>
      </c>
      <c r="D865" s="124"/>
      <c r="E865" s="124"/>
      <c r="F865" s="124"/>
      <c r="G865" s="124"/>
      <c r="H865" s="124"/>
      <c r="I865" s="75"/>
      <c r="J865" s="86"/>
      <c r="K865" s="74"/>
      <c r="L865" s="75">
        <f>SUM(AT618:AT856)</f>
        <v>6827.5499999999993</v>
      </c>
    </row>
    <row r="866" spans="1:12" hidden="1" x14ac:dyDescent="0.2">
      <c r="A866" s="86"/>
      <c r="B866" s="62"/>
      <c r="C866" s="124" t="s">
        <v>914</v>
      </c>
      <c r="D866" s="124"/>
      <c r="E866" s="124"/>
      <c r="F866" s="124"/>
      <c r="G866" s="124"/>
      <c r="H866" s="124"/>
      <c r="I866" s="75"/>
      <c r="J866" s="86"/>
      <c r="K866" s="74"/>
      <c r="L866" s="75">
        <f>SUM(AV618:AV856)</f>
        <v>0</v>
      </c>
    </row>
    <row r="867" spans="1:12" x14ac:dyDescent="0.2">
      <c r="A867" s="86"/>
      <c r="B867" s="62"/>
      <c r="C867" s="124" t="s">
        <v>915</v>
      </c>
      <c r="D867" s="124"/>
      <c r="E867" s="124"/>
      <c r="F867" s="124"/>
      <c r="G867" s="124"/>
      <c r="H867" s="124"/>
      <c r="I867" s="75"/>
      <c r="J867" s="86"/>
      <c r="K867" s="74"/>
      <c r="L867" s="75">
        <f>L869+L870</f>
        <v>29822.170000000002</v>
      </c>
    </row>
    <row r="868" spans="1:12" x14ac:dyDescent="0.2">
      <c r="A868" s="86"/>
      <c r="B868" s="62"/>
      <c r="C868" s="124" t="s">
        <v>912</v>
      </c>
      <c r="D868" s="124"/>
      <c r="E868" s="124"/>
      <c r="F868" s="124"/>
      <c r="G868" s="124"/>
      <c r="H868" s="124"/>
      <c r="I868" s="75"/>
      <c r="J868" s="86"/>
      <c r="K868" s="74"/>
      <c r="L868" s="75"/>
    </row>
    <row r="869" spans="1:12" x14ac:dyDescent="0.2">
      <c r="A869" s="86"/>
      <c r="B869" s="62"/>
      <c r="C869" s="124" t="s">
        <v>916</v>
      </c>
      <c r="D869" s="124"/>
      <c r="E869" s="124"/>
      <c r="F869" s="124"/>
      <c r="G869" s="124"/>
      <c r="H869" s="124"/>
      <c r="I869" s="75"/>
      <c r="J869" s="86"/>
      <c r="K869" s="74"/>
      <c r="L869" s="75">
        <f>SUM(AW618:AW856)-SUM(BK618:BK856)</f>
        <v>29822.170000000002</v>
      </c>
    </row>
    <row r="870" spans="1:12" hidden="1" x14ac:dyDescent="0.2">
      <c r="A870" s="86"/>
      <c r="B870" s="62"/>
      <c r="C870" s="124" t="s">
        <v>917</v>
      </c>
      <c r="D870" s="124"/>
      <c r="E870" s="124"/>
      <c r="F870" s="124"/>
      <c r="G870" s="124"/>
      <c r="H870" s="124"/>
      <c r="I870" s="75"/>
      <c r="J870" s="86"/>
      <c r="K870" s="74"/>
      <c r="L870" s="75">
        <f>SUM(BC618:BC856)</f>
        <v>0</v>
      </c>
    </row>
    <row r="871" spans="1:12" hidden="1" x14ac:dyDescent="0.2">
      <c r="A871" s="86"/>
      <c r="B871" s="62"/>
      <c r="C871" s="124" t="s">
        <v>918</v>
      </c>
      <c r="D871" s="124"/>
      <c r="E871" s="124"/>
      <c r="F871" s="124"/>
      <c r="G871" s="124"/>
      <c r="H871" s="124"/>
      <c r="I871" s="75"/>
      <c r="J871" s="86"/>
      <c r="K871" s="74"/>
      <c r="L871" s="75">
        <f>SUM(BB618:BB856)</f>
        <v>0</v>
      </c>
    </row>
    <row r="872" spans="1:12" x14ac:dyDescent="0.2">
      <c r="A872" s="86"/>
      <c r="B872" s="62"/>
      <c r="C872" s="124" t="s">
        <v>919</v>
      </c>
      <c r="D872" s="124"/>
      <c r="E872" s="124"/>
      <c r="F872" s="124"/>
      <c r="G872" s="124"/>
      <c r="H872" s="124"/>
      <c r="I872" s="75"/>
      <c r="J872" s="86"/>
      <c r="K872" s="74"/>
      <c r="L872" s="75">
        <f>SUM(AR618:AR856)+SUM(AT618:AT856)+SUM(AV618:AV856)</f>
        <v>20274.13</v>
      </c>
    </row>
    <row r="873" spans="1:12" x14ac:dyDescent="0.2">
      <c r="A873" s="86"/>
      <c r="B873" s="62"/>
      <c r="C873" s="124" t="s">
        <v>920</v>
      </c>
      <c r="D873" s="124"/>
      <c r="E873" s="124"/>
      <c r="F873" s="124"/>
      <c r="G873" s="124"/>
      <c r="H873" s="124"/>
      <c r="I873" s="75"/>
      <c r="J873" s="86"/>
      <c r="K873" s="74"/>
      <c r="L873" s="75">
        <f>SUM(AZ618:AZ856)</f>
        <v>22403.62</v>
      </c>
    </row>
    <row r="874" spans="1:12" x14ac:dyDescent="0.2">
      <c r="A874" s="86"/>
      <c r="B874" s="62"/>
      <c r="C874" s="124" t="s">
        <v>921</v>
      </c>
      <c r="D874" s="124"/>
      <c r="E874" s="124"/>
      <c r="F874" s="124"/>
      <c r="G874" s="124"/>
      <c r="H874" s="124"/>
      <c r="I874" s="75"/>
      <c r="J874" s="86"/>
      <c r="K874" s="74"/>
      <c r="L874" s="75">
        <f>SUM(BA618:BA856)</f>
        <v>11708.34</v>
      </c>
    </row>
    <row r="875" spans="1:12" hidden="1" x14ac:dyDescent="0.2">
      <c r="A875" s="86"/>
      <c r="B875" s="62"/>
      <c r="C875" s="124" t="s">
        <v>922</v>
      </c>
      <c r="D875" s="124"/>
      <c r="E875" s="124"/>
      <c r="F875" s="124"/>
      <c r="G875" s="124"/>
      <c r="H875" s="124"/>
      <c r="I875" s="75"/>
      <c r="J875" s="86"/>
      <c r="K875" s="74"/>
      <c r="L875" s="75">
        <f>L877+L878</f>
        <v>0</v>
      </c>
    </row>
    <row r="876" spans="1:12" hidden="1" x14ac:dyDescent="0.2">
      <c r="A876" s="86"/>
      <c r="B876" s="62"/>
      <c r="C876" s="124" t="s">
        <v>909</v>
      </c>
      <c r="D876" s="124"/>
      <c r="E876" s="124"/>
      <c r="F876" s="124"/>
      <c r="G876" s="124"/>
      <c r="H876" s="124"/>
      <c r="I876" s="75"/>
      <c r="J876" s="86"/>
      <c r="K876" s="74"/>
      <c r="L876" s="75"/>
    </row>
    <row r="877" spans="1:12" hidden="1" x14ac:dyDescent="0.2">
      <c r="A877" s="86"/>
      <c r="B877" s="62"/>
      <c r="C877" s="124" t="s">
        <v>923</v>
      </c>
      <c r="D877" s="124"/>
      <c r="E877" s="124"/>
      <c r="F877" s="124"/>
      <c r="G877" s="124"/>
      <c r="H877" s="124"/>
      <c r="I877" s="75"/>
      <c r="J877" s="86"/>
      <c r="K877" s="74"/>
      <c r="L877" s="75">
        <f>SUM(BK618:BK856)</f>
        <v>0</v>
      </c>
    </row>
    <row r="878" spans="1:12" hidden="1" x14ac:dyDescent="0.2">
      <c r="A878" s="86"/>
      <c r="B878" s="62"/>
      <c r="C878" s="124" t="s">
        <v>924</v>
      </c>
      <c r="D878" s="124"/>
      <c r="E878" s="124"/>
      <c r="F878" s="124"/>
      <c r="G878" s="124"/>
      <c r="H878" s="124"/>
      <c r="I878" s="75"/>
      <c r="J878" s="86"/>
      <c r="K878" s="74"/>
      <c r="L878" s="75">
        <f>SUM(BD618:BD856)</f>
        <v>0</v>
      </c>
    </row>
    <row r="879" spans="1:12" hidden="1" x14ac:dyDescent="0.2">
      <c r="A879" s="86"/>
      <c r="B879" s="62"/>
      <c r="C879" s="124" t="s">
        <v>925</v>
      </c>
      <c r="D879" s="124"/>
      <c r="E879" s="124"/>
      <c r="F879" s="124"/>
      <c r="G879" s="124"/>
      <c r="H879" s="124"/>
      <c r="I879" s="75"/>
      <c r="J879" s="86"/>
      <c r="K879" s="74"/>
      <c r="L879" s="75"/>
    </row>
    <row r="880" spans="1:12" hidden="1" x14ac:dyDescent="0.2">
      <c r="A880" s="86"/>
      <c r="B880" s="62"/>
      <c r="C880" s="124" t="s">
        <v>925</v>
      </c>
      <c r="D880" s="124"/>
      <c r="E880" s="124"/>
      <c r="F880" s="124"/>
      <c r="G880" s="124"/>
      <c r="H880" s="124"/>
      <c r="I880" s="75"/>
      <c r="J880" s="86"/>
      <c r="K880" s="74"/>
      <c r="L880" s="75">
        <f>SUM(BQ618:BQ856)</f>
        <v>0</v>
      </c>
    </row>
    <row r="881" spans="1:12" hidden="1" x14ac:dyDescent="0.2">
      <c r="A881" s="86"/>
      <c r="B881" s="62"/>
      <c r="C881" s="124" t="s">
        <v>926</v>
      </c>
      <c r="D881" s="124"/>
      <c r="E881" s="124"/>
      <c r="F881" s="124"/>
      <c r="G881" s="124"/>
      <c r="H881" s="124"/>
      <c r="I881" s="75"/>
      <c r="J881" s="86"/>
      <c r="K881" s="74"/>
      <c r="L881" s="75">
        <f>SUM(BO618:BO856)</f>
        <v>0</v>
      </c>
    </row>
    <row r="882" spans="1:12" x14ac:dyDescent="0.2">
      <c r="A882" s="84"/>
      <c r="B882" s="61"/>
      <c r="C882" s="118" t="s">
        <v>927</v>
      </c>
      <c r="D882" s="118"/>
      <c r="E882" s="118"/>
      <c r="F882" s="118"/>
      <c r="G882" s="118"/>
      <c r="H882" s="118"/>
      <c r="I882" s="78"/>
      <c r="J882" s="84"/>
      <c r="K882" s="85"/>
      <c r="L882" s="78">
        <f>L858+L873+L874+L875+L880+L881</f>
        <v>109400.31999999998</v>
      </c>
    </row>
    <row r="883" spans="1:12" x14ac:dyDescent="0.2">
      <c r="A883" s="86"/>
      <c r="B883" s="62"/>
      <c r="C883" s="124" t="s">
        <v>928</v>
      </c>
      <c r="D883" s="124"/>
      <c r="E883" s="124"/>
      <c r="F883" s="124"/>
      <c r="G883" s="124"/>
      <c r="H883" s="124"/>
      <c r="I883" s="75"/>
      <c r="J883" s="86"/>
      <c r="K883" s="74"/>
      <c r="L883" s="75"/>
    </row>
    <row r="884" spans="1:12" x14ac:dyDescent="0.2">
      <c r="A884" s="86"/>
      <c r="B884" s="62"/>
      <c r="C884" s="124" t="s">
        <v>929</v>
      </c>
      <c r="D884" s="124"/>
      <c r="E884" s="124"/>
      <c r="F884" s="124"/>
      <c r="G884" s="124"/>
      <c r="H884" s="124"/>
      <c r="I884" s="75"/>
      <c r="J884" s="86"/>
      <c r="K884" s="74"/>
      <c r="L884" s="75">
        <f>SUM(AX618:AX856)</f>
        <v>1084.32</v>
      </c>
    </row>
    <row r="885" spans="1:12" hidden="1" x14ac:dyDescent="0.2">
      <c r="A885" s="86"/>
      <c r="B885" s="62"/>
      <c r="C885" s="124" t="s">
        <v>930</v>
      </c>
      <c r="D885" s="124"/>
      <c r="E885" s="124"/>
      <c r="F885" s="124"/>
      <c r="G885" s="124"/>
      <c r="H885" s="124"/>
      <c r="I885" s="75"/>
      <c r="J885" s="86"/>
      <c r="K885" s="74"/>
      <c r="L885" s="75">
        <f>SUM(AY618:AY856)</f>
        <v>0</v>
      </c>
    </row>
    <row r="886" spans="1:12" x14ac:dyDescent="0.2">
      <c r="A886" s="86"/>
      <c r="B886" s="62"/>
      <c r="C886" s="124" t="s">
        <v>931</v>
      </c>
      <c r="D886" s="124"/>
      <c r="E886" s="124"/>
      <c r="F886" s="125"/>
      <c r="G886" s="77">
        <f>Source!F230</f>
        <v>32.084290000000003</v>
      </c>
      <c r="H886" s="86"/>
      <c r="I886" s="86"/>
      <c r="J886" s="86"/>
      <c r="K886" s="86"/>
      <c r="L886" s="86"/>
    </row>
    <row r="887" spans="1:12" x14ac:dyDescent="0.2">
      <c r="A887" s="86"/>
      <c r="B887" s="62"/>
      <c r="C887" s="124" t="s">
        <v>932</v>
      </c>
      <c r="D887" s="124"/>
      <c r="E887" s="124"/>
      <c r="F887" s="125"/>
      <c r="G887" s="77">
        <f>Source!F231</f>
        <v>13.885149999999999</v>
      </c>
      <c r="H887" s="86"/>
      <c r="I887" s="86"/>
      <c r="J887" s="86"/>
      <c r="K887" s="86"/>
      <c r="L887" s="86"/>
    </row>
    <row r="888" spans="1:12" x14ac:dyDescent="0.2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</row>
    <row r="889" spans="1:12" x14ac:dyDescent="0.2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</row>
    <row r="890" spans="1:12" x14ac:dyDescent="0.2">
      <c r="A890" s="87"/>
      <c r="B890" s="65"/>
      <c r="C890" s="126" t="s">
        <v>989</v>
      </c>
      <c r="D890" s="126"/>
      <c r="E890" s="126"/>
      <c r="F890" s="126"/>
      <c r="G890" s="126"/>
      <c r="H890" s="126"/>
      <c r="I890" s="88"/>
      <c r="J890" s="87"/>
      <c r="K890" s="89"/>
      <c r="L890" s="88"/>
    </row>
    <row r="891" spans="1:12" x14ac:dyDescent="0.2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</row>
    <row r="892" spans="1:12" x14ac:dyDescent="0.2">
      <c r="A892" s="84"/>
      <c r="B892" s="61"/>
      <c r="C892" s="118" t="s">
        <v>990</v>
      </c>
      <c r="D892" s="118"/>
      <c r="E892" s="118"/>
      <c r="F892" s="118"/>
      <c r="G892" s="118"/>
      <c r="H892" s="118"/>
      <c r="I892" s="78"/>
      <c r="J892" s="84"/>
      <c r="K892" s="85"/>
      <c r="L892" s="78">
        <f>L894+L909+L910</f>
        <v>314279.77</v>
      </c>
    </row>
    <row r="893" spans="1:12" x14ac:dyDescent="0.2">
      <c r="A893" s="86"/>
      <c r="B893" s="62"/>
      <c r="C893" s="124" t="s">
        <v>909</v>
      </c>
      <c r="D893" s="124"/>
      <c r="E893" s="124"/>
      <c r="F893" s="124"/>
      <c r="G893" s="124"/>
      <c r="H893" s="124"/>
      <c r="I893" s="75"/>
      <c r="J893" s="86"/>
      <c r="K893" s="74"/>
      <c r="L893" s="75"/>
    </row>
    <row r="894" spans="1:12" x14ac:dyDescent="0.2">
      <c r="A894" s="86"/>
      <c r="B894" s="62"/>
      <c r="C894" s="124" t="s">
        <v>991</v>
      </c>
      <c r="D894" s="124"/>
      <c r="E894" s="124"/>
      <c r="F894" s="124"/>
      <c r="G894" s="124"/>
      <c r="H894" s="124"/>
      <c r="I894" s="75"/>
      <c r="J894" s="86"/>
      <c r="K894" s="74"/>
      <c r="L894" s="75">
        <f>L896+L897+L903+L907</f>
        <v>200350.78000000003</v>
      </c>
    </row>
    <row r="895" spans="1:12" x14ac:dyDescent="0.2">
      <c r="A895" s="86"/>
      <c r="B895" s="62"/>
      <c r="C895" s="124" t="s">
        <v>909</v>
      </c>
      <c r="D895" s="124"/>
      <c r="E895" s="124"/>
      <c r="F895" s="124"/>
      <c r="G895" s="124"/>
      <c r="H895" s="124"/>
      <c r="I895" s="75"/>
      <c r="J895" s="86"/>
      <c r="K895" s="74"/>
      <c r="L895" s="75"/>
    </row>
    <row r="896" spans="1:12" x14ac:dyDescent="0.2">
      <c r="A896" s="86"/>
      <c r="B896" s="62"/>
      <c r="C896" s="124" t="s">
        <v>992</v>
      </c>
      <c r="D896" s="124"/>
      <c r="E896" s="124"/>
      <c r="F896" s="124"/>
      <c r="G896" s="124"/>
      <c r="H896" s="124"/>
      <c r="I896" s="75"/>
      <c r="J896" s="86"/>
      <c r="K896" s="74"/>
      <c r="L896" s="75">
        <f>SUMIF(CD41:CD888, 1, AR41:AR888)</f>
        <v>53947.940000000017</v>
      </c>
    </row>
    <row r="897" spans="1:12" hidden="1" x14ac:dyDescent="0.2">
      <c r="A897" s="86"/>
      <c r="B897" s="62"/>
      <c r="C897" s="124" t="s">
        <v>911</v>
      </c>
      <c r="D897" s="124"/>
      <c r="E897" s="124"/>
      <c r="F897" s="124"/>
      <c r="G897" s="124"/>
      <c r="H897" s="124"/>
      <c r="I897" s="75"/>
      <c r="J897" s="86"/>
      <c r="K897" s="74"/>
      <c r="L897" s="75">
        <f>L899+L902+L901</f>
        <v>54984.51999999999</v>
      </c>
    </row>
    <row r="898" spans="1:12" hidden="1" x14ac:dyDescent="0.2">
      <c r="A898" s="86"/>
      <c r="B898" s="62"/>
      <c r="C898" s="124" t="s">
        <v>912</v>
      </c>
      <c r="D898" s="124"/>
      <c r="E898" s="124"/>
      <c r="F898" s="124"/>
      <c r="G898" s="124"/>
      <c r="H898" s="124"/>
      <c r="I898" s="75"/>
      <c r="J898" s="86"/>
      <c r="K898" s="74"/>
      <c r="L898" s="75"/>
    </row>
    <row r="899" spans="1:12" x14ac:dyDescent="0.2">
      <c r="A899" s="86"/>
      <c r="B899" s="62"/>
      <c r="C899" s="124" t="s">
        <v>911</v>
      </c>
      <c r="D899" s="124"/>
      <c r="E899" s="124"/>
      <c r="F899" s="124"/>
      <c r="G899" s="124"/>
      <c r="H899" s="124"/>
      <c r="I899" s="75"/>
      <c r="J899" s="86"/>
      <c r="K899" s="74"/>
      <c r="L899" s="75">
        <f>SUMIF(CD41:CD888, 1, AO41:AO888)</f>
        <v>40951.329999999994</v>
      </c>
    </row>
    <row r="900" spans="1:12" hidden="1" x14ac:dyDescent="0.2">
      <c r="A900" s="86"/>
      <c r="B900" s="62"/>
      <c r="C900" s="124" t="s">
        <v>913</v>
      </c>
      <c r="D900" s="124"/>
      <c r="E900" s="124"/>
      <c r="F900" s="124"/>
      <c r="G900" s="124"/>
      <c r="H900" s="124"/>
      <c r="I900" s="75"/>
      <c r="J900" s="86"/>
      <c r="K900" s="74"/>
      <c r="L900" s="75"/>
    </row>
    <row r="901" spans="1:12" x14ac:dyDescent="0.2">
      <c r="A901" s="86"/>
      <c r="B901" s="62"/>
      <c r="C901" s="124" t="s">
        <v>933</v>
      </c>
      <c r="D901" s="124"/>
      <c r="E901" s="124"/>
      <c r="F901" s="124"/>
      <c r="G901" s="124"/>
      <c r="H901" s="124"/>
      <c r="I901" s="75"/>
      <c r="J901" s="86"/>
      <c r="K901" s="74"/>
      <c r="L901" s="75">
        <f>SUMIF(CD41:CD888, 1, AT41:AT888)</f>
        <v>14033.189999999999</v>
      </c>
    </row>
    <row r="902" spans="1:12" hidden="1" x14ac:dyDescent="0.2">
      <c r="A902" s="86"/>
      <c r="B902" s="62"/>
      <c r="C902" s="124" t="s">
        <v>914</v>
      </c>
      <c r="D902" s="124"/>
      <c r="E902" s="124"/>
      <c r="F902" s="124"/>
      <c r="G902" s="124"/>
      <c r="H902" s="124"/>
      <c r="I902" s="75"/>
      <c r="J902" s="86"/>
      <c r="K902" s="74"/>
      <c r="L902" s="75">
        <f>SUMIF(CD41:CD888, 1, AV41:AV888)</f>
        <v>0</v>
      </c>
    </row>
    <row r="903" spans="1:12" x14ac:dyDescent="0.2">
      <c r="A903" s="86"/>
      <c r="B903" s="62"/>
      <c r="C903" s="124" t="s">
        <v>915</v>
      </c>
      <c r="D903" s="124"/>
      <c r="E903" s="124"/>
      <c r="F903" s="124"/>
      <c r="G903" s="124"/>
      <c r="H903" s="124"/>
      <c r="I903" s="75"/>
      <c r="J903" s="86"/>
      <c r="K903" s="74"/>
      <c r="L903" s="75">
        <f>L905+L906</f>
        <v>91418.320000000022</v>
      </c>
    </row>
    <row r="904" spans="1:12" x14ac:dyDescent="0.2">
      <c r="A904" s="86"/>
      <c r="B904" s="62"/>
      <c r="C904" s="124" t="s">
        <v>912</v>
      </c>
      <c r="D904" s="124"/>
      <c r="E904" s="124"/>
      <c r="F904" s="124"/>
      <c r="G904" s="124"/>
      <c r="H904" s="124"/>
      <c r="I904" s="75"/>
      <c r="J904" s="86"/>
      <c r="K904" s="74"/>
      <c r="L904" s="75"/>
    </row>
    <row r="905" spans="1:12" x14ac:dyDescent="0.2">
      <c r="A905" s="86"/>
      <c r="B905" s="62"/>
      <c r="C905" s="124" t="s">
        <v>916</v>
      </c>
      <c r="D905" s="124"/>
      <c r="E905" s="124"/>
      <c r="F905" s="124"/>
      <c r="G905" s="124"/>
      <c r="H905" s="124"/>
      <c r="I905" s="75"/>
      <c r="J905" s="86"/>
      <c r="K905" s="74"/>
      <c r="L905" s="75">
        <f>SUMIF(CD41:CD888, 1, AW41:AW888)-SUMIF(CD41:CD888, 1, BK41:BK888)</f>
        <v>91418.320000000022</v>
      </c>
    </row>
    <row r="906" spans="1:12" hidden="1" x14ac:dyDescent="0.2">
      <c r="A906" s="86"/>
      <c r="B906" s="62"/>
      <c r="C906" s="124" t="s">
        <v>917</v>
      </c>
      <c r="D906" s="124"/>
      <c r="E906" s="124"/>
      <c r="F906" s="124"/>
      <c r="G906" s="124"/>
      <c r="H906" s="124"/>
      <c r="I906" s="75"/>
      <c r="J906" s="86"/>
      <c r="K906" s="74"/>
      <c r="L906" s="75">
        <f>SUMIF(CD41:CD888, 1, BC41:BC888)</f>
        <v>0</v>
      </c>
    </row>
    <row r="907" spans="1:12" hidden="1" x14ac:dyDescent="0.2">
      <c r="A907" s="86"/>
      <c r="B907" s="62"/>
      <c r="C907" s="124" t="s">
        <v>918</v>
      </c>
      <c r="D907" s="124"/>
      <c r="E907" s="124"/>
      <c r="F907" s="124"/>
      <c r="G907" s="124"/>
      <c r="H907" s="124"/>
      <c r="I907" s="75"/>
      <c r="J907" s="86"/>
      <c r="K907" s="74"/>
      <c r="L907" s="75">
        <f>SUMIF(CD41:CD888, 1, BB41:BB888)</f>
        <v>0</v>
      </c>
    </row>
    <row r="908" spans="1:12" x14ac:dyDescent="0.2">
      <c r="A908" s="86"/>
      <c r="B908" s="62"/>
      <c r="C908" s="124" t="s">
        <v>993</v>
      </c>
      <c r="D908" s="124"/>
      <c r="E908" s="124"/>
      <c r="F908" s="124"/>
      <c r="G908" s="124"/>
      <c r="H908" s="124"/>
      <c r="I908" s="75"/>
      <c r="J908" s="86"/>
      <c r="K908" s="74"/>
      <c r="L908" s="75">
        <f>SUMIF(CD41:CD888, 1, AR41:AR888)+SUMIF(CD41:CD888, 1, AT41:AT888)+SUMIF(CD41:CD888, 1, AV41:AV888)</f>
        <v>67981.130000000019</v>
      </c>
    </row>
    <row r="909" spans="1:12" x14ac:dyDescent="0.2">
      <c r="A909" s="86"/>
      <c r="B909" s="62"/>
      <c r="C909" s="124" t="s">
        <v>994</v>
      </c>
      <c r="D909" s="124"/>
      <c r="E909" s="124"/>
      <c r="F909" s="124"/>
      <c r="G909" s="124"/>
      <c r="H909" s="124"/>
      <c r="I909" s="75"/>
      <c r="J909" s="86"/>
      <c r="K909" s="74"/>
      <c r="L909" s="75">
        <f>SUMIF(CD41:CD888, 1, AZ41:AZ888)</f>
        <v>73059.569999999992</v>
      </c>
    </row>
    <row r="910" spans="1:12" x14ac:dyDescent="0.2">
      <c r="A910" s="86"/>
      <c r="B910" s="62"/>
      <c r="C910" s="124" t="s">
        <v>995</v>
      </c>
      <c r="D910" s="124"/>
      <c r="E910" s="124"/>
      <c r="F910" s="124"/>
      <c r="G910" s="124"/>
      <c r="H910" s="124"/>
      <c r="I910" s="75"/>
      <c r="J910" s="86"/>
      <c r="K910" s="74"/>
      <c r="L910" s="75">
        <f>SUMIF(CD41:CD888, 1, BA41:BA888)</f>
        <v>40869.42</v>
      </c>
    </row>
    <row r="911" spans="1:12" x14ac:dyDescent="0.2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</row>
    <row r="912" spans="1:12" x14ac:dyDescent="0.2">
      <c r="A912" s="84"/>
      <c r="B912" s="61"/>
      <c r="C912" s="118" t="s">
        <v>996</v>
      </c>
      <c r="D912" s="118"/>
      <c r="E912" s="118"/>
      <c r="F912" s="118"/>
      <c r="G912" s="118"/>
      <c r="H912" s="118"/>
      <c r="I912" s="78"/>
      <c r="J912" s="84"/>
      <c r="K912" s="85"/>
      <c r="L912" s="78">
        <f>L914+L929+L930</f>
        <v>14238.73</v>
      </c>
    </row>
    <row r="913" spans="1:12" x14ac:dyDescent="0.2">
      <c r="A913" s="86"/>
      <c r="B913" s="62"/>
      <c r="C913" s="124" t="s">
        <v>909</v>
      </c>
      <c r="D913" s="124"/>
      <c r="E913" s="124"/>
      <c r="F913" s="124"/>
      <c r="G913" s="124"/>
      <c r="H913" s="124"/>
      <c r="I913" s="75"/>
      <c r="J913" s="86"/>
      <c r="K913" s="74"/>
      <c r="L913" s="75"/>
    </row>
    <row r="914" spans="1:12" x14ac:dyDescent="0.2">
      <c r="A914" s="86"/>
      <c r="B914" s="62"/>
      <c r="C914" s="124" t="s">
        <v>991</v>
      </c>
      <c r="D914" s="124"/>
      <c r="E914" s="124"/>
      <c r="F914" s="124"/>
      <c r="G914" s="124"/>
      <c r="H914" s="124"/>
      <c r="I914" s="75"/>
      <c r="J914" s="86"/>
      <c r="K914" s="74"/>
      <c r="L914" s="75">
        <f>L916+L917+L923+L927</f>
        <v>9911.2799999999988</v>
      </c>
    </row>
    <row r="915" spans="1:12" x14ac:dyDescent="0.2">
      <c r="A915" s="86"/>
      <c r="B915" s="62"/>
      <c r="C915" s="124" t="s">
        <v>909</v>
      </c>
      <c r="D915" s="124"/>
      <c r="E915" s="124"/>
      <c r="F915" s="124"/>
      <c r="G915" s="124"/>
      <c r="H915" s="124"/>
      <c r="I915" s="75"/>
      <c r="J915" s="86"/>
      <c r="K915" s="74"/>
      <c r="L915" s="75"/>
    </row>
    <row r="916" spans="1:12" x14ac:dyDescent="0.2">
      <c r="A916" s="86"/>
      <c r="B916" s="62"/>
      <c r="C916" s="124" t="s">
        <v>992</v>
      </c>
      <c r="D916" s="124"/>
      <c r="E916" s="124"/>
      <c r="F916" s="124"/>
      <c r="G916" s="124"/>
      <c r="H916" s="124"/>
      <c r="I916" s="75"/>
      <c r="J916" s="86"/>
      <c r="K916" s="74"/>
      <c r="L916" s="75">
        <f>SUMIF(CD41:CD910, 2, AR41:AR910)</f>
        <v>1989.33</v>
      </c>
    </row>
    <row r="917" spans="1:12" hidden="1" x14ac:dyDescent="0.2">
      <c r="A917" s="86"/>
      <c r="B917" s="62"/>
      <c r="C917" s="124" t="s">
        <v>911</v>
      </c>
      <c r="D917" s="124"/>
      <c r="E917" s="124"/>
      <c r="F917" s="124"/>
      <c r="G917" s="124"/>
      <c r="H917" s="124"/>
      <c r="I917" s="75"/>
      <c r="J917" s="86"/>
      <c r="K917" s="74"/>
      <c r="L917" s="75">
        <f>L919+L922+L921</f>
        <v>2698.2200000000003</v>
      </c>
    </row>
    <row r="918" spans="1:12" hidden="1" x14ac:dyDescent="0.2">
      <c r="A918" s="86"/>
      <c r="B918" s="62"/>
      <c r="C918" s="124" t="s">
        <v>912</v>
      </c>
      <c r="D918" s="124"/>
      <c r="E918" s="124"/>
      <c r="F918" s="124"/>
      <c r="G918" s="124"/>
      <c r="H918" s="124"/>
      <c r="I918" s="75"/>
      <c r="J918" s="86"/>
      <c r="K918" s="74"/>
      <c r="L918" s="75"/>
    </row>
    <row r="919" spans="1:12" x14ac:dyDescent="0.2">
      <c r="A919" s="86"/>
      <c r="B919" s="62"/>
      <c r="C919" s="124" t="s">
        <v>911</v>
      </c>
      <c r="D919" s="124"/>
      <c r="E919" s="124"/>
      <c r="F919" s="124"/>
      <c r="G919" s="124"/>
      <c r="H919" s="124"/>
      <c r="I919" s="75"/>
      <c r="J919" s="86"/>
      <c r="K919" s="74"/>
      <c r="L919" s="75">
        <f>SUMIF(CD41:CD910, 2, AO41:AO910)</f>
        <v>2032.6800000000003</v>
      </c>
    </row>
    <row r="920" spans="1:12" hidden="1" x14ac:dyDescent="0.2">
      <c r="A920" s="86"/>
      <c r="B920" s="62"/>
      <c r="C920" s="124" t="s">
        <v>913</v>
      </c>
      <c r="D920" s="124"/>
      <c r="E920" s="124"/>
      <c r="F920" s="124"/>
      <c r="G920" s="124"/>
      <c r="H920" s="124"/>
      <c r="I920" s="75"/>
      <c r="J920" s="86"/>
      <c r="K920" s="74"/>
      <c r="L920" s="75"/>
    </row>
    <row r="921" spans="1:12" x14ac:dyDescent="0.2">
      <c r="A921" s="86"/>
      <c r="B921" s="62"/>
      <c r="C921" s="124" t="s">
        <v>933</v>
      </c>
      <c r="D921" s="124"/>
      <c r="E921" s="124"/>
      <c r="F921" s="124"/>
      <c r="G921" s="124"/>
      <c r="H921" s="124"/>
      <c r="I921" s="75"/>
      <c r="J921" s="86"/>
      <c r="K921" s="74"/>
      <c r="L921" s="75">
        <f>SUMIF(CD41:CD910, 2, AT41:AT910)</f>
        <v>665.54</v>
      </c>
    </row>
    <row r="922" spans="1:12" hidden="1" x14ac:dyDescent="0.2">
      <c r="A922" s="86"/>
      <c r="B922" s="62"/>
      <c r="C922" s="124" t="s">
        <v>914</v>
      </c>
      <c r="D922" s="124"/>
      <c r="E922" s="124"/>
      <c r="F922" s="124"/>
      <c r="G922" s="124"/>
      <c r="H922" s="124"/>
      <c r="I922" s="75"/>
      <c r="J922" s="86"/>
      <c r="K922" s="74"/>
      <c r="L922" s="75">
        <f>SUMIF(CD41:CD910, 2, AV41:AV910)</f>
        <v>0</v>
      </c>
    </row>
    <row r="923" spans="1:12" x14ac:dyDescent="0.2">
      <c r="A923" s="86"/>
      <c r="B923" s="62"/>
      <c r="C923" s="124" t="s">
        <v>915</v>
      </c>
      <c r="D923" s="124"/>
      <c r="E923" s="124"/>
      <c r="F923" s="124"/>
      <c r="G923" s="124"/>
      <c r="H923" s="124"/>
      <c r="I923" s="75"/>
      <c r="J923" s="86"/>
      <c r="K923" s="74"/>
      <c r="L923" s="75">
        <f>L925+L926</f>
        <v>5223.7299999999996</v>
      </c>
    </row>
    <row r="924" spans="1:12" x14ac:dyDescent="0.2">
      <c r="A924" s="86"/>
      <c r="B924" s="62"/>
      <c r="C924" s="124" t="s">
        <v>912</v>
      </c>
      <c r="D924" s="124"/>
      <c r="E924" s="124"/>
      <c r="F924" s="124"/>
      <c r="G924" s="124"/>
      <c r="H924" s="124"/>
      <c r="I924" s="75"/>
      <c r="J924" s="86"/>
      <c r="K924" s="74"/>
      <c r="L924" s="75"/>
    </row>
    <row r="925" spans="1:12" x14ac:dyDescent="0.2">
      <c r="A925" s="86"/>
      <c r="B925" s="62"/>
      <c r="C925" s="124" t="s">
        <v>916</v>
      </c>
      <c r="D925" s="124"/>
      <c r="E925" s="124"/>
      <c r="F925" s="124"/>
      <c r="G925" s="124"/>
      <c r="H925" s="124"/>
      <c r="I925" s="75"/>
      <c r="J925" s="86"/>
      <c r="K925" s="74"/>
      <c r="L925" s="75">
        <f>SUMIF(CD41:CD910, 2, AW41:AW910)-SUMIF(CD41:CD910, 2, BK41:BK910)</f>
        <v>5223.7299999999996</v>
      </c>
    </row>
    <row r="926" spans="1:12" hidden="1" x14ac:dyDescent="0.2">
      <c r="A926" s="86"/>
      <c r="B926" s="62"/>
      <c r="C926" s="124" t="s">
        <v>917</v>
      </c>
      <c r="D926" s="124"/>
      <c r="E926" s="124"/>
      <c r="F926" s="124"/>
      <c r="G926" s="124"/>
      <c r="H926" s="124"/>
      <c r="I926" s="75"/>
      <c r="J926" s="86"/>
      <c r="K926" s="74"/>
      <c r="L926" s="75">
        <f>SUMIF(CD41:CD910, 2, BC41:BC910)</f>
        <v>0</v>
      </c>
    </row>
    <row r="927" spans="1:12" hidden="1" x14ac:dyDescent="0.2">
      <c r="A927" s="86"/>
      <c r="B927" s="62"/>
      <c r="C927" s="124" t="s">
        <v>918</v>
      </c>
      <c r="D927" s="124"/>
      <c r="E927" s="124"/>
      <c r="F927" s="124"/>
      <c r="G927" s="124"/>
      <c r="H927" s="124"/>
      <c r="I927" s="75"/>
      <c r="J927" s="86"/>
      <c r="K927" s="74"/>
      <c r="L927" s="75">
        <f>SUMIF(CD41:CD910, 2, BB41:BB910)</f>
        <v>0</v>
      </c>
    </row>
    <row r="928" spans="1:12" x14ac:dyDescent="0.2">
      <c r="A928" s="86"/>
      <c r="B928" s="62"/>
      <c r="C928" s="124" t="s">
        <v>993</v>
      </c>
      <c r="D928" s="124"/>
      <c r="E928" s="124"/>
      <c r="F928" s="124"/>
      <c r="G928" s="124"/>
      <c r="H928" s="124"/>
      <c r="I928" s="75"/>
      <c r="J928" s="86"/>
      <c r="K928" s="74"/>
      <c r="L928" s="75">
        <f>SUMIF(CD41:CD910, 2, AR41:AR910)+SUMIF(CD41:CD910, 2, AT41:AT910)+SUMIF(CD41:CD910, 2, AV41:AV910)</f>
        <v>2654.87</v>
      </c>
    </row>
    <row r="929" spans="1:12" x14ac:dyDescent="0.2">
      <c r="A929" s="86"/>
      <c r="B929" s="62"/>
      <c r="C929" s="124" t="s">
        <v>994</v>
      </c>
      <c r="D929" s="124"/>
      <c r="E929" s="124"/>
      <c r="F929" s="124"/>
      <c r="G929" s="124"/>
      <c r="H929" s="124"/>
      <c r="I929" s="75"/>
      <c r="J929" s="86"/>
      <c r="K929" s="74"/>
      <c r="L929" s="75">
        <f>SUMIF(CD41:CD910, 2, AZ41:AZ910)</f>
        <v>2946.91</v>
      </c>
    </row>
    <row r="930" spans="1:12" x14ac:dyDescent="0.2">
      <c r="A930" s="86"/>
      <c r="B930" s="62"/>
      <c r="C930" s="124" t="s">
        <v>995</v>
      </c>
      <c r="D930" s="124"/>
      <c r="E930" s="124"/>
      <c r="F930" s="124"/>
      <c r="G930" s="124"/>
      <c r="H930" s="124"/>
      <c r="I930" s="75"/>
      <c r="J930" s="86"/>
      <c r="K930" s="74"/>
      <c r="L930" s="75">
        <f>SUMIF(CD41:CD910, 2, BA41:BA910)</f>
        <v>1380.5400000000002</v>
      </c>
    </row>
    <row r="931" spans="1:12" hidden="1" x14ac:dyDescent="0.2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</row>
    <row r="932" spans="1:12" hidden="1" x14ac:dyDescent="0.2">
      <c r="A932" s="84"/>
      <c r="B932" s="61"/>
      <c r="C932" s="118" t="s">
        <v>997</v>
      </c>
      <c r="D932" s="118"/>
      <c r="E932" s="118"/>
      <c r="F932" s="118"/>
      <c r="G932" s="118"/>
      <c r="H932" s="118"/>
      <c r="I932" s="78"/>
      <c r="J932" s="84"/>
      <c r="K932" s="85"/>
      <c r="L932" s="78">
        <f>L934+L935</f>
        <v>0</v>
      </c>
    </row>
    <row r="933" spans="1:12" hidden="1" x14ac:dyDescent="0.2">
      <c r="A933" s="86"/>
      <c r="B933" s="62"/>
      <c r="C933" s="124" t="s">
        <v>909</v>
      </c>
      <c r="D933" s="124"/>
      <c r="E933" s="124"/>
      <c r="F933" s="124"/>
      <c r="G933" s="124"/>
      <c r="H933" s="124"/>
      <c r="I933" s="75"/>
      <c r="J933" s="86"/>
      <c r="K933" s="74"/>
      <c r="L933" s="75"/>
    </row>
    <row r="934" spans="1:12" hidden="1" x14ac:dyDescent="0.2">
      <c r="A934" s="86"/>
      <c r="B934" s="62"/>
      <c r="C934" s="124" t="s">
        <v>923</v>
      </c>
      <c r="D934" s="124"/>
      <c r="E934" s="124"/>
      <c r="F934" s="124"/>
      <c r="G934" s="124"/>
      <c r="H934" s="124"/>
      <c r="I934" s="75"/>
      <c r="J934" s="86"/>
      <c r="K934" s="74"/>
      <c r="L934" s="75">
        <f>SUMIF(CD41:CD930, 3, BK41:BK930)</f>
        <v>0</v>
      </c>
    </row>
    <row r="935" spans="1:12" hidden="1" x14ac:dyDescent="0.2">
      <c r="A935" s="86"/>
      <c r="B935" s="62"/>
      <c r="C935" s="124" t="s">
        <v>924</v>
      </c>
      <c r="D935" s="124"/>
      <c r="E935" s="124"/>
      <c r="F935" s="124"/>
      <c r="G935" s="124"/>
      <c r="H935" s="124"/>
      <c r="I935" s="75"/>
      <c r="J935" s="86"/>
      <c r="K935" s="74"/>
      <c r="L935" s="75">
        <f>SUMIF(CD41:CD930, 3, BD41:BD930)</f>
        <v>0</v>
      </c>
    </row>
    <row r="936" spans="1:12" hidden="1" x14ac:dyDescent="0.2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</row>
    <row r="937" spans="1:12" hidden="1" x14ac:dyDescent="0.2">
      <c r="A937" s="84"/>
      <c r="B937" s="61"/>
      <c r="C937" s="118" t="s">
        <v>998</v>
      </c>
      <c r="D937" s="118"/>
      <c r="E937" s="118"/>
      <c r="F937" s="118"/>
      <c r="G937" s="118"/>
      <c r="H937" s="118"/>
      <c r="I937" s="78"/>
      <c r="J937" s="84"/>
      <c r="K937" s="85"/>
      <c r="L937" s="78">
        <f>L945+L960+L961+L939+L940+L941+L942</f>
        <v>0</v>
      </c>
    </row>
    <row r="938" spans="1:12" hidden="1" x14ac:dyDescent="0.2">
      <c r="A938" s="86"/>
      <c r="B938" s="62"/>
      <c r="C938" s="124" t="s">
        <v>909</v>
      </c>
      <c r="D938" s="124"/>
      <c r="E938" s="124"/>
      <c r="F938" s="124"/>
      <c r="G938" s="124"/>
      <c r="H938" s="124"/>
      <c r="I938" s="75"/>
      <c r="J938" s="86"/>
      <c r="K938" s="74"/>
      <c r="L938" s="75"/>
    </row>
    <row r="939" spans="1:12" hidden="1" x14ac:dyDescent="0.2">
      <c r="A939" s="86"/>
      <c r="B939" s="62"/>
      <c r="C939" s="124" t="s">
        <v>999</v>
      </c>
      <c r="D939" s="124"/>
      <c r="E939" s="124"/>
      <c r="F939" s="124"/>
      <c r="G939" s="124"/>
      <c r="H939" s="124"/>
      <c r="I939" s="75"/>
      <c r="J939" s="86"/>
      <c r="K939" s="74"/>
      <c r="L939" s="75"/>
    </row>
    <row r="940" spans="1:12" hidden="1" x14ac:dyDescent="0.2">
      <c r="A940" s="86"/>
      <c r="B940" s="62"/>
      <c r="C940" s="124" t="s">
        <v>999</v>
      </c>
      <c r="D940" s="124"/>
      <c r="E940" s="124"/>
      <c r="F940" s="124"/>
      <c r="G940" s="124"/>
      <c r="H940" s="124"/>
      <c r="I940" s="75"/>
      <c r="J940" s="86"/>
      <c r="K940" s="74"/>
      <c r="L940" s="75">
        <f>SUM(BQ41:BQ935)</f>
        <v>0</v>
      </c>
    </row>
    <row r="941" spans="1:12" hidden="1" x14ac:dyDescent="0.2">
      <c r="A941" s="86"/>
      <c r="B941" s="62"/>
      <c r="C941" s="124" t="s">
        <v>1000</v>
      </c>
      <c r="D941" s="124"/>
      <c r="E941" s="124"/>
      <c r="F941" s="124"/>
      <c r="G941" s="124"/>
      <c r="H941" s="124"/>
      <c r="I941" s="75"/>
      <c r="J941" s="86"/>
      <c r="K941" s="74"/>
      <c r="L941" s="75">
        <f>SUMIF(CD41:CD935, 4, BB41:BB935)+SUMIF(CD41:CD935, 4, BC41:BC935)+SUMIF(CD41:CD935, 4, BD41:BD935)</f>
        <v>0</v>
      </c>
    </row>
    <row r="942" spans="1:12" hidden="1" x14ac:dyDescent="0.2">
      <c r="A942" s="86"/>
      <c r="B942" s="62"/>
      <c r="C942" s="124" t="s">
        <v>1001</v>
      </c>
      <c r="D942" s="124"/>
      <c r="E942" s="124"/>
      <c r="F942" s="124"/>
      <c r="G942" s="124"/>
      <c r="H942" s="124"/>
      <c r="I942" s="75"/>
      <c r="J942" s="86"/>
      <c r="K942" s="74"/>
      <c r="L942" s="75">
        <f>SUM(BO41:BO935)</f>
        <v>0</v>
      </c>
    </row>
    <row r="943" spans="1:12" hidden="1" x14ac:dyDescent="0.2">
      <c r="A943" s="86"/>
      <c r="B943" s="62"/>
      <c r="C943" s="124" t="s">
        <v>1002</v>
      </c>
      <c r="D943" s="124"/>
      <c r="E943" s="124"/>
      <c r="F943" s="124"/>
      <c r="G943" s="124"/>
      <c r="H943" s="124"/>
      <c r="I943" s="75"/>
      <c r="J943" s="86"/>
      <c r="K943" s="74"/>
      <c r="L943" s="75">
        <f>L945+L960+L961</f>
        <v>0</v>
      </c>
    </row>
    <row r="944" spans="1:12" hidden="1" x14ac:dyDescent="0.2">
      <c r="A944" s="86"/>
      <c r="B944" s="62"/>
      <c r="C944" s="124" t="s">
        <v>909</v>
      </c>
      <c r="D944" s="124"/>
      <c r="E944" s="124"/>
      <c r="F944" s="124"/>
      <c r="G944" s="124"/>
      <c r="H944" s="124"/>
      <c r="I944" s="75"/>
      <c r="J944" s="86"/>
      <c r="K944" s="74"/>
      <c r="L944" s="75"/>
    </row>
    <row r="945" spans="1:12" hidden="1" x14ac:dyDescent="0.2">
      <c r="A945" s="86"/>
      <c r="B945" s="62"/>
      <c r="C945" s="124" t="s">
        <v>991</v>
      </c>
      <c r="D945" s="124"/>
      <c r="E945" s="124"/>
      <c r="F945" s="124"/>
      <c r="G945" s="124"/>
      <c r="H945" s="124"/>
      <c r="I945" s="75"/>
      <c r="J945" s="86"/>
      <c r="K945" s="74"/>
      <c r="L945" s="75">
        <f>L947+L948+L954+L958</f>
        <v>0</v>
      </c>
    </row>
    <row r="946" spans="1:12" hidden="1" x14ac:dyDescent="0.2">
      <c r="A946" s="86"/>
      <c r="B946" s="62"/>
      <c r="C946" s="124" t="s">
        <v>909</v>
      </c>
      <c r="D946" s="124"/>
      <c r="E946" s="124"/>
      <c r="F946" s="124"/>
      <c r="G946" s="124"/>
      <c r="H946" s="124"/>
      <c r="I946" s="75"/>
      <c r="J946" s="86"/>
      <c r="K946" s="74"/>
      <c r="L946" s="75"/>
    </row>
    <row r="947" spans="1:12" hidden="1" x14ac:dyDescent="0.2">
      <c r="A947" s="86"/>
      <c r="B947" s="62"/>
      <c r="C947" s="124" t="s">
        <v>992</v>
      </c>
      <c r="D947" s="124"/>
      <c r="E947" s="124"/>
      <c r="F947" s="124"/>
      <c r="G947" s="124"/>
      <c r="H947" s="124"/>
      <c r="I947" s="75"/>
      <c r="J947" s="86"/>
      <c r="K947" s="74"/>
      <c r="L947" s="75">
        <f>SUMIF(CD41:CD935, 4, AR41:AR935)</f>
        <v>0</v>
      </c>
    </row>
    <row r="948" spans="1:12" hidden="1" x14ac:dyDescent="0.2">
      <c r="A948" s="86"/>
      <c r="B948" s="62"/>
      <c r="C948" s="124" t="s">
        <v>911</v>
      </c>
      <c r="D948" s="124"/>
      <c r="E948" s="124"/>
      <c r="F948" s="124"/>
      <c r="G948" s="124"/>
      <c r="H948" s="124"/>
      <c r="I948" s="75"/>
      <c r="J948" s="86"/>
      <c r="K948" s="74"/>
      <c r="L948" s="75">
        <f>L950+L953+L952</f>
        <v>0</v>
      </c>
    </row>
    <row r="949" spans="1:12" hidden="1" x14ac:dyDescent="0.2">
      <c r="A949" s="86"/>
      <c r="B949" s="62"/>
      <c r="C949" s="124" t="s">
        <v>912</v>
      </c>
      <c r="D949" s="124"/>
      <c r="E949" s="124"/>
      <c r="F949" s="124"/>
      <c r="G949" s="124"/>
      <c r="H949" s="124"/>
      <c r="I949" s="75"/>
      <c r="J949" s="86"/>
      <c r="K949" s="74"/>
      <c r="L949" s="75"/>
    </row>
    <row r="950" spans="1:12" hidden="1" x14ac:dyDescent="0.2">
      <c r="A950" s="86"/>
      <c r="B950" s="62"/>
      <c r="C950" s="124" t="s">
        <v>911</v>
      </c>
      <c r="D950" s="124"/>
      <c r="E950" s="124"/>
      <c r="F950" s="124"/>
      <c r="G950" s="124"/>
      <c r="H950" s="124"/>
      <c r="I950" s="75"/>
      <c r="J950" s="86"/>
      <c r="K950" s="74"/>
      <c r="L950" s="75">
        <f>SUMIF(CD41:CD935, 4, AO41:AO935)</f>
        <v>0</v>
      </c>
    </row>
    <row r="951" spans="1:12" hidden="1" x14ac:dyDescent="0.2">
      <c r="A951" s="86"/>
      <c r="B951" s="62"/>
      <c r="C951" s="124" t="s">
        <v>913</v>
      </c>
      <c r="D951" s="124"/>
      <c r="E951" s="124"/>
      <c r="F951" s="124"/>
      <c r="G951" s="124"/>
      <c r="H951" s="124"/>
      <c r="I951" s="75"/>
      <c r="J951" s="86"/>
      <c r="K951" s="74"/>
      <c r="L951" s="75"/>
    </row>
    <row r="952" spans="1:12" hidden="1" x14ac:dyDescent="0.2">
      <c r="A952" s="86"/>
      <c r="B952" s="62"/>
      <c r="C952" s="124" t="s">
        <v>933</v>
      </c>
      <c r="D952" s="124"/>
      <c r="E952" s="124"/>
      <c r="F952" s="124"/>
      <c r="G952" s="124"/>
      <c r="H952" s="124"/>
      <c r="I952" s="75"/>
      <c r="J952" s="86"/>
      <c r="K952" s="74"/>
      <c r="L952" s="75">
        <f>SUMIF(CD41:CD935, 4, AT41:AT935)</f>
        <v>0</v>
      </c>
    </row>
    <row r="953" spans="1:12" hidden="1" x14ac:dyDescent="0.2">
      <c r="A953" s="86"/>
      <c r="B953" s="62"/>
      <c r="C953" s="124" t="s">
        <v>914</v>
      </c>
      <c r="D953" s="124"/>
      <c r="E953" s="124"/>
      <c r="F953" s="124"/>
      <c r="G953" s="124"/>
      <c r="H953" s="124"/>
      <c r="I953" s="75"/>
      <c r="J953" s="86"/>
      <c r="K953" s="74"/>
      <c r="L953" s="75">
        <f>SUMIF(CD41:CD935, 4, AV41:AV935)</f>
        <v>0</v>
      </c>
    </row>
    <row r="954" spans="1:12" hidden="1" x14ac:dyDescent="0.2">
      <c r="A954" s="86"/>
      <c r="B954" s="62"/>
      <c r="C954" s="124" t="s">
        <v>915</v>
      </c>
      <c r="D954" s="124"/>
      <c r="E954" s="124"/>
      <c r="F954" s="124"/>
      <c r="G954" s="124"/>
      <c r="H954" s="124"/>
      <c r="I954" s="75"/>
      <c r="J954" s="86"/>
      <c r="K954" s="74"/>
      <c r="L954" s="75">
        <f>L956+L957</f>
        <v>0</v>
      </c>
    </row>
    <row r="955" spans="1:12" hidden="1" x14ac:dyDescent="0.2">
      <c r="A955" s="86"/>
      <c r="B955" s="62"/>
      <c r="C955" s="124" t="s">
        <v>912</v>
      </c>
      <c r="D955" s="124"/>
      <c r="E955" s="124"/>
      <c r="F955" s="124"/>
      <c r="G955" s="124"/>
      <c r="H955" s="124"/>
      <c r="I955" s="75"/>
      <c r="J955" s="86"/>
      <c r="K955" s="74"/>
      <c r="L955" s="75"/>
    </row>
    <row r="956" spans="1:12" hidden="1" x14ac:dyDescent="0.2">
      <c r="A956" s="86"/>
      <c r="B956" s="62"/>
      <c r="C956" s="124" t="s">
        <v>916</v>
      </c>
      <c r="D956" s="124"/>
      <c r="E956" s="124"/>
      <c r="F956" s="124"/>
      <c r="G956" s="124"/>
      <c r="H956" s="124"/>
      <c r="I956" s="75"/>
      <c r="J956" s="86"/>
      <c r="K956" s="74"/>
      <c r="L956" s="75">
        <f>SUMIF(CD41:CD935, 4, AW41:AW935)-SUMIF(CD41:CD935, 4, BK41:BK935)</f>
        <v>0</v>
      </c>
    </row>
    <row r="957" spans="1:12" hidden="1" x14ac:dyDescent="0.2">
      <c r="A957" s="86"/>
      <c r="B957" s="62"/>
      <c r="C957" s="124" t="s">
        <v>917</v>
      </c>
      <c r="D957" s="124"/>
      <c r="E957" s="124"/>
      <c r="F957" s="124"/>
      <c r="G957" s="124"/>
      <c r="H957" s="124"/>
      <c r="I957" s="75"/>
      <c r="J957" s="86"/>
      <c r="K957" s="74"/>
      <c r="L957" s="75">
        <f>SUMIF(CD41:CD935, 4, BC41:BC935)</f>
        <v>0</v>
      </c>
    </row>
    <row r="958" spans="1:12" hidden="1" x14ac:dyDescent="0.2">
      <c r="A958" s="86"/>
      <c r="B958" s="62"/>
      <c r="C958" s="124" t="s">
        <v>918</v>
      </c>
      <c r="D958" s="124"/>
      <c r="E958" s="124"/>
      <c r="F958" s="124"/>
      <c r="G958" s="124"/>
      <c r="H958" s="124"/>
      <c r="I958" s="75"/>
      <c r="J958" s="86"/>
      <c r="K958" s="74"/>
      <c r="L958" s="75">
        <f>SUMIF(CD41:CD935, 4, BB41:BB935)</f>
        <v>0</v>
      </c>
    </row>
    <row r="959" spans="1:12" hidden="1" x14ac:dyDescent="0.2">
      <c r="A959" s="86"/>
      <c r="B959" s="62"/>
      <c r="C959" s="124" t="s">
        <v>993</v>
      </c>
      <c r="D959" s="124"/>
      <c r="E959" s="124"/>
      <c r="F959" s="124"/>
      <c r="G959" s="124"/>
      <c r="H959" s="124"/>
      <c r="I959" s="75"/>
      <c r="J959" s="86"/>
      <c r="K959" s="74"/>
      <c r="L959" s="75">
        <f>SUMIF(CD41:CD935, 4, AR41:AR935)+SUMIF(CD41:CD935, 4, AT41:AT935)+SUMIF(CD41:CD935, 4, AV41:AV935)</f>
        <v>0</v>
      </c>
    </row>
    <row r="960" spans="1:12" hidden="1" x14ac:dyDescent="0.2">
      <c r="A960" s="86"/>
      <c r="B960" s="62"/>
      <c r="C960" s="124" t="s">
        <v>994</v>
      </c>
      <c r="D960" s="124"/>
      <c r="E960" s="124"/>
      <c r="F960" s="124"/>
      <c r="G960" s="124"/>
      <c r="H960" s="124"/>
      <c r="I960" s="75"/>
      <c r="J960" s="86"/>
      <c r="K960" s="74"/>
      <c r="L960" s="75">
        <f>SUMIF(CD41:CD935, 4, AZ41:AZ935)</f>
        <v>0</v>
      </c>
    </row>
    <row r="961" spans="1:12" hidden="1" x14ac:dyDescent="0.2">
      <c r="A961" s="86"/>
      <c r="B961" s="62"/>
      <c r="C961" s="124" t="s">
        <v>995</v>
      </c>
      <c r="D961" s="124"/>
      <c r="E961" s="124"/>
      <c r="F961" s="124"/>
      <c r="G961" s="124"/>
      <c r="H961" s="124"/>
      <c r="I961" s="75"/>
      <c r="J961" s="86"/>
      <c r="K961" s="74"/>
      <c r="L961" s="75">
        <f>SUMIF(CD41:CD935, 4, BA41:BA935)</f>
        <v>0</v>
      </c>
    </row>
    <row r="962" spans="1:12" x14ac:dyDescent="0.2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</row>
    <row r="963" spans="1:12" x14ac:dyDescent="0.2">
      <c r="A963" s="84"/>
      <c r="B963" s="61"/>
      <c r="C963" s="118" t="s">
        <v>1003</v>
      </c>
      <c r="D963" s="118"/>
      <c r="E963" s="118"/>
      <c r="F963" s="118"/>
      <c r="G963" s="118"/>
      <c r="H963" s="118"/>
      <c r="I963" s="78"/>
      <c r="J963" s="84"/>
      <c r="K963" s="85"/>
      <c r="L963" s="78">
        <f>L892+L912+L932+L937</f>
        <v>328518.5</v>
      </c>
    </row>
    <row r="964" spans="1:12" x14ac:dyDescent="0.2">
      <c r="A964" s="86"/>
      <c r="B964" s="62"/>
      <c r="C964" s="124" t="s">
        <v>909</v>
      </c>
      <c r="D964" s="124"/>
      <c r="E964" s="124"/>
      <c r="F964" s="124"/>
      <c r="G964" s="124"/>
      <c r="H964" s="124"/>
      <c r="I964" s="75"/>
      <c r="J964" s="86"/>
      <c r="K964" s="74"/>
      <c r="L964" s="75"/>
    </row>
    <row r="965" spans="1:12" x14ac:dyDescent="0.2">
      <c r="A965" s="86"/>
      <c r="B965" s="62"/>
      <c r="C965" s="124" t="s">
        <v>991</v>
      </c>
      <c r="D965" s="124"/>
      <c r="E965" s="124"/>
      <c r="F965" s="124"/>
      <c r="G965" s="124"/>
      <c r="H965" s="124"/>
      <c r="I965" s="75"/>
      <c r="J965" s="86"/>
      <c r="K965" s="74"/>
      <c r="L965" s="75">
        <f>L967+L968+L974+L978</f>
        <v>210262.06</v>
      </c>
    </row>
    <row r="966" spans="1:12" x14ac:dyDescent="0.2">
      <c r="A966" s="86"/>
      <c r="B966" s="62"/>
      <c r="C966" s="124" t="s">
        <v>909</v>
      </c>
      <c r="D966" s="124"/>
      <c r="E966" s="124"/>
      <c r="F966" s="124"/>
      <c r="G966" s="124"/>
      <c r="H966" s="124"/>
      <c r="I966" s="75"/>
      <c r="J966" s="86"/>
      <c r="K966" s="74"/>
      <c r="L966" s="75"/>
    </row>
    <row r="967" spans="1:12" x14ac:dyDescent="0.2">
      <c r="A967" s="86"/>
      <c r="B967" s="62"/>
      <c r="C967" s="124" t="s">
        <v>992</v>
      </c>
      <c r="D967" s="124"/>
      <c r="E967" s="124"/>
      <c r="F967" s="124"/>
      <c r="G967" s="124"/>
      <c r="H967" s="124"/>
      <c r="I967" s="75"/>
      <c r="J967" s="86"/>
      <c r="K967" s="74"/>
      <c r="L967" s="75">
        <f>SUM(AR41:AR961)</f>
        <v>55937.270000000019</v>
      </c>
    </row>
    <row r="968" spans="1:12" hidden="1" x14ac:dyDescent="0.2">
      <c r="A968" s="86"/>
      <c r="B968" s="62"/>
      <c r="C968" s="124" t="s">
        <v>911</v>
      </c>
      <c r="D968" s="124"/>
      <c r="E968" s="124"/>
      <c r="F968" s="124"/>
      <c r="G968" s="124"/>
      <c r="H968" s="124"/>
      <c r="I968" s="75"/>
      <c r="J968" s="86"/>
      <c r="K968" s="74"/>
      <c r="L968" s="75">
        <f>L970+L973+L972</f>
        <v>57682.739999999991</v>
      </c>
    </row>
    <row r="969" spans="1:12" hidden="1" x14ac:dyDescent="0.2">
      <c r="A969" s="86"/>
      <c r="B969" s="62"/>
      <c r="C969" s="124" t="s">
        <v>912</v>
      </c>
      <c r="D969" s="124"/>
      <c r="E969" s="124"/>
      <c r="F969" s="124"/>
      <c r="G969" s="124"/>
      <c r="H969" s="124"/>
      <c r="I969" s="75"/>
      <c r="J969" s="86"/>
      <c r="K969" s="74"/>
      <c r="L969" s="75"/>
    </row>
    <row r="970" spans="1:12" x14ac:dyDescent="0.2">
      <c r="A970" s="86"/>
      <c r="B970" s="62"/>
      <c r="C970" s="124" t="s">
        <v>911</v>
      </c>
      <c r="D970" s="124"/>
      <c r="E970" s="124"/>
      <c r="F970" s="124"/>
      <c r="G970" s="124"/>
      <c r="H970" s="124"/>
      <c r="I970" s="75"/>
      <c r="J970" s="86"/>
      <c r="K970" s="74"/>
      <c r="L970" s="75">
        <f>SUM(AO41:AO961)</f>
        <v>42984.009999999995</v>
      </c>
    </row>
    <row r="971" spans="1:12" hidden="1" x14ac:dyDescent="0.2">
      <c r="A971" s="86"/>
      <c r="B971" s="62"/>
      <c r="C971" s="124" t="s">
        <v>913</v>
      </c>
      <c r="D971" s="124"/>
      <c r="E971" s="124"/>
      <c r="F971" s="124"/>
      <c r="G971" s="124"/>
      <c r="H971" s="124"/>
      <c r="I971" s="75"/>
      <c r="J971" s="86"/>
      <c r="K971" s="74"/>
      <c r="L971" s="75"/>
    </row>
    <row r="972" spans="1:12" x14ac:dyDescent="0.2">
      <c r="A972" s="86"/>
      <c r="B972" s="62"/>
      <c r="C972" s="124" t="s">
        <v>933</v>
      </c>
      <c r="D972" s="124"/>
      <c r="E972" s="124"/>
      <c r="F972" s="124"/>
      <c r="G972" s="124"/>
      <c r="H972" s="124"/>
      <c r="I972" s="75"/>
      <c r="J972" s="86"/>
      <c r="K972" s="74"/>
      <c r="L972" s="75">
        <f>SUM(AT41:AT961)</f>
        <v>14698.729999999998</v>
      </c>
    </row>
    <row r="973" spans="1:12" hidden="1" x14ac:dyDescent="0.2">
      <c r="A973" s="86"/>
      <c r="B973" s="62"/>
      <c r="C973" s="124" t="s">
        <v>914</v>
      </c>
      <c r="D973" s="124"/>
      <c r="E973" s="124"/>
      <c r="F973" s="124"/>
      <c r="G973" s="124"/>
      <c r="H973" s="124"/>
      <c r="I973" s="75"/>
      <c r="J973" s="86"/>
      <c r="K973" s="74"/>
      <c r="L973" s="75">
        <f>SUM(AV41:AV961)</f>
        <v>0</v>
      </c>
    </row>
    <row r="974" spans="1:12" x14ac:dyDescent="0.2">
      <c r="A974" s="86"/>
      <c r="B974" s="62"/>
      <c r="C974" s="124" t="s">
        <v>915</v>
      </c>
      <c r="D974" s="124"/>
      <c r="E974" s="124"/>
      <c r="F974" s="124"/>
      <c r="G974" s="124"/>
      <c r="H974" s="124"/>
      <c r="I974" s="75"/>
      <c r="J974" s="86"/>
      <c r="K974" s="74"/>
      <c r="L974" s="75">
        <f>L976+L977</f>
        <v>96642.049999999988</v>
      </c>
    </row>
    <row r="975" spans="1:12" x14ac:dyDescent="0.2">
      <c r="A975" s="86"/>
      <c r="B975" s="62"/>
      <c r="C975" s="124" t="s">
        <v>912</v>
      </c>
      <c r="D975" s="124"/>
      <c r="E975" s="124"/>
      <c r="F975" s="124"/>
      <c r="G975" s="124"/>
      <c r="H975" s="124"/>
      <c r="I975" s="75"/>
      <c r="J975" s="86"/>
      <c r="K975" s="74"/>
      <c r="L975" s="75"/>
    </row>
    <row r="976" spans="1:12" x14ac:dyDescent="0.2">
      <c r="A976" s="86"/>
      <c r="B976" s="62"/>
      <c r="C976" s="124" t="s">
        <v>916</v>
      </c>
      <c r="D976" s="124"/>
      <c r="E976" s="124"/>
      <c r="F976" s="124"/>
      <c r="G976" s="124"/>
      <c r="H976" s="124"/>
      <c r="I976" s="75"/>
      <c r="J976" s="86"/>
      <c r="K976" s="74"/>
      <c r="L976" s="75">
        <f>SUM(AW41:AW961)-SUM(BK41:BK961)</f>
        <v>96642.049999999988</v>
      </c>
    </row>
    <row r="977" spans="1:12" hidden="1" x14ac:dyDescent="0.2">
      <c r="A977" s="86"/>
      <c r="B977" s="62"/>
      <c r="C977" s="124" t="s">
        <v>917</v>
      </c>
      <c r="D977" s="124"/>
      <c r="E977" s="124"/>
      <c r="F977" s="124"/>
      <c r="G977" s="124"/>
      <c r="H977" s="124"/>
      <c r="I977" s="75"/>
      <c r="J977" s="86"/>
      <c r="K977" s="74"/>
      <c r="L977" s="75">
        <f>SUM(BC41:BC961)</f>
        <v>0</v>
      </c>
    </row>
    <row r="978" spans="1:12" hidden="1" x14ac:dyDescent="0.2">
      <c r="A978" s="86"/>
      <c r="B978" s="62"/>
      <c r="C978" s="124" t="s">
        <v>918</v>
      </c>
      <c r="D978" s="124"/>
      <c r="E978" s="124"/>
      <c r="F978" s="124"/>
      <c r="G978" s="124"/>
      <c r="H978" s="124"/>
      <c r="I978" s="75"/>
      <c r="J978" s="86"/>
      <c r="K978" s="74"/>
      <c r="L978" s="75">
        <f>SUM(BB41:BB961)</f>
        <v>0</v>
      </c>
    </row>
    <row r="979" spans="1:12" x14ac:dyDescent="0.2">
      <c r="A979" s="86"/>
      <c r="B979" s="62"/>
      <c r="C979" s="124" t="s">
        <v>919</v>
      </c>
      <c r="D979" s="124"/>
      <c r="E979" s="124"/>
      <c r="F979" s="124"/>
      <c r="G979" s="124"/>
      <c r="H979" s="124"/>
      <c r="I979" s="75"/>
      <c r="J979" s="86"/>
      <c r="K979" s="74"/>
      <c r="L979" s="75">
        <f>SUM(AR41:AR961)+SUM(AT41:AT961)+SUM(AV41:AV961)</f>
        <v>70636.000000000015</v>
      </c>
    </row>
    <row r="980" spans="1:12" x14ac:dyDescent="0.2">
      <c r="A980" s="86"/>
      <c r="B980" s="62"/>
      <c r="C980" s="124" t="s">
        <v>920</v>
      </c>
      <c r="D980" s="124"/>
      <c r="E980" s="124"/>
      <c r="F980" s="124"/>
      <c r="G980" s="124"/>
      <c r="H980" s="124"/>
      <c r="I980" s="75"/>
      <c r="J980" s="86"/>
      <c r="K980" s="74"/>
      <c r="L980" s="75">
        <f>SUM(AZ41:AZ961)</f>
        <v>76006.48</v>
      </c>
    </row>
    <row r="981" spans="1:12" x14ac:dyDescent="0.2">
      <c r="A981" s="86"/>
      <c r="B981" s="62"/>
      <c r="C981" s="124" t="s">
        <v>921</v>
      </c>
      <c r="D981" s="124"/>
      <c r="E981" s="124"/>
      <c r="F981" s="124"/>
      <c r="G981" s="124"/>
      <c r="H981" s="124"/>
      <c r="I981" s="75"/>
      <c r="J981" s="86"/>
      <c r="K981" s="74"/>
      <c r="L981" s="75">
        <f>SUM(BA41:BA961)</f>
        <v>42249.96</v>
      </c>
    </row>
    <row r="982" spans="1:12" hidden="1" x14ac:dyDescent="0.2">
      <c r="A982" s="86"/>
      <c r="B982" s="62"/>
      <c r="C982" s="124" t="s">
        <v>1004</v>
      </c>
      <c r="D982" s="124"/>
      <c r="E982" s="124"/>
      <c r="F982" s="124"/>
      <c r="G982" s="124"/>
      <c r="H982" s="124"/>
      <c r="I982" s="75"/>
      <c r="J982" s="86"/>
      <c r="K982" s="74"/>
      <c r="L982" s="75">
        <f>L984+L985</f>
        <v>0</v>
      </c>
    </row>
    <row r="983" spans="1:12" hidden="1" x14ac:dyDescent="0.2">
      <c r="A983" s="86"/>
      <c r="B983" s="62"/>
      <c r="C983" s="124" t="s">
        <v>909</v>
      </c>
      <c r="D983" s="124"/>
      <c r="E983" s="124"/>
      <c r="F983" s="124"/>
      <c r="G983" s="124"/>
      <c r="H983" s="124"/>
      <c r="I983" s="75"/>
      <c r="J983" s="86"/>
      <c r="K983" s="74"/>
      <c r="L983" s="75"/>
    </row>
    <row r="984" spans="1:12" hidden="1" x14ac:dyDescent="0.2">
      <c r="A984" s="86"/>
      <c r="B984" s="62"/>
      <c r="C984" s="124" t="s">
        <v>923</v>
      </c>
      <c r="D984" s="124"/>
      <c r="E984" s="124"/>
      <c r="F984" s="124"/>
      <c r="G984" s="124"/>
      <c r="H984" s="124"/>
      <c r="I984" s="75"/>
      <c r="J984" s="86"/>
      <c r="K984" s="74"/>
      <c r="L984" s="75">
        <f>SUM(BK41:BK961)</f>
        <v>0</v>
      </c>
    </row>
    <row r="985" spans="1:12" hidden="1" x14ac:dyDescent="0.2">
      <c r="A985" s="86"/>
      <c r="B985" s="62"/>
      <c r="C985" s="124" t="s">
        <v>924</v>
      </c>
      <c r="D985" s="124"/>
      <c r="E985" s="124"/>
      <c r="F985" s="124"/>
      <c r="G985" s="124"/>
      <c r="H985" s="124"/>
      <c r="I985" s="75"/>
      <c r="J985" s="86"/>
      <c r="K985" s="74"/>
      <c r="L985" s="75">
        <f>SUM(BD41:BD961)</f>
        <v>0</v>
      </c>
    </row>
    <row r="986" spans="1:12" hidden="1" x14ac:dyDescent="0.2">
      <c r="A986" s="86"/>
      <c r="B986" s="62"/>
      <c r="C986" s="124" t="s">
        <v>1005</v>
      </c>
      <c r="D986" s="124"/>
      <c r="E986" s="124"/>
      <c r="F986" s="124"/>
      <c r="G986" s="124"/>
      <c r="H986" s="124"/>
      <c r="I986" s="75"/>
      <c r="J986" s="86"/>
      <c r="K986" s="74"/>
      <c r="L986" s="75">
        <f>L937</f>
        <v>0</v>
      </c>
    </row>
    <row r="987" spans="1:12" x14ac:dyDescent="0.2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</row>
    <row r="988" spans="1:12" x14ac:dyDescent="0.2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</row>
    <row r="989" spans="1:12" x14ac:dyDescent="0.2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</row>
    <row r="990" spans="1:12" ht="14.25" customHeight="1" x14ac:dyDescent="0.2">
      <c r="A990" s="66"/>
      <c r="B990" s="67" t="s">
        <v>1006</v>
      </c>
      <c r="C990" s="90" t="str">
        <f>IF(Source!AC12&lt;&gt;"", Source!AC12," ")</f>
        <v xml:space="preserve"> </v>
      </c>
      <c r="D990" s="71"/>
      <c r="E990" s="71"/>
      <c r="F990" s="71"/>
      <c r="G990" s="71"/>
      <c r="H990" s="69" t="str">
        <f>IF(Source!AB12&lt;&gt;"", Source!AB12," ")</f>
        <v xml:space="preserve"> </v>
      </c>
      <c r="I990" s="68"/>
      <c r="J990" s="68"/>
      <c r="K990" s="68"/>
      <c r="L990" s="68"/>
    </row>
    <row r="991" spans="1:12" ht="14.25" customHeight="1" x14ac:dyDescent="0.2">
      <c r="A991" s="66"/>
      <c r="B991" s="55"/>
      <c r="C991" s="127" t="s">
        <v>1007</v>
      </c>
      <c r="D991" s="127"/>
      <c r="E991" s="127"/>
      <c r="F991" s="127"/>
      <c r="G991" s="127"/>
      <c r="H991" s="68"/>
      <c r="I991" s="68"/>
      <c r="J991" s="68"/>
      <c r="K991" s="68"/>
      <c r="L991" s="68"/>
    </row>
    <row r="992" spans="1:12" ht="14.25" customHeight="1" x14ac:dyDescent="0.2">
      <c r="A992" s="66"/>
      <c r="B992" s="55"/>
      <c r="C992" s="17"/>
      <c r="D992" s="17"/>
      <c r="E992" s="17"/>
      <c r="F992" s="17"/>
      <c r="G992" s="17"/>
      <c r="H992" s="68"/>
      <c r="I992" s="68"/>
      <c r="J992" s="68"/>
      <c r="K992" s="68"/>
      <c r="L992" s="68"/>
    </row>
    <row r="993" spans="1:12" ht="14.25" customHeight="1" x14ac:dyDescent="0.2">
      <c r="A993" s="66"/>
      <c r="B993" s="67" t="s">
        <v>1008</v>
      </c>
      <c r="C993" s="90" t="str">
        <f>IF(Source!AE12&lt;&gt;"", Source!AE12," ")</f>
        <v xml:space="preserve"> </v>
      </c>
      <c r="D993" s="71"/>
      <c r="E993" s="71"/>
      <c r="F993" s="71"/>
      <c r="G993" s="71"/>
      <c r="H993" s="69" t="str">
        <f>IF(Source!AD12&lt;&gt;"", Source!AD12," ")</f>
        <v xml:space="preserve"> </v>
      </c>
      <c r="I993" s="68"/>
      <c r="J993" s="68"/>
      <c r="K993" s="68"/>
      <c r="L993" s="68"/>
    </row>
    <row r="994" spans="1:12" ht="14.25" customHeight="1" x14ac:dyDescent="0.2">
      <c r="A994" s="17"/>
      <c r="B994" s="17"/>
      <c r="C994" s="127" t="s">
        <v>1007</v>
      </c>
      <c r="D994" s="127"/>
      <c r="E994" s="127"/>
      <c r="F994" s="127"/>
      <c r="G994" s="127"/>
      <c r="H994" s="68"/>
      <c r="I994" s="68"/>
      <c r="J994" s="68"/>
      <c r="K994" s="68"/>
      <c r="L994" s="68"/>
    </row>
    <row r="995" spans="1:12" x14ac:dyDescent="0.2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</row>
    <row r="996" spans="1:12" x14ac:dyDescent="0.2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</row>
    <row r="997" spans="1:12" x14ac:dyDescent="0.2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</row>
    <row r="998" spans="1:12" x14ac:dyDescent="0.2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</row>
    <row r="999" spans="1:12" x14ac:dyDescent="0.2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</row>
    <row r="1000" spans="1:12" x14ac:dyDescent="0.2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</row>
    <row r="1001" spans="1:12" x14ac:dyDescent="0.2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</row>
    <row r="1002" spans="1:12" x14ac:dyDescent="0.2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</row>
    <row r="1003" spans="1:12" x14ac:dyDescent="0.2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</row>
    <row r="1004" spans="1:12" x14ac:dyDescent="0.2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</row>
    <row r="1005" spans="1:12" x14ac:dyDescent="0.2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</row>
    <row r="1006" spans="1:12" x14ac:dyDescent="0.2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</row>
    <row r="1007" spans="1:12" x14ac:dyDescent="0.2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</row>
    <row r="1008" spans="1:12" x14ac:dyDescent="0.2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</row>
    <row r="1009" spans="1:12" x14ac:dyDescent="0.2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</row>
    <row r="1010" spans="1:12" x14ac:dyDescent="0.2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</row>
  </sheetData>
  <mergeCells count="423">
    <mergeCell ref="C991:G991"/>
    <mergeCell ref="C994:G994"/>
    <mergeCell ref="C985:H985"/>
    <mergeCell ref="C986:H986"/>
    <mergeCell ref="C979:H979"/>
    <mergeCell ref="C980:H980"/>
    <mergeCell ref="C981:H981"/>
    <mergeCell ref="C982:H982"/>
    <mergeCell ref="C983:H983"/>
    <mergeCell ref="C984:H984"/>
    <mergeCell ref="C973:H973"/>
    <mergeCell ref="C974:H974"/>
    <mergeCell ref="C975:H975"/>
    <mergeCell ref="C976:H976"/>
    <mergeCell ref="C977:H977"/>
    <mergeCell ref="C978:H978"/>
    <mergeCell ref="C967:H967"/>
    <mergeCell ref="C968:H968"/>
    <mergeCell ref="C969:H969"/>
    <mergeCell ref="C970:H970"/>
    <mergeCell ref="C971:H971"/>
    <mergeCell ref="C972:H972"/>
    <mergeCell ref="C960:H960"/>
    <mergeCell ref="C961:H961"/>
    <mergeCell ref="C963:H963"/>
    <mergeCell ref="C964:H964"/>
    <mergeCell ref="C965:H965"/>
    <mergeCell ref="C966:H966"/>
    <mergeCell ref="C954:H954"/>
    <mergeCell ref="C955:H955"/>
    <mergeCell ref="C956:H956"/>
    <mergeCell ref="C957:H957"/>
    <mergeCell ref="C958:H958"/>
    <mergeCell ref="C959:H959"/>
    <mergeCell ref="C948:H948"/>
    <mergeCell ref="C949:H949"/>
    <mergeCell ref="C950:H950"/>
    <mergeCell ref="C951:H951"/>
    <mergeCell ref="C952:H952"/>
    <mergeCell ref="C953:H953"/>
    <mergeCell ref="C942:H942"/>
    <mergeCell ref="C943:H943"/>
    <mergeCell ref="C944:H944"/>
    <mergeCell ref="C945:H945"/>
    <mergeCell ref="C946:H946"/>
    <mergeCell ref="C947:H947"/>
    <mergeCell ref="C935:H935"/>
    <mergeCell ref="C937:H937"/>
    <mergeCell ref="C938:H938"/>
    <mergeCell ref="C939:H939"/>
    <mergeCell ref="C940:H940"/>
    <mergeCell ref="C941:H941"/>
    <mergeCell ref="C928:H928"/>
    <mergeCell ref="C929:H929"/>
    <mergeCell ref="C930:H930"/>
    <mergeCell ref="C932:H932"/>
    <mergeCell ref="C933:H933"/>
    <mergeCell ref="C934:H934"/>
    <mergeCell ref="C922:H922"/>
    <mergeCell ref="C923:H923"/>
    <mergeCell ref="C924:H924"/>
    <mergeCell ref="C925:H925"/>
    <mergeCell ref="C926:H926"/>
    <mergeCell ref="C927:H927"/>
    <mergeCell ref="C916:H916"/>
    <mergeCell ref="C917:H917"/>
    <mergeCell ref="C918:H918"/>
    <mergeCell ref="C919:H919"/>
    <mergeCell ref="C920:H920"/>
    <mergeCell ref="C921:H921"/>
    <mergeCell ref="C909:H909"/>
    <mergeCell ref="C910:H910"/>
    <mergeCell ref="C912:H912"/>
    <mergeCell ref="C913:H913"/>
    <mergeCell ref="C914:H914"/>
    <mergeCell ref="C915:H915"/>
    <mergeCell ref="C903:H903"/>
    <mergeCell ref="C904:H904"/>
    <mergeCell ref="C905:H905"/>
    <mergeCell ref="C906:H906"/>
    <mergeCell ref="C907:H907"/>
    <mergeCell ref="C908:H908"/>
    <mergeCell ref="C897:H897"/>
    <mergeCell ref="C898:H898"/>
    <mergeCell ref="C899:H899"/>
    <mergeCell ref="C900:H900"/>
    <mergeCell ref="C901:H901"/>
    <mergeCell ref="C902:H902"/>
    <mergeCell ref="C890:H890"/>
    <mergeCell ref="C892:H892"/>
    <mergeCell ref="C893:H893"/>
    <mergeCell ref="C894:H894"/>
    <mergeCell ref="C895:H895"/>
    <mergeCell ref="C896:H896"/>
    <mergeCell ref="C882:H882"/>
    <mergeCell ref="C883:H883"/>
    <mergeCell ref="C884:H884"/>
    <mergeCell ref="C885:H885"/>
    <mergeCell ref="C886:F886"/>
    <mergeCell ref="C887:F887"/>
    <mergeCell ref="C876:H876"/>
    <mergeCell ref="C877:H877"/>
    <mergeCell ref="C878:H878"/>
    <mergeCell ref="C879:H879"/>
    <mergeCell ref="C880:H880"/>
    <mergeCell ref="C881:H881"/>
    <mergeCell ref="C870:H870"/>
    <mergeCell ref="C871:H871"/>
    <mergeCell ref="C872:H872"/>
    <mergeCell ref="C873:H873"/>
    <mergeCell ref="C874:H874"/>
    <mergeCell ref="C875:H875"/>
    <mergeCell ref="C864:H864"/>
    <mergeCell ref="C865:H865"/>
    <mergeCell ref="C866:H866"/>
    <mergeCell ref="C867:H867"/>
    <mergeCell ref="C868:H868"/>
    <mergeCell ref="C869:H869"/>
    <mergeCell ref="C858:H858"/>
    <mergeCell ref="C859:H859"/>
    <mergeCell ref="C860:H860"/>
    <mergeCell ref="C861:H861"/>
    <mergeCell ref="C862:H862"/>
    <mergeCell ref="C863:H863"/>
    <mergeCell ref="C841:H841"/>
    <mergeCell ref="I841:J841"/>
    <mergeCell ref="K841:L841"/>
    <mergeCell ref="C856:H856"/>
    <mergeCell ref="I856:J856"/>
    <mergeCell ref="K856:L856"/>
    <mergeCell ref="C822:H822"/>
    <mergeCell ref="I822:J822"/>
    <mergeCell ref="K822:L822"/>
    <mergeCell ref="C824:H824"/>
    <mergeCell ref="I824:J824"/>
    <mergeCell ref="K824:L824"/>
    <mergeCell ref="C806:H806"/>
    <mergeCell ref="I806:J806"/>
    <mergeCell ref="K806:L806"/>
    <mergeCell ref="C808:H808"/>
    <mergeCell ref="I808:J808"/>
    <mergeCell ref="K808:L808"/>
    <mergeCell ref="C760:H760"/>
    <mergeCell ref="I760:J760"/>
    <mergeCell ref="K760:L760"/>
    <mergeCell ref="C787:H787"/>
    <mergeCell ref="I787:J787"/>
    <mergeCell ref="K787:L787"/>
    <mergeCell ref="C742:H742"/>
    <mergeCell ref="I742:J742"/>
    <mergeCell ref="K742:L742"/>
    <mergeCell ref="C744:H744"/>
    <mergeCell ref="I744:J744"/>
    <mergeCell ref="K744:L744"/>
    <mergeCell ref="C702:H702"/>
    <mergeCell ref="I702:J702"/>
    <mergeCell ref="K702:L702"/>
    <mergeCell ref="C718:H718"/>
    <mergeCell ref="I718:J718"/>
    <mergeCell ref="K718:L718"/>
    <mergeCell ref="C669:H669"/>
    <mergeCell ref="I669:J669"/>
    <mergeCell ref="K669:L669"/>
    <mergeCell ref="C684:H684"/>
    <mergeCell ref="I684:J684"/>
    <mergeCell ref="K684:L684"/>
    <mergeCell ref="A618:L618"/>
    <mergeCell ref="C629:H629"/>
    <mergeCell ref="I629:J629"/>
    <mergeCell ref="K629:L629"/>
    <mergeCell ref="C640:H640"/>
    <mergeCell ref="I640:J640"/>
    <mergeCell ref="K640:L640"/>
    <mergeCell ref="C610:H610"/>
    <mergeCell ref="C611:H611"/>
    <mergeCell ref="C612:H612"/>
    <mergeCell ref="C613:H613"/>
    <mergeCell ref="C614:F614"/>
    <mergeCell ref="C615:F615"/>
    <mergeCell ref="C604:H604"/>
    <mergeCell ref="C605:H605"/>
    <mergeCell ref="C606:H606"/>
    <mergeCell ref="C607:H607"/>
    <mergeCell ref="C608:H608"/>
    <mergeCell ref="C609:H609"/>
    <mergeCell ref="C598:H598"/>
    <mergeCell ref="C599:H599"/>
    <mergeCell ref="C600:H600"/>
    <mergeCell ref="C601:H601"/>
    <mergeCell ref="C602:H602"/>
    <mergeCell ref="C603:H603"/>
    <mergeCell ref="C592:H592"/>
    <mergeCell ref="C593:H593"/>
    <mergeCell ref="C594:H594"/>
    <mergeCell ref="C595:H595"/>
    <mergeCell ref="C596:H596"/>
    <mergeCell ref="C597:H597"/>
    <mergeCell ref="C586:H586"/>
    <mergeCell ref="C587:H587"/>
    <mergeCell ref="C588:H588"/>
    <mergeCell ref="C589:H589"/>
    <mergeCell ref="C590:H590"/>
    <mergeCell ref="C591:H591"/>
    <mergeCell ref="C559:H559"/>
    <mergeCell ref="I559:J559"/>
    <mergeCell ref="K559:L559"/>
    <mergeCell ref="C584:H584"/>
    <mergeCell ref="I584:J584"/>
    <mergeCell ref="K584:L584"/>
    <mergeCell ref="C555:H555"/>
    <mergeCell ref="I555:J555"/>
    <mergeCell ref="K555:L555"/>
    <mergeCell ref="C557:H557"/>
    <mergeCell ref="I557:J557"/>
    <mergeCell ref="K557:L557"/>
    <mergeCell ref="C520:H520"/>
    <mergeCell ref="I520:J520"/>
    <mergeCell ref="K520:L520"/>
    <mergeCell ref="C522:H522"/>
    <mergeCell ref="I522:J522"/>
    <mergeCell ref="K522:L522"/>
    <mergeCell ref="C500:H500"/>
    <mergeCell ref="I500:J500"/>
    <mergeCell ref="K500:L500"/>
    <mergeCell ref="C518:H518"/>
    <mergeCell ref="I518:J518"/>
    <mergeCell ref="K518:L518"/>
    <mergeCell ref="A455:L455"/>
    <mergeCell ref="C482:H482"/>
    <mergeCell ref="I482:J482"/>
    <mergeCell ref="K482:L482"/>
    <mergeCell ref="C484:H484"/>
    <mergeCell ref="I484:J484"/>
    <mergeCell ref="K484:L484"/>
    <mergeCell ref="C447:H447"/>
    <mergeCell ref="C448:H448"/>
    <mergeCell ref="C449:H449"/>
    <mergeCell ref="C450:H450"/>
    <mergeCell ref="C451:F451"/>
    <mergeCell ref="C452:F452"/>
    <mergeCell ref="C441:H441"/>
    <mergeCell ref="C442:H442"/>
    <mergeCell ref="C443:H443"/>
    <mergeCell ref="C444:H444"/>
    <mergeCell ref="C445:H445"/>
    <mergeCell ref="C446:H446"/>
    <mergeCell ref="C435:H435"/>
    <mergeCell ref="C436:H436"/>
    <mergeCell ref="C437:H437"/>
    <mergeCell ref="C438:H438"/>
    <mergeCell ref="C439:H439"/>
    <mergeCell ref="C440:H440"/>
    <mergeCell ref="C429:H429"/>
    <mergeCell ref="C430:H430"/>
    <mergeCell ref="C431:H431"/>
    <mergeCell ref="C432:H432"/>
    <mergeCell ref="C433:H433"/>
    <mergeCell ref="C434:H434"/>
    <mergeCell ref="C423:H423"/>
    <mergeCell ref="C424:H424"/>
    <mergeCell ref="C425:H425"/>
    <mergeCell ref="C426:H426"/>
    <mergeCell ref="C427:H427"/>
    <mergeCell ref="C428:H428"/>
    <mergeCell ref="C407:H407"/>
    <mergeCell ref="I407:J407"/>
    <mergeCell ref="K407:L407"/>
    <mergeCell ref="C421:H421"/>
    <mergeCell ref="I421:J421"/>
    <mergeCell ref="K421:L421"/>
    <mergeCell ref="C375:H375"/>
    <mergeCell ref="I375:J375"/>
    <mergeCell ref="K375:L375"/>
    <mergeCell ref="C390:H390"/>
    <mergeCell ref="I390:J390"/>
    <mergeCell ref="K390:L390"/>
    <mergeCell ref="C344:H344"/>
    <mergeCell ref="I344:J344"/>
    <mergeCell ref="K344:L344"/>
    <mergeCell ref="C362:H362"/>
    <mergeCell ref="I362:J362"/>
    <mergeCell ref="K362:L362"/>
    <mergeCell ref="C320:H320"/>
    <mergeCell ref="I320:J320"/>
    <mergeCell ref="K320:L320"/>
    <mergeCell ref="C323:H323"/>
    <mergeCell ref="I323:J323"/>
    <mergeCell ref="K323:L323"/>
    <mergeCell ref="C303:H303"/>
    <mergeCell ref="I303:J303"/>
    <mergeCell ref="K303:L303"/>
    <mergeCell ref="C318:H318"/>
    <mergeCell ref="I318:J318"/>
    <mergeCell ref="K318:L318"/>
    <mergeCell ref="C286:H286"/>
    <mergeCell ref="I286:J286"/>
    <mergeCell ref="K286:L286"/>
    <mergeCell ref="C300:H300"/>
    <mergeCell ref="I300:J300"/>
    <mergeCell ref="K300:L300"/>
    <mergeCell ref="C269:H269"/>
    <mergeCell ref="I269:J269"/>
    <mergeCell ref="K269:L269"/>
    <mergeCell ref="C283:H283"/>
    <mergeCell ref="I283:J283"/>
    <mergeCell ref="K283:L283"/>
    <mergeCell ref="C265:H265"/>
    <mergeCell ref="I265:J265"/>
    <mergeCell ref="K265:L265"/>
    <mergeCell ref="C267:H267"/>
    <mergeCell ref="I267:J267"/>
    <mergeCell ref="K267:L267"/>
    <mergeCell ref="C231:H231"/>
    <mergeCell ref="I231:J231"/>
    <mergeCell ref="K231:L231"/>
    <mergeCell ref="C248:H248"/>
    <mergeCell ref="I248:J248"/>
    <mergeCell ref="K248:L248"/>
    <mergeCell ref="C207:H207"/>
    <mergeCell ref="I207:J207"/>
    <mergeCell ref="K207:L207"/>
    <mergeCell ref="C229:H229"/>
    <mergeCell ref="I229:J229"/>
    <mergeCell ref="K229:L229"/>
    <mergeCell ref="C203:H203"/>
    <mergeCell ref="I203:J203"/>
    <mergeCell ref="K203:L203"/>
    <mergeCell ref="C205:H205"/>
    <mergeCell ref="I205:J205"/>
    <mergeCell ref="K205:L205"/>
    <mergeCell ref="C186:H186"/>
    <mergeCell ref="I186:J186"/>
    <mergeCell ref="K186:L186"/>
    <mergeCell ref="C188:H188"/>
    <mergeCell ref="I188:J188"/>
    <mergeCell ref="K188:L188"/>
    <mergeCell ref="C127:H127"/>
    <mergeCell ref="C128:F128"/>
    <mergeCell ref="C129:F129"/>
    <mergeCell ref="A132:L132"/>
    <mergeCell ref="C160:H160"/>
    <mergeCell ref="I160:J160"/>
    <mergeCell ref="K160:L160"/>
    <mergeCell ref="C121:H121"/>
    <mergeCell ref="C122:H122"/>
    <mergeCell ref="C123:H123"/>
    <mergeCell ref="C124:H124"/>
    <mergeCell ref="C125:H125"/>
    <mergeCell ref="C126:H126"/>
    <mergeCell ref="C115:H115"/>
    <mergeCell ref="C116:H116"/>
    <mergeCell ref="C117:H117"/>
    <mergeCell ref="C118:H118"/>
    <mergeCell ref="C119:H119"/>
    <mergeCell ref="C120:H120"/>
    <mergeCell ref="C109:H109"/>
    <mergeCell ref="C110:H110"/>
    <mergeCell ref="C111:H111"/>
    <mergeCell ref="C112:H112"/>
    <mergeCell ref="C113:H113"/>
    <mergeCell ref="C114:H114"/>
    <mergeCell ref="C103:H103"/>
    <mergeCell ref="C104:H104"/>
    <mergeCell ref="C105:H105"/>
    <mergeCell ref="C106:H106"/>
    <mergeCell ref="C107:H107"/>
    <mergeCell ref="C108:H108"/>
    <mergeCell ref="C98:H98"/>
    <mergeCell ref="I98:J98"/>
    <mergeCell ref="K98:L98"/>
    <mergeCell ref="C100:H100"/>
    <mergeCell ref="C101:H101"/>
    <mergeCell ref="C102:H102"/>
    <mergeCell ref="C78:H78"/>
    <mergeCell ref="I78:J78"/>
    <mergeCell ref="K78:L78"/>
    <mergeCell ref="C89:H89"/>
    <mergeCell ref="I89:J89"/>
    <mergeCell ref="K89:L89"/>
    <mergeCell ref="C62:H62"/>
    <mergeCell ref="I62:J62"/>
    <mergeCell ref="K62:L62"/>
    <mergeCell ref="C76:H76"/>
    <mergeCell ref="I76:J76"/>
    <mergeCell ref="K76:L76"/>
    <mergeCell ref="E35:G38"/>
    <mergeCell ref="H35:L38"/>
    <mergeCell ref="A42:L42"/>
    <mergeCell ref="C53:H53"/>
    <mergeCell ref="I53:J53"/>
    <mergeCell ref="K53:L53"/>
    <mergeCell ref="C33:D33"/>
    <mergeCell ref="C34:D34"/>
    <mergeCell ref="A35:A39"/>
    <mergeCell ref="B35:B39"/>
    <mergeCell ref="C35:C39"/>
    <mergeCell ref="D35:D39"/>
    <mergeCell ref="A22:L22"/>
    <mergeCell ref="C25:L25"/>
    <mergeCell ref="C26:L26"/>
    <mergeCell ref="C28:D28"/>
    <mergeCell ref="C31:D31"/>
    <mergeCell ref="C32:D32"/>
    <mergeCell ref="A15:L15"/>
    <mergeCell ref="A17:L17"/>
    <mergeCell ref="A18:L18"/>
    <mergeCell ref="A20:L20"/>
    <mergeCell ref="A21:L21"/>
    <mergeCell ref="A1:E1"/>
    <mergeCell ref="F1:L1"/>
    <mergeCell ref="A14:L14"/>
    <mergeCell ref="A9:E9"/>
    <mergeCell ref="F9:L9"/>
    <mergeCell ref="A11:E11"/>
    <mergeCell ref="F11:L11"/>
    <mergeCell ref="A12:E12"/>
    <mergeCell ref="F12:L12"/>
    <mergeCell ref="A3:E3"/>
    <mergeCell ref="F3:L3"/>
    <mergeCell ref="A5:E5"/>
    <mergeCell ref="F5:L5"/>
    <mergeCell ref="A7:E7"/>
    <mergeCell ref="F7:L7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topLeftCell="A13" zoomScale="70" zoomScaleNormal="70" workbookViewId="0">
      <selection activeCell="O30" sqref="O30"/>
    </sheetView>
  </sheetViews>
  <sheetFormatPr defaultRowHeight="12.75" x14ac:dyDescent="0.2"/>
  <cols>
    <col min="1" max="1" width="6.7109375" customWidth="1"/>
    <col min="2" max="2" width="25.7109375" customWidth="1"/>
    <col min="3" max="3" width="35.7109375" customWidth="1"/>
    <col min="4" max="4" width="20.42578125" customWidth="1"/>
    <col min="5" max="5" width="9.140625" customWidth="1"/>
    <col min="6" max="7" width="8" customWidth="1"/>
    <col min="8" max="8" width="13.85546875" customWidth="1"/>
    <col min="9" max="9" width="15.7109375" customWidth="1"/>
    <col min="10" max="10" width="8.7109375" customWidth="1"/>
    <col min="11" max="11" width="9.140625" customWidth="1"/>
    <col min="12" max="12" width="15.7109375" customWidth="1"/>
    <col min="13" max="16" width="10.7109375" customWidth="1"/>
    <col min="17" max="17" width="9.85546875" customWidth="1"/>
    <col min="18" max="18" width="7.7109375" customWidth="1"/>
    <col min="19" max="19" width="10.7109375" customWidth="1"/>
    <col min="20" max="20" width="15.7109375" customWidth="1"/>
    <col min="21" max="21" width="20.7109375" customWidth="1"/>
    <col min="22" max="22" width="10.85546875" customWidth="1"/>
    <col min="23" max="24" width="15.7109375" customWidth="1"/>
    <col min="25" max="25" width="20.7109375" customWidth="1"/>
    <col min="26" max="26" width="15" customWidth="1"/>
    <col min="27" max="27" width="9.5703125" customWidth="1"/>
    <col min="28" max="28" width="15.7109375" customWidth="1"/>
  </cols>
  <sheetData>
    <row r="1" spans="1:28" ht="12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20.25" customHeight="1" x14ac:dyDescent="0.2">
      <c r="A2" s="133" t="s">
        <v>1009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24"/>
    </row>
    <row r="3" spans="1:28" ht="15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14"/>
    </row>
    <row r="4" spans="1:28" ht="27.75" customHeight="1" x14ac:dyDescent="0.2">
      <c r="A4" s="134" t="s">
        <v>1040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26"/>
    </row>
    <row r="5" spans="1:28" ht="12.75" customHeight="1" x14ac:dyDescent="0.2">
      <c r="A5" s="102" t="s">
        <v>855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27"/>
    </row>
    <row r="6" spans="1:28" ht="12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2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28" t="s">
        <v>1010</v>
      </c>
      <c r="V7" s="132"/>
      <c r="W7" s="132"/>
      <c r="X7" s="132"/>
      <c r="Y7" s="132"/>
      <c r="Z7" s="132"/>
      <c r="AA7" s="132"/>
      <c r="AB7" s="14"/>
    </row>
    <row r="8" spans="1:28" ht="12.7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8" t="s">
        <v>852</v>
      </c>
      <c r="V8" s="132"/>
      <c r="W8" s="132"/>
      <c r="X8" s="132"/>
      <c r="Y8" s="132"/>
      <c r="Z8" s="132"/>
      <c r="AA8" s="132"/>
      <c r="AB8" s="14"/>
    </row>
    <row r="9" spans="1:28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28" t="s">
        <v>1011</v>
      </c>
      <c r="V9" s="132"/>
      <c r="W9" s="132"/>
      <c r="X9" s="132"/>
      <c r="Y9" s="132"/>
      <c r="Z9" s="132"/>
      <c r="AA9" s="132"/>
      <c r="AB9" s="14"/>
    </row>
    <row r="10" spans="1:28" ht="12.7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8" t="s">
        <v>1012</v>
      </c>
      <c r="V10" s="132"/>
      <c r="W10" s="132"/>
      <c r="X10" s="132"/>
      <c r="Y10" s="132"/>
      <c r="Z10" s="132"/>
      <c r="AA10" s="132"/>
      <c r="AB10" s="14"/>
    </row>
    <row r="11" spans="1:28" ht="12.7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 ht="12.75" customHeight="1" x14ac:dyDescent="0.2">
      <c r="A12" s="128" t="s">
        <v>1013</v>
      </c>
      <c r="B12" s="128" t="s">
        <v>1014</v>
      </c>
      <c r="C12" s="128" t="s">
        <v>1015</v>
      </c>
      <c r="D12" s="128" t="s">
        <v>1016</v>
      </c>
      <c r="E12" s="128" t="s">
        <v>1017</v>
      </c>
      <c r="F12" s="128" t="s">
        <v>1018</v>
      </c>
      <c r="G12" s="128" t="s">
        <v>1019</v>
      </c>
      <c r="H12" s="149" t="s">
        <v>1020</v>
      </c>
      <c r="I12" s="128" t="s">
        <v>1021</v>
      </c>
      <c r="J12" s="128" t="s">
        <v>1022</v>
      </c>
      <c r="K12" s="128" t="s">
        <v>1023</v>
      </c>
      <c r="L12" s="128" t="s">
        <v>1024</v>
      </c>
      <c r="M12" s="135" t="s">
        <v>1025</v>
      </c>
      <c r="N12" s="136"/>
      <c r="O12" s="135" t="s">
        <v>1026</v>
      </c>
      <c r="P12" s="136"/>
      <c r="Q12" s="135" t="s">
        <v>1027</v>
      </c>
      <c r="R12" s="140"/>
      <c r="S12" s="141"/>
      <c r="T12" s="154" t="s">
        <v>1028</v>
      </c>
      <c r="U12" s="128" t="s">
        <v>1029</v>
      </c>
      <c r="V12" s="128" t="s">
        <v>1030</v>
      </c>
      <c r="W12" s="128" t="s">
        <v>1031</v>
      </c>
      <c r="X12" s="128" t="s">
        <v>1032</v>
      </c>
      <c r="Y12" s="128" t="s">
        <v>1035</v>
      </c>
      <c r="Z12" s="128" t="s">
        <v>1033</v>
      </c>
      <c r="AA12" s="128" t="s">
        <v>1034</v>
      </c>
      <c r="AB12" s="128" t="s">
        <v>1036</v>
      </c>
    </row>
    <row r="13" spans="1:28" ht="12.75" customHeight="1" x14ac:dyDescent="0.2">
      <c r="A13" s="129"/>
      <c r="B13" s="129"/>
      <c r="C13" s="129"/>
      <c r="D13" s="129"/>
      <c r="E13" s="129"/>
      <c r="F13" s="129"/>
      <c r="G13" s="129"/>
      <c r="H13" s="150"/>
      <c r="I13" s="129"/>
      <c r="J13" s="129"/>
      <c r="K13" s="129"/>
      <c r="L13" s="129"/>
      <c r="M13" s="137"/>
      <c r="N13" s="138"/>
      <c r="O13" s="137"/>
      <c r="P13" s="138"/>
      <c r="Q13" s="137"/>
      <c r="R13" s="142"/>
      <c r="S13" s="143"/>
      <c r="T13" s="155"/>
      <c r="U13" s="129"/>
      <c r="V13" s="129"/>
      <c r="W13" s="129"/>
      <c r="X13" s="129"/>
      <c r="Y13" s="129"/>
      <c r="Z13" s="129"/>
      <c r="AA13" s="129"/>
      <c r="AB13" s="129"/>
    </row>
    <row r="14" spans="1:28" ht="38.25" customHeight="1" x14ac:dyDescent="0.2">
      <c r="A14" s="129"/>
      <c r="B14" s="129"/>
      <c r="C14" s="129"/>
      <c r="D14" s="129"/>
      <c r="E14" s="129"/>
      <c r="F14" s="129"/>
      <c r="G14" s="129"/>
      <c r="H14" s="150"/>
      <c r="I14" s="129"/>
      <c r="J14" s="129"/>
      <c r="K14" s="129"/>
      <c r="L14" s="129"/>
      <c r="M14" s="137"/>
      <c r="N14" s="138"/>
      <c r="O14" s="137"/>
      <c r="P14" s="138"/>
      <c r="Q14" s="137"/>
      <c r="R14" s="142"/>
      <c r="S14" s="143"/>
      <c r="T14" s="155"/>
      <c r="U14" s="129"/>
      <c r="V14" s="129"/>
      <c r="W14" s="129"/>
      <c r="X14" s="129"/>
      <c r="Y14" s="129"/>
      <c r="Z14" s="129"/>
      <c r="AA14" s="129"/>
      <c r="AB14" s="129"/>
    </row>
    <row r="15" spans="1:28" ht="12.75" customHeight="1" x14ac:dyDescent="0.2">
      <c r="A15" s="129"/>
      <c r="B15" s="129"/>
      <c r="C15" s="129"/>
      <c r="D15" s="129"/>
      <c r="E15" s="129"/>
      <c r="F15" s="129"/>
      <c r="G15" s="129"/>
      <c r="H15" s="150"/>
      <c r="I15" s="129"/>
      <c r="J15" s="129"/>
      <c r="K15" s="129"/>
      <c r="L15" s="129"/>
      <c r="M15" s="131"/>
      <c r="N15" s="139"/>
      <c r="O15" s="131"/>
      <c r="P15" s="139"/>
      <c r="Q15" s="131"/>
      <c r="R15" s="144"/>
      <c r="S15" s="145"/>
      <c r="T15" s="155"/>
      <c r="U15" s="129"/>
      <c r="V15" s="129"/>
      <c r="W15" s="129"/>
      <c r="X15" s="129"/>
      <c r="Y15" s="129"/>
      <c r="Z15" s="129"/>
      <c r="AA15" s="129"/>
      <c r="AB15" s="129"/>
    </row>
    <row r="16" spans="1:28" ht="12.75" customHeight="1" x14ac:dyDescent="0.2">
      <c r="A16" s="129"/>
      <c r="B16" s="129"/>
      <c r="C16" s="129"/>
      <c r="D16" s="129"/>
      <c r="E16" s="129"/>
      <c r="F16" s="129"/>
      <c r="G16" s="129"/>
      <c r="H16" s="150"/>
      <c r="I16" s="129"/>
      <c r="J16" s="129"/>
      <c r="K16" s="129"/>
      <c r="L16" s="129"/>
      <c r="M16" s="128" t="s">
        <v>194</v>
      </c>
      <c r="N16" s="128" t="s">
        <v>1037</v>
      </c>
      <c r="O16" s="128" t="s">
        <v>194</v>
      </c>
      <c r="P16" s="128" t="s">
        <v>1038</v>
      </c>
      <c r="Q16" s="128" t="s">
        <v>1039</v>
      </c>
      <c r="R16" s="128" t="s">
        <v>194</v>
      </c>
      <c r="S16" s="146" t="s">
        <v>1038</v>
      </c>
      <c r="T16" s="155"/>
      <c r="U16" s="129"/>
      <c r="V16" s="129"/>
      <c r="W16" s="129"/>
      <c r="X16" s="129"/>
      <c r="Y16" s="129"/>
      <c r="Z16" s="129"/>
      <c r="AA16" s="129"/>
      <c r="AB16" s="129"/>
    </row>
    <row r="17" spans="1:28" ht="12.75" customHeight="1" x14ac:dyDescent="0.2">
      <c r="A17" s="129"/>
      <c r="B17" s="129"/>
      <c r="C17" s="129"/>
      <c r="D17" s="129"/>
      <c r="E17" s="129"/>
      <c r="F17" s="129"/>
      <c r="G17" s="129"/>
      <c r="H17" s="150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47"/>
      <c r="T17" s="155"/>
      <c r="U17" s="129"/>
      <c r="V17" s="129"/>
      <c r="W17" s="129"/>
      <c r="X17" s="129"/>
      <c r="Y17" s="129"/>
      <c r="Z17" s="129"/>
      <c r="AA17" s="129"/>
      <c r="AB17" s="129"/>
    </row>
    <row r="18" spans="1:28" ht="378.75" customHeight="1" x14ac:dyDescent="0.2">
      <c r="A18" s="131"/>
      <c r="B18" s="131"/>
      <c r="C18" s="131"/>
      <c r="D18" s="131"/>
      <c r="E18" s="131"/>
      <c r="F18" s="131"/>
      <c r="G18" s="131"/>
      <c r="H18" s="151"/>
      <c r="I18" s="131"/>
      <c r="J18" s="131"/>
      <c r="K18" s="131"/>
      <c r="L18" s="131"/>
      <c r="M18" s="130"/>
      <c r="N18" s="130"/>
      <c r="O18" s="130"/>
      <c r="P18" s="130"/>
      <c r="Q18" s="130"/>
      <c r="R18" s="130"/>
      <c r="S18" s="148"/>
      <c r="T18" s="156"/>
      <c r="U18" s="131"/>
      <c r="V18" s="131"/>
      <c r="W18" s="131"/>
      <c r="X18" s="131"/>
      <c r="Y18" s="130"/>
      <c r="Z18" s="131"/>
      <c r="AA18" s="131"/>
      <c r="AB18" s="130"/>
    </row>
    <row r="19" spans="1:28" ht="14.25" customHeight="1" x14ac:dyDescent="0.2">
      <c r="A19" s="30">
        <v>1</v>
      </c>
      <c r="B19" s="30">
        <v>2</v>
      </c>
      <c r="C19" s="30">
        <v>3</v>
      </c>
      <c r="D19" s="30">
        <v>4</v>
      </c>
      <c r="E19" s="30">
        <v>5</v>
      </c>
      <c r="F19" s="30">
        <v>6</v>
      </c>
      <c r="G19" s="30">
        <v>7</v>
      </c>
      <c r="H19" s="30">
        <v>8</v>
      </c>
      <c r="I19" s="30">
        <v>9</v>
      </c>
      <c r="J19" s="30">
        <v>10</v>
      </c>
      <c r="K19" s="30">
        <v>11</v>
      </c>
      <c r="L19" s="30">
        <v>12</v>
      </c>
      <c r="M19" s="30">
        <v>13</v>
      </c>
      <c r="N19" s="30">
        <v>14</v>
      </c>
      <c r="O19" s="30">
        <v>15</v>
      </c>
      <c r="P19" s="30">
        <v>16</v>
      </c>
      <c r="Q19" s="30">
        <v>17</v>
      </c>
      <c r="R19" s="30">
        <v>18</v>
      </c>
      <c r="S19" s="30">
        <v>19</v>
      </c>
      <c r="T19" s="30">
        <v>20</v>
      </c>
      <c r="U19" s="30">
        <v>21</v>
      </c>
      <c r="V19" s="30">
        <v>22</v>
      </c>
      <c r="W19" s="30">
        <v>23</v>
      </c>
      <c r="X19" s="30">
        <v>24</v>
      </c>
      <c r="Y19" s="30">
        <v>25</v>
      </c>
      <c r="Z19" s="30">
        <v>26</v>
      </c>
      <c r="AA19" s="30">
        <v>27</v>
      </c>
      <c r="AB19" s="30">
        <v>29</v>
      </c>
    </row>
    <row r="20" spans="1:28" ht="16.5" x14ac:dyDescent="0.2">
      <c r="A20" s="152" t="str">
        <f>SrcKA!E14</f>
        <v>Конъюнктурный анализ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</row>
    <row r="21" spans="1:28" ht="45" x14ac:dyDescent="0.2">
      <c r="A21" s="31" t="s">
        <v>824</v>
      </c>
      <c r="B21" s="32" t="str">
        <f>SrcKA!D15</f>
        <v>ТЦ_21.00.00.00_64_6454104668_30.09.2026_01_5.1</v>
      </c>
      <c r="C21" s="32" t="str">
        <f>IF((SrcKA!AI15&lt;&gt;""), SrcKA!AI15,"")</f>
        <v>Провод-спутник медно-стальной  П-274М</v>
      </c>
      <c r="D21" s="32" t="str">
        <f>IF((SrcKA!E15&lt;&gt;""), SrcKA!E15,"")</f>
        <v>Провод П-274М</v>
      </c>
      <c r="E21" s="33" t="str">
        <f>IF((SrcKA!AH15&lt;&gt;""), SrcKA!AH15,"")</f>
        <v>м</v>
      </c>
      <c r="F21" s="33" t="str">
        <f>IF((SrcKA!G15&lt;&gt;""), SrcKA!G15,"")</f>
        <v>м</v>
      </c>
      <c r="G21" s="34">
        <f>IF((SrcKA!I15&lt;&gt;""), SrcKA!I15,"")</f>
        <v>55.12</v>
      </c>
      <c r="H21" s="34">
        <f>IF((SrcKA!H15&lt;&gt;""), SrcKA!H15,"")</f>
        <v>45.18</v>
      </c>
      <c r="I21" s="33" t="s">
        <v>1041</v>
      </c>
      <c r="J21" s="35"/>
      <c r="K21" s="35" t="str">
        <f>IF((SrcKA!AB15&lt;&gt;""), SrcKA!AB15,"")</f>
        <v/>
      </c>
      <c r="L21" s="34">
        <f>IF((SrcKA!AC15&lt;&gt;""), SrcKA!AC15,"")</f>
        <v>45.18</v>
      </c>
      <c r="M21" s="34">
        <f>IF((SrcKA!AA15&lt;&gt;""), SrcKA!AA15,"")</f>
        <v>0</v>
      </c>
      <c r="N21" s="34">
        <f>IF((SrcKA!J15&lt;&gt;""), SrcKA!J15,"")</f>
        <v>0</v>
      </c>
      <c r="O21" s="34">
        <f>IF((SrcKA!U15&lt;&gt;""), SrcKA!U15,"")</f>
        <v>0</v>
      </c>
      <c r="P21" s="34">
        <f>IF((SrcKA!V15&lt;&gt;""), SrcKA!V15,"")</f>
        <v>0</v>
      </c>
      <c r="Q21" s="32"/>
      <c r="R21" s="34"/>
      <c r="S21" s="34">
        <f>IF((SrcKA!AE15&lt;&gt;""), SrcKA!AE15,"")</f>
        <v>0</v>
      </c>
      <c r="T21" s="34">
        <f>IF((SrcKA!K15&lt;&gt;""), SrcKA!K15,"")</f>
        <v>45.18</v>
      </c>
      <c r="U21" s="32" t="str">
        <f>IF((SrcKA!O15&lt;&gt;""), SrcKA!O15,"")</f>
        <v>ООО "ГК ГАЗГАРАНТ"</v>
      </c>
      <c r="V21" s="32" t="str">
        <f>IF((SrcKA!Z15&lt;&gt;""), SrcKA!Z15,"")</f>
        <v>Россия</v>
      </c>
      <c r="W21" s="32" t="str">
        <f>IF((SrcKA!R15&lt;&gt;""), SrcKA!R15,"")</f>
        <v>645401001</v>
      </c>
      <c r="X21" s="32" t="str">
        <f>IF((SrcKA!Q15&lt;&gt;""), SrcKA!Q15,"")</f>
        <v>6454104668</v>
      </c>
      <c r="Y21" s="32" t="s">
        <v>1047</v>
      </c>
      <c r="Z21" s="32" t="str">
        <f>IF((SrcKA!P15&lt;&gt;""), SrcKA!P15,"")</f>
        <v>г.Саратов</v>
      </c>
      <c r="AA21" s="33">
        <f>IF((SrcKA!N15&lt;&gt;""), SrcKA!N15,"")</f>
        <v>2</v>
      </c>
      <c r="AB21" s="33" t="str">
        <f>IF((SrcKA!AV15&lt;&gt;""), SrcKA!AV15,"")</f>
        <v/>
      </c>
    </row>
    <row r="22" spans="1:28" ht="42.75" x14ac:dyDescent="0.2">
      <c r="A22" s="36" t="s">
        <v>834</v>
      </c>
      <c r="B22" s="37" t="str">
        <f>SrcKA!D16</f>
        <v>ТЦ_21.00.00.00_64_6453135060_30.09.2026_01_5.2</v>
      </c>
      <c r="C22" s="37" t="str">
        <f>IF((SrcKA!AI16&lt;&gt;""), SrcKA!AI16,"")</f>
        <v>Провод-спутник медно-стальной  П-274М</v>
      </c>
      <c r="D22" s="37" t="str">
        <f>IF((SrcKA!E16&lt;&gt;""), SrcKA!E16,"")</f>
        <v>Провод П-274М</v>
      </c>
      <c r="E22" s="38" t="str">
        <f>IF((SrcKA!AH16&lt;&gt;""), SrcKA!AH16,"")</f>
        <v>м</v>
      </c>
      <c r="F22" s="38" t="str">
        <f>IF((SrcKA!G16&lt;&gt;""), SrcKA!G16,"")</f>
        <v>м</v>
      </c>
      <c r="G22" s="39">
        <f>IF((SrcKA!I16&lt;&gt;""), SrcKA!I16,"")</f>
        <v>57.88</v>
      </c>
      <c r="H22" s="39">
        <f>IF((SrcKA!H16&lt;&gt;""), SrcKA!H16,"")</f>
        <v>47.44</v>
      </c>
      <c r="I22" s="38" t="s">
        <v>1041</v>
      </c>
      <c r="J22" s="40"/>
      <c r="K22" s="40" t="str">
        <f>IF((SrcKA!AB16&lt;&gt;""), SrcKA!AB16,"")</f>
        <v/>
      </c>
      <c r="L22" s="39">
        <f>IF((SrcKA!AC16&lt;&gt;""), SrcKA!AC16,"")</f>
        <v>47.44</v>
      </c>
      <c r="M22" s="39">
        <f>IF((SrcKA!AA16&lt;&gt;""), SrcKA!AA16,"")</f>
        <v>0</v>
      </c>
      <c r="N22" s="39">
        <f>IF((SrcKA!J16&lt;&gt;""), SrcKA!J16,"")</f>
        <v>0</v>
      </c>
      <c r="O22" s="39">
        <f>IF((SrcKA!U16&lt;&gt;""), SrcKA!U16,"")</f>
        <v>0</v>
      </c>
      <c r="P22" s="39">
        <f>IF((SrcKA!V16&lt;&gt;""), SrcKA!V16,"")</f>
        <v>0</v>
      </c>
      <c r="Q22" s="37"/>
      <c r="R22" s="39"/>
      <c r="S22" s="39">
        <f>IF((SrcKA!AE16&lt;&gt;""), SrcKA!AE16,"")</f>
        <v>0</v>
      </c>
      <c r="T22" s="39">
        <f>IF((SrcKA!K16&lt;&gt;""), SrcKA!K16,"")</f>
        <v>47.44</v>
      </c>
      <c r="U22" s="37" t="str">
        <f>IF((SrcKA!O16&lt;&gt;""), SrcKA!O16,"")</f>
        <v>ПТК "ГАЗГАРАНТ"</v>
      </c>
      <c r="V22" s="37" t="str">
        <f>IF((SrcKA!Z16&lt;&gt;""), SrcKA!Z16,"")</f>
        <v>Россия</v>
      </c>
      <c r="W22" s="37" t="str">
        <f>IF((SrcKA!R16&lt;&gt;""), SrcKA!R16,"")</f>
        <v>645401001</v>
      </c>
      <c r="X22" s="37" t="str">
        <f>IF((SrcKA!Q16&lt;&gt;""), SrcKA!Q16,"")</f>
        <v>6453135060</v>
      </c>
      <c r="Y22" s="37" t="s">
        <v>1048</v>
      </c>
      <c r="Z22" s="37" t="str">
        <f>IF((SrcKA!P16&lt;&gt;""), SrcKA!P16,"")</f>
        <v>г.Саратов</v>
      </c>
      <c r="AA22" s="38">
        <f>IF((SrcKA!N16&lt;&gt;""), SrcKA!N16,"")</f>
        <v>2</v>
      </c>
      <c r="AB22" s="38" t="str">
        <f>IF((SrcKA!AV16&lt;&gt;""), SrcKA!AV16,"")</f>
        <v/>
      </c>
    </row>
    <row r="23" spans="1:28" ht="42.75" x14ac:dyDescent="0.2">
      <c r="A23" s="36" t="s">
        <v>839</v>
      </c>
      <c r="B23" s="37" t="str">
        <f>SrcKA!D17</f>
        <v>ТЦ_21.00.00.00_64_6455068074_30.09.2026_01_5.3</v>
      </c>
      <c r="C23" s="37" t="str">
        <f>IF((SrcKA!AI17&lt;&gt;""), SrcKA!AI17,"")</f>
        <v>Провод-спутник медно-стальной  П-274М</v>
      </c>
      <c r="D23" s="37" t="str">
        <f>IF((SrcKA!E17&lt;&gt;""), SrcKA!E17,"")</f>
        <v>Провод П-274М</v>
      </c>
      <c r="E23" s="38" t="str">
        <f>IF((SrcKA!AH17&lt;&gt;""), SrcKA!AH17,"")</f>
        <v>м</v>
      </c>
      <c r="F23" s="38" t="str">
        <f>IF((SrcKA!G17&lt;&gt;""), SrcKA!G17,"")</f>
        <v>м</v>
      </c>
      <c r="G23" s="39">
        <f>IF((SrcKA!I17&lt;&gt;""), SrcKA!I17,"")</f>
        <v>59.62</v>
      </c>
      <c r="H23" s="39">
        <f>IF((SrcKA!H17&lt;&gt;""), SrcKA!H17,"")</f>
        <v>48.87</v>
      </c>
      <c r="I23" s="38" t="s">
        <v>1041</v>
      </c>
      <c r="J23" s="40"/>
      <c r="K23" s="40" t="str">
        <f>IF((SrcKA!AB17&lt;&gt;""), SrcKA!AB17,"")</f>
        <v/>
      </c>
      <c r="L23" s="39">
        <f>IF((SrcKA!AC17&lt;&gt;""), SrcKA!AC17,"")</f>
        <v>48.87</v>
      </c>
      <c r="M23" s="39">
        <f>IF((SrcKA!AA17&lt;&gt;""), SrcKA!AA17,"")</f>
        <v>0</v>
      </c>
      <c r="N23" s="39">
        <f>IF((SrcKA!J17&lt;&gt;""), SrcKA!J17,"")</f>
        <v>0</v>
      </c>
      <c r="O23" s="39">
        <f>IF((SrcKA!U17&lt;&gt;""), SrcKA!U17,"")</f>
        <v>0</v>
      </c>
      <c r="P23" s="39">
        <f>IF((SrcKA!V17&lt;&gt;""), SrcKA!V17,"")</f>
        <v>0</v>
      </c>
      <c r="Q23" s="37"/>
      <c r="R23" s="39"/>
      <c r="S23" s="39">
        <f>IF((SrcKA!AE17&lt;&gt;""), SrcKA!AE17,"")</f>
        <v>0</v>
      </c>
      <c r="T23" s="39">
        <f>IF((SrcKA!K17&lt;&gt;""), SrcKA!K17,"")</f>
        <v>48.87</v>
      </c>
      <c r="U23" s="37" t="str">
        <f>IF((SrcKA!O17&lt;&gt;""), SrcKA!O17,"")</f>
        <v>ООО "Континент-Газ"</v>
      </c>
      <c r="V23" s="37" t="str">
        <f>IF((SrcKA!Z17&lt;&gt;""), SrcKA!Z17,"")</f>
        <v>Россия</v>
      </c>
      <c r="W23" s="37" t="str">
        <f>IF((SrcKA!R17&lt;&gt;""), SrcKA!R17,"")</f>
        <v>645501001</v>
      </c>
      <c r="X23" s="37" t="str">
        <f>IF((SrcKA!Q17&lt;&gt;""), SrcKA!Q17,"")</f>
        <v>6455068074</v>
      </c>
      <c r="Y23" s="37" t="s">
        <v>1048</v>
      </c>
      <c r="Z23" s="37" t="str">
        <f>IF((SrcKA!P17&lt;&gt;""), SrcKA!P17,"")</f>
        <v>г.саратов</v>
      </c>
      <c r="AA23" s="38">
        <f>IF((SrcKA!N17&lt;&gt;""), SrcKA!N17,"")</f>
        <v>2</v>
      </c>
      <c r="AB23" s="38" t="str">
        <f>IF((SrcKA!AV17&lt;&gt;""), SrcKA!AV17,"")</f>
        <v/>
      </c>
    </row>
    <row r="26" spans="1:28" ht="14.25" customHeight="1" x14ac:dyDescent="0.2">
      <c r="A26" s="14"/>
      <c r="B26" s="14"/>
      <c r="C26" s="14"/>
      <c r="D26" s="41" t="s">
        <v>1006</v>
      </c>
      <c r="E26" s="18"/>
      <c r="F26" s="18"/>
      <c r="G26" s="18"/>
      <c r="H26" s="18"/>
      <c r="I26" s="18"/>
      <c r="J26" s="18"/>
      <c r="K26" s="18"/>
      <c r="L26" s="18"/>
      <c r="M26" s="18"/>
      <c r="N26" s="13"/>
      <c r="O26" s="14"/>
      <c r="P26" s="14"/>
      <c r="Q26" s="15"/>
      <c r="R26" s="15"/>
      <c r="S26" s="15"/>
      <c r="T26" s="15"/>
      <c r="U26" s="15"/>
      <c r="V26" s="14"/>
      <c r="W26" s="14"/>
      <c r="X26" s="14"/>
      <c r="Y26" s="14"/>
      <c r="Z26" s="14"/>
      <c r="AA26" s="14"/>
      <c r="AB26" s="14"/>
    </row>
    <row r="27" spans="1:28" ht="14.25" customHeight="1" x14ac:dyDescent="0.2">
      <c r="A27" s="14"/>
      <c r="B27" s="14"/>
      <c r="C27" s="14"/>
      <c r="D27" s="14"/>
      <c r="E27" s="153" t="s">
        <v>1007</v>
      </c>
      <c r="F27" s="153"/>
      <c r="G27" s="153"/>
      <c r="H27" s="153"/>
      <c r="I27" s="153"/>
      <c r="J27" s="153"/>
      <c r="K27" s="153"/>
      <c r="L27" s="153"/>
      <c r="M27" s="153"/>
      <c r="N27" s="19"/>
      <c r="O27" s="16"/>
      <c r="P27" s="16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ht="14.25" customHeight="1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3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ht="14.25" customHeight="1" x14ac:dyDescent="0.2">
      <c r="A29" s="14"/>
      <c r="B29" s="14"/>
      <c r="C29" s="42"/>
      <c r="D29" s="41" t="s">
        <v>1008</v>
      </c>
      <c r="E29" s="18"/>
      <c r="F29" s="18"/>
      <c r="G29" s="18"/>
      <c r="H29" s="18"/>
      <c r="I29" s="18"/>
      <c r="J29" s="18"/>
      <c r="K29" s="18"/>
      <c r="L29" s="18"/>
      <c r="M29" s="18"/>
      <c r="N29" s="13"/>
      <c r="O29" s="14"/>
      <c r="P29" s="14"/>
      <c r="Q29" s="15"/>
      <c r="R29" s="15"/>
      <c r="S29" s="15"/>
      <c r="T29" s="15"/>
      <c r="U29" s="15"/>
      <c r="V29" s="14"/>
      <c r="W29" s="14"/>
      <c r="X29" s="14"/>
      <c r="Y29" s="14"/>
      <c r="Z29" s="14"/>
      <c r="AA29" s="14"/>
      <c r="AB29" s="14"/>
    </row>
    <row r="30" spans="1:28" ht="14.25" customHeight="1" x14ac:dyDescent="0.2">
      <c r="A30" s="14"/>
      <c r="B30" s="14"/>
      <c r="C30" s="14"/>
      <c r="D30" s="14"/>
      <c r="E30" s="153" t="s">
        <v>1007</v>
      </c>
      <c r="F30" s="153"/>
      <c r="G30" s="153"/>
      <c r="H30" s="153"/>
      <c r="I30" s="153"/>
      <c r="J30" s="153"/>
      <c r="K30" s="153"/>
      <c r="L30" s="153"/>
      <c r="M30" s="153"/>
      <c r="N30" s="19"/>
      <c r="O30" s="16"/>
      <c r="P30" s="16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 ht="14.2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3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</sheetData>
  <mergeCells count="41">
    <mergeCell ref="E27:M27"/>
    <mergeCell ref="E30:M30"/>
    <mergeCell ref="Z12:Z18"/>
    <mergeCell ref="AA12:AA18"/>
    <mergeCell ref="AB12:AB18"/>
    <mergeCell ref="M16:M18"/>
    <mergeCell ref="N16:N18"/>
    <mergeCell ref="O16:O18"/>
    <mergeCell ref="P16:P18"/>
    <mergeCell ref="Q16:Q18"/>
    <mergeCell ref="R16:R18"/>
    <mergeCell ref="T12:T18"/>
    <mergeCell ref="U12:U18"/>
    <mergeCell ref="L12:L18"/>
    <mergeCell ref="M12:N15"/>
    <mergeCell ref="I12:I18"/>
    <mergeCell ref="V12:V18"/>
    <mergeCell ref="W12:W18"/>
    <mergeCell ref="X12:X18"/>
    <mergeCell ref="A20:AB20"/>
    <mergeCell ref="D12:D18"/>
    <mergeCell ref="E12:E18"/>
    <mergeCell ref="F12:F18"/>
    <mergeCell ref="G12:G18"/>
    <mergeCell ref="H12:H18"/>
    <mergeCell ref="Y12:Y18"/>
    <mergeCell ref="J12:J18"/>
    <mergeCell ref="K12:K18"/>
    <mergeCell ref="V9:AA9"/>
    <mergeCell ref="A2:AA2"/>
    <mergeCell ref="A4:AA4"/>
    <mergeCell ref="A5:AA5"/>
    <mergeCell ref="V7:AA7"/>
    <mergeCell ref="V8:AA8"/>
    <mergeCell ref="O12:P15"/>
    <mergeCell ref="Q12:S15"/>
    <mergeCell ref="S16:S18"/>
    <mergeCell ref="V10:AA10"/>
    <mergeCell ref="A12:A18"/>
    <mergeCell ref="B12:B18"/>
    <mergeCell ref="C12:C18"/>
  </mergeCells>
  <pageMargins left="0.4" right="0.2" top="0.2" bottom="0.4" header="0.2" footer="0.2"/>
  <pageSetup paperSize="9" scale="37" fitToHeight="0" orientation="landscape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39"/>
  <sheetViews>
    <sheetView workbookViewId="0">
      <selection activeCell="A335" sqref="A335:AX335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333</v>
      </c>
      <c r="C12" s="1">
        <v>0</v>
      </c>
      <c r="D12" s="1">
        <f>ROW(A268)</f>
        <v>268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845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B268</f>
        <v>333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</v>
      </c>
      <c r="G18" s="3" t="str">
        <f t="shared" si="0"/>
        <v>Газопровод низкого давления к нежилому помещению,расположенному по адресу: Пензенская область,г.Кузнецк,ул.Кирова,155А/1</v>
      </c>
      <c r="H18" s="3"/>
      <c r="I18" s="3"/>
      <c r="J18" s="3"/>
      <c r="K18" s="3"/>
      <c r="L18" s="3"/>
      <c r="M18" s="3"/>
      <c r="N18" s="3"/>
      <c r="O18" s="3">
        <f t="shared" ref="O18:AT18" si="1">O268</f>
        <v>210262.06</v>
      </c>
      <c r="P18" s="3">
        <f t="shared" si="1"/>
        <v>96642.05</v>
      </c>
      <c r="Q18" s="3">
        <f t="shared" si="1"/>
        <v>42984.01</v>
      </c>
      <c r="R18" s="3">
        <f t="shared" si="1"/>
        <v>14698.73</v>
      </c>
      <c r="S18" s="3">
        <f t="shared" si="1"/>
        <v>55937.27</v>
      </c>
      <c r="T18" s="3">
        <f t="shared" si="1"/>
        <v>0</v>
      </c>
      <c r="U18" s="3">
        <f t="shared" si="1"/>
        <v>150.46112500000001</v>
      </c>
      <c r="V18" s="3">
        <f t="shared" si="1"/>
        <v>30.978373600000005</v>
      </c>
      <c r="W18" s="3">
        <f t="shared" si="1"/>
        <v>0</v>
      </c>
      <c r="X18" s="3">
        <f t="shared" si="1"/>
        <v>76006.48</v>
      </c>
      <c r="Y18" s="3">
        <f t="shared" si="1"/>
        <v>42249.96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328518.5</v>
      </c>
      <c r="AS18" s="3">
        <f t="shared" si="1"/>
        <v>314279.77</v>
      </c>
      <c r="AT18" s="3">
        <f t="shared" si="1"/>
        <v>14238.73</v>
      </c>
      <c r="AU18" s="3">
        <f t="shared" ref="AU18:BZ18" si="2">AU268</f>
        <v>0</v>
      </c>
      <c r="AV18" s="3">
        <f t="shared" si="2"/>
        <v>96642.05</v>
      </c>
      <c r="AW18" s="3">
        <f t="shared" si="2"/>
        <v>96642.05</v>
      </c>
      <c r="AX18" s="3">
        <f t="shared" si="2"/>
        <v>0</v>
      </c>
      <c r="AY18" s="3">
        <f t="shared" si="2"/>
        <v>96642.05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CA268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DG268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EM268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FS268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ROW(A238)</f>
        <v>238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B238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 низкого давления</v>
      </c>
      <c r="H22" s="3"/>
      <c r="I22" s="3"/>
      <c r="J22" s="3"/>
      <c r="K22" s="3"/>
      <c r="L22" s="3"/>
      <c r="M22" s="3"/>
      <c r="N22" s="3"/>
      <c r="O22" s="3">
        <f t="shared" ref="O22:AT22" si="8">O238</f>
        <v>210262.06</v>
      </c>
      <c r="P22" s="3">
        <f t="shared" si="8"/>
        <v>96642.05</v>
      </c>
      <c r="Q22" s="3">
        <f t="shared" si="8"/>
        <v>42984.01</v>
      </c>
      <c r="R22" s="3">
        <f t="shared" si="8"/>
        <v>14698.73</v>
      </c>
      <c r="S22" s="3">
        <f t="shared" si="8"/>
        <v>55937.27</v>
      </c>
      <c r="T22" s="3">
        <f t="shared" si="8"/>
        <v>0</v>
      </c>
      <c r="U22" s="3">
        <f t="shared" si="8"/>
        <v>150.46112500000001</v>
      </c>
      <c r="V22" s="3">
        <f t="shared" si="8"/>
        <v>30.978373600000005</v>
      </c>
      <c r="W22" s="3">
        <f t="shared" si="8"/>
        <v>0</v>
      </c>
      <c r="X22" s="3">
        <f t="shared" si="8"/>
        <v>76006.48</v>
      </c>
      <c r="Y22" s="3">
        <f t="shared" si="8"/>
        <v>42249.96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328518.5</v>
      </c>
      <c r="AS22" s="3">
        <f t="shared" si="8"/>
        <v>314279.77</v>
      </c>
      <c r="AT22" s="3">
        <f t="shared" si="8"/>
        <v>14238.73</v>
      </c>
      <c r="AU22" s="3">
        <f t="shared" ref="AU22:BZ22" si="9">AU238</f>
        <v>0</v>
      </c>
      <c r="AV22" s="3">
        <f t="shared" si="9"/>
        <v>96642.05</v>
      </c>
      <c r="AW22" s="3">
        <f t="shared" si="9"/>
        <v>96642.05</v>
      </c>
      <c r="AX22" s="3">
        <f t="shared" si="9"/>
        <v>0</v>
      </c>
      <c r="AY22" s="3">
        <f t="shared" si="9"/>
        <v>96642.05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CA238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DG238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EM238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FS238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ROW(A35)</f>
        <v>35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0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B35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Земляные работы</v>
      </c>
      <c r="H26" s="3"/>
      <c r="I26" s="3"/>
      <c r="J26" s="3"/>
      <c r="K26" s="3"/>
      <c r="L26" s="3"/>
      <c r="M26" s="3"/>
      <c r="N26" s="3"/>
      <c r="O26" s="3">
        <f t="shared" ref="O26:AT26" si="15">O35</f>
        <v>43278.92</v>
      </c>
      <c r="P26" s="3">
        <f t="shared" si="15"/>
        <v>11064.31</v>
      </c>
      <c r="Q26" s="3">
        <f t="shared" si="15"/>
        <v>6314.84</v>
      </c>
      <c r="R26" s="3">
        <f t="shared" si="15"/>
        <v>2278.0700000000002</v>
      </c>
      <c r="S26" s="3">
        <f t="shared" si="15"/>
        <v>23621.7</v>
      </c>
      <c r="T26" s="3">
        <f t="shared" si="15"/>
        <v>0</v>
      </c>
      <c r="U26" s="3">
        <f t="shared" si="15"/>
        <v>72.006</v>
      </c>
      <c r="V26" s="3">
        <f t="shared" si="15"/>
        <v>4.4660599999999997</v>
      </c>
      <c r="W26" s="3">
        <f t="shared" si="15"/>
        <v>0</v>
      </c>
      <c r="X26" s="3">
        <f t="shared" si="15"/>
        <v>25168.01</v>
      </c>
      <c r="Y26" s="3">
        <f t="shared" si="15"/>
        <v>12977.47</v>
      </c>
      <c r="Z26" s="3">
        <f t="shared" si="15"/>
        <v>0</v>
      </c>
      <c r="AA26" s="3">
        <f t="shared" si="15"/>
        <v>0</v>
      </c>
      <c r="AB26" s="3">
        <f t="shared" si="15"/>
        <v>43278.92</v>
      </c>
      <c r="AC26" s="3">
        <f t="shared" si="15"/>
        <v>11064.31</v>
      </c>
      <c r="AD26" s="3">
        <f t="shared" si="15"/>
        <v>6314.84</v>
      </c>
      <c r="AE26" s="3">
        <f t="shared" si="15"/>
        <v>2278.0700000000002</v>
      </c>
      <c r="AF26" s="3">
        <f t="shared" si="15"/>
        <v>23621.7</v>
      </c>
      <c r="AG26" s="3">
        <f t="shared" si="15"/>
        <v>0</v>
      </c>
      <c r="AH26" s="3">
        <f t="shared" si="15"/>
        <v>72.006</v>
      </c>
      <c r="AI26" s="3">
        <f t="shared" si="15"/>
        <v>4.4660599999999997</v>
      </c>
      <c r="AJ26" s="3">
        <f t="shared" si="15"/>
        <v>0</v>
      </c>
      <c r="AK26" s="3">
        <f t="shared" si="15"/>
        <v>25168.01</v>
      </c>
      <c r="AL26" s="3">
        <f t="shared" si="15"/>
        <v>12977.47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81424.399999999994</v>
      </c>
      <c r="AS26" s="3">
        <f t="shared" si="15"/>
        <v>81424.399999999994</v>
      </c>
      <c r="AT26" s="3">
        <f t="shared" si="15"/>
        <v>0</v>
      </c>
      <c r="AU26" s="3">
        <f t="shared" ref="AU26:BZ26" si="16">AU35</f>
        <v>0</v>
      </c>
      <c r="AV26" s="3">
        <f t="shared" si="16"/>
        <v>11064.31</v>
      </c>
      <c r="AW26" s="3">
        <f t="shared" si="16"/>
        <v>11064.31</v>
      </c>
      <c r="AX26" s="3">
        <f t="shared" si="16"/>
        <v>0</v>
      </c>
      <c r="AY26" s="3">
        <f t="shared" si="16"/>
        <v>11064.31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CA35</f>
        <v>81424.399999999994</v>
      </c>
      <c r="CB26" s="3">
        <f t="shared" si="17"/>
        <v>81424.399999999994</v>
      </c>
      <c r="CC26" s="3">
        <f t="shared" si="17"/>
        <v>0</v>
      </c>
      <c r="CD26" s="3">
        <f t="shared" si="17"/>
        <v>0</v>
      </c>
      <c r="CE26" s="3">
        <f t="shared" si="17"/>
        <v>11064.31</v>
      </c>
      <c r="CF26" s="3">
        <f t="shared" si="17"/>
        <v>11064.31</v>
      </c>
      <c r="CG26" s="3">
        <f t="shared" si="17"/>
        <v>0</v>
      </c>
      <c r="CH26" s="3">
        <f t="shared" si="17"/>
        <v>11064.31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DG35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EM35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FS35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2">
        <v>17</v>
      </c>
      <c r="B28" s="2">
        <v>1</v>
      </c>
      <c r="C28" s="2">
        <f>ROW(SmtRes!A2)</f>
        <v>2</v>
      </c>
      <c r="D28" s="2">
        <f>ROW(EtalonRes!A2)</f>
        <v>2</v>
      </c>
      <c r="E28" s="2" t="s">
        <v>18</v>
      </c>
      <c r="F28" s="2" t="s">
        <v>19</v>
      </c>
      <c r="G28" s="2" t="s">
        <v>20</v>
      </c>
      <c r="H28" s="2" t="s">
        <v>21</v>
      </c>
      <c r="I28" s="2">
        <f>ROUND(113/1000,7)</f>
        <v>0.113</v>
      </c>
      <c r="J28" s="2">
        <v>0</v>
      </c>
      <c r="K28" s="2">
        <f>ROUND(113/1000,7)</f>
        <v>0.113</v>
      </c>
      <c r="L28" s="2"/>
      <c r="M28" s="2"/>
      <c r="N28" s="2"/>
      <c r="O28" s="2">
        <f t="shared" ref="O28:O33" si="21">ROUND(CP28,2)</f>
        <v>5679.78</v>
      </c>
      <c r="P28" s="2">
        <f>SUMIF(SmtRes!AQ1:'SmtRes'!AQ2,"=1",SmtRes!DF1:'SmtRes'!DF2)</f>
        <v>0</v>
      </c>
      <c r="Q28" s="2">
        <f>SUMIF(SmtRes!AQ1:'SmtRes'!AQ2,"=1",SmtRes!DG1:'SmtRes'!DG2)</f>
        <v>4130.57</v>
      </c>
      <c r="R28" s="2">
        <f>SUMIF(SmtRes!AQ1:'SmtRes'!AQ2,"=1",SmtRes!DH1:'SmtRes'!DH2)</f>
        <v>1549.21</v>
      </c>
      <c r="S28" s="2">
        <f>SUMIF(SmtRes!AQ1:'SmtRes'!AQ2,"=1",SmtRes!DI1:'SmtRes'!DI2)</f>
        <v>0</v>
      </c>
      <c r="T28" s="2">
        <f t="shared" ref="T28:T33" si="22">ROUND(CU28*I28,2)</f>
        <v>0</v>
      </c>
      <c r="U28" s="2">
        <f>SUMIF(SmtRes!AQ1:'SmtRes'!AQ2,"=1",SmtRes!CV1:'SmtRes'!CV2)</f>
        <v>0</v>
      </c>
      <c r="V28" s="2">
        <f>SUMIF(SmtRes!AQ1:'SmtRes'!AQ2,"=1",SmtRes!CW1:'SmtRes'!CW2)</f>
        <v>2.8815</v>
      </c>
      <c r="W28" s="2">
        <f t="shared" ref="W28:W33" si="23">ROUND(CX28*I28,2)</f>
        <v>0</v>
      </c>
      <c r="X28" s="2">
        <f t="shared" ref="X28:Y33" si="24">ROUND(CY28,2)</f>
        <v>1425.27</v>
      </c>
      <c r="Y28" s="2">
        <f t="shared" si="24"/>
        <v>712.64</v>
      </c>
      <c r="Z28" s="2"/>
      <c r="AA28" s="2">
        <v>74014550</v>
      </c>
      <c r="AB28" s="2">
        <f t="shared" ref="AB28:AB33" si="25">ROUND((AC28+AD28+AF28),6)</f>
        <v>26877.764999999999</v>
      </c>
      <c r="AC28" s="2">
        <f>ROUND((0),6)</f>
        <v>0</v>
      </c>
      <c r="AD28" s="2">
        <f>ROUND((((SUM(SmtRes!BR1:'SmtRes'!BR2))-(SUM(SmtRes!BS1:'SmtRes'!BS2)))+AE28),6)</f>
        <v>26877.764999999999</v>
      </c>
      <c r="AE28" s="2">
        <f>ROUND((SUM(SmtRes!BS1:'SmtRes'!BS2)),6)</f>
        <v>13709.82</v>
      </c>
      <c r="AF28" s="2">
        <f>ROUND((0),6)</f>
        <v>0</v>
      </c>
      <c r="AG28" s="2">
        <f t="shared" ref="AG28:AG33" si="26">ROUND((AP28),6)</f>
        <v>0</v>
      </c>
      <c r="AH28" s="2">
        <f>(0)</f>
        <v>0</v>
      </c>
      <c r="AI28" s="2">
        <f>(SUM(SmtRes!BV1:'SmtRes'!BV2))</f>
        <v>25.5</v>
      </c>
      <c r="AJ28" s="2">
        <f t="shared" ref="AJ28:AJ33" si="27">(AS28)</f>
        <v>0</v>
      </c>
      <c r="AK28" s="2">
        <v>40587.584999999999</v>
      </c>
      <c r="AL28" s="2">
        <v>0</v>
      </c>
      <c r="AM28" s="2">
        <v>26877.764999999999</v>
      </c>
      <c r="AN28" s="2">
        <v>13709.82</v>
      </c>
      <c r="AO28" s="2">
        <v>0</v>
      </c>
      <c r="AP28" s="2">
        <v>0</v>
      </c>
      <c r="AQ28" s="2">
        <v>0</v>
      </c>
      <c r="AR28" s="2">
        <v>25.5</v>
      </c>
      <c r="AS28" s="2">
        <v>0</v>
      </c>
      <c r="AT28" s="2">
        <v>92</v>
      </c>
      <c r="AU28" s="2">
        <v>46</v>
      </c>
      <c r="AV28" s="2">
        <v>1</v>
      </c>
      <c r="AW28" s="2">
        <v>1</v>
      </c>
      <c r="AX28" s="2"/>
      <c r="AY28" s="2"/>
      <c r="AZ28" s="2">
        <v>1</v>
      </c>
      <c r="BA28" s="2">
        <v>1</v>
      </c>
      <c r="BB28" s="2">
        <v>1</v>
      </c>
      <c r="BC28" s="2">
        <v>1</v>
      </c>
      <c r="BD28" s="2" t="s">
        <v>3</v>
      </c>
      <c r="BE28" s="2" t="s">
        <v>3</v>
      </c>
      <c r="BF28" s="2" t="s">
        <v>3</v>
      </c>
      <c r="BG28" s="2" t="s">
        <v>3</v>
      </c>
      <c r="BH28" s="2">
        <v>0</v>
      </c>
      <c r="BI28" s="2">
        <v>1</v>
      </c>
      <c r="BJ28" s="2" t="s">
        <v>22</v>
      </c>
      <c r="BK28" s="2"/>
      <c r="BL28" s="2"/>
      <c r="BM28" s="2">
        <v>1001</v>
      </c>
      <c r="BN28" s="2">
        <v>0</v>
      </c>
      <c r="BO28" s="2" t="s">
        <v>3</v>
      </c>
      <c r="BP28" s="2">
        <v>0</v>
      </c>
      <c r="BQ28" s="2">
        <v>2</v>
      </c>
      <c r="BR28" s="2">
        <v>0</v>
      </c>
      <c r="BS28" s="2">
        <v>1</v>
      </c>
      <c r="BT28" s="2">
        <v>1</v>
      </c>
      <c r="BU28" s="2">
        <v>1</v>
      </c>
      <c r="BV28" s="2">
        <v>1</v>
      </c>
      <c r="BW28" s="2">
        <v>1</v>
      </c>
      <c r="BX28" s="2">
        <v>1</v>
      </c>
      <c r="BY28" s="2" t="s">
        <v>3</v>
      </c>
      <c r="BZ28" s="2">
        <v>92</v>
      </c>
      <c r="CA28" s="2">
        <v>46</v>
      </c>
      <c r="CB28" s="2" t="s">
        <v>3</v>
      </c>
      <c r="CC28" s="2"/>
      <c r="CD28" s="2"/>
      <c r="CE28" s="2">
        <v>0</v>
      </c>
      <c r="CF28" s="2">
        <v>0</v>
      </c>
      <c r="CG28" s="2">
        <v>0</v>
      </c>
      <c r="CH28" s="2"/>
      <c r="CI28" s="2"/>
      <c r="CJ28" s="2"/>
      <c r="CK28" s="2"/>
      <c r="CL28" s="2"/>
      <c r="CM28" s="2">
        <v>0</v>
      </c>
      <c r="CN28" s="2" t="s">
        <v>3</v>
      </c>
      <c r="CO28" s="2">
        <v>0</v>
      </c>
      <c r="CP28" s="2">
        <f t="shared" ref="CP28:CP33" si="28">(P28+Q28+S28+R28)</f>
        <v>5679.78</v>
      </c>
      <c r="CQ28" s="2">
        <f>SUMIF(SmtRes!AQ1:'SmtRes'!AQ2,"=1",SmtRes!AA1:'SmtRes'!AA2)</f>
        <v>0</v>
      </c>
      <c r="CR28" s="2">
        <f>SUMIF(SmtRes!AQ1:'SmtRes'!AQ2,"=1",SmtRes!AB1:'SmtRes'!AB2)</f>
        <v>1433.48</v>
      </c>
      <c r="CS28" s="2">
        <f>SUMIF(SmtRes!AQ1:'SmtRes'!AQ2,"=1",SmtRes!AC1:'SmtRes'!AC2)</f>
        <v>537.64</v>
      </c>
      <c r="CT28" s="2">
        <f>SUMIF(SmtRes!AQ1:'SmtRes'!AQ2,"=1",SmtRes!AD1:'SmtRes'!AD2)</f>
        <v>0</v>
      </c>
      <c r="CU28" s="2">
        <f t="shared" ref="CU28:CU33" si="29">AG28</f>
        <v>0</v>
      </c>
      <c r="CV28" s="2">
        <f>SUMIF(SmtRes!AQ1:'SmtRes'!AQ2,"=1",SmtRes!BU1:'SmtRes'!BU2)</f>
        <v>0</v>
      </c>
      <c r="CW28" s="2">
        <f>SUMIF(SmtRes!AQ1:'SmtRes'!AQ2,"=1",SmtRes!BV1:'SmtRes'!BV2)</f>
        <v>25.5</v>
      </c>
      <c r="CX28" s="2">
        <f t="shared" ref="CX28:CX33" si="30">AJ28</f>
        <v>0</v>
      </c>
      <c r="CY28" s="2">
        <f>(((S28+R28)*AT28)/100)</f>
        <v>1425.2732000000001</v>
      </c>
      <c r="CZ28" s="2">
        <f>(((S28+R28)*AU28)/100)</f>
        <v>712.63660000000004</v>
      </c>
      <c r="DA28" s="2"/>
      <c r="DB28" s="2"/>
      <c r="DC28" s="2" t="s">
        <v>3</v>
      </c>
      <c r="DD28" s="2" t="s">
        <v>3</v>
      </c>
      <c r="DE28" s="2" t="s">
        <v>3</v>
      </c>
      <c r="DF28" s="2" t="s">
        <v>3</v>
      </c>
      <c r="DG28" s="2" t="s">
        <v>3</v>
      </c>
      <c r="DH28" s="2" t="s">
        <v>3</v>
      </c>
      <c r="DI28" s="2" t="s">
        <v>3</v>
      </c>
      <c r="DJ28" s="2" t="s">
        <v>3</v>
      </c>
      <c r="DK28" s="2" t="s">
        <v>3</v>
      </c>
      <c r="DL28" s="2" t="s">
        <v>3</v>
      </c>
      <c r="DM28" s="2" t="s">
        <v>3</v>
      </c>
      <c r="DN28" s="2">
        <v>0</v>
      </c>
      <c r="DO28" s="2">
        <v>0</v>
      </c>
      <c r="DP28" s="2">
        <v>1</v>
      </c>
      <c r="DQ28" s="2">
        <v>1</v>
      </c>
      <c r="DR28" s="2"/>
      <c r="DS28" s="2"/>
      <c r="DT28" s="2"/>
      <c r="DU28" s="2">
        <v>1007</v>
      </c>
      <c r="DV28" s="2" t="s">
        <v>21</v>
      </c>
      <c r="DW28" s="2" t="s">
        <v>21</v>
      </c>
      <c r="DX28" s="2">
        <v>1000</v>
      </c>
      <c r="DY28" s="2"/>
      <c r="DZ28" s="2" t="s">
        <v>3</v>
      </c>
      <c r="EA28" s="2" t="s">
        <v>3</v>
      </c>
      <c r="EB28" s="2" t="s">
        <v>3</v>
      </c>
      <c r="EC28" s="2" t="s">
        <v>3</v>
      </c>
      <c r="ED28" s="2"/>
      <c r="EE28" s="2">
        <v>72340571</v>
      </c>
      <c r="EF28" s="2">
        <v>2</v>
      </c>
      <c r="EG28" s="2" t="s">
        <v>23</v>
      </c>
      <c r="EH28" s="2">
        <v>1</v>
      </c>
      <c r="EI28" s="2" t="s">
        <v>17</v>
      </c>
      <c r="EJ28" s="2">
        <v>1</v>
      </c>
      <c r="EK28" s="2">
        <v>1001</v>
      </c>
      <c r="EL28" s="2" t="s">
        <v>24</v>
      </c>
      <c r="EM28" s="2" t="s">
        <v>25</v>
      </c>
      <c r="EN28" s="2"/>
      <c r="EO28" s="2" t="s">
        <v>3</v>
      </c>
      <c r="EP28" s="2"/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25.5</v>
      </c>
      <c r="EY28" s="2">
        <v>0</v>
      </c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>
        <v>0</v>
      </c>
      <c r="FR28" s="2">
        <v>0</v>
      </c>
      <c r="FS28" s="2">
        <v>0</v>
      </c>
      <c r="FT28" s="2"/>
      <c r="FU28" s="2"/>
      <c r="FV28" s="2"/>
      <c r="FW28" s="2"/>
      <c r="FX28" s="2">
        <v>92</v>
      </c>
      <c r="FY28" s="2">
        <v>46</v>
      </c>
      <c r="FZ28" s="2"/>
      <c r="GA28" s="2" t="s">
        <v>3</v>
      </c>
      <c r="GB28" s="2"/>
      <c r="GC28" s="2"/>
      <c r="GD28" s="2">
        <v>1</v>
      </c>
      <c r="GE28" s="2"/>
      <c r="GF28" s="2">
        <v>493304699</v>
      </c>
      <c r="GG28" s="2">
        <v>2</v>
      </c>
      <c r="GH28" s="2">
        <v>1</v>
      </c>
      <c r="GI28" s="2">
        <v>-2</v>
      </c>
      <c r="GJ28" s="2">
        <v>0</v>
      </c>
      <c r="GK28" s="2">
        <v>0</v>
      </c>
      <c r="GL28" s="2">
        <f t="shared" ref="GL28:GL33" si="31">ROUND(IF(AND(BH28=3,BI28=3,FS28&lt;&gt;0),P28,0),2)</f>
        <v>0</v>
      </c>
      <c r="GM28" s="2">
        <f t="shared" ref="GM28:GM33" si="32">ROUND(O28+X28+Y28,2)+GX28</f>
        <v>7817.69</v>
      </c>
      <c r="GN28" s="2">
        <f t="shared" ref="GN28:GN33" si="33">IF(OR(BI28=0,BI28=1),GM28-GX28,0)</f>
        <v>7817.69</v>
      </c>
      <c r="GO28" s="2">
        <f t="shared" ref="GO28:GO33" si="34">IF(BI28=2,GM28-GX28,0)</f>
        <v>0</v>
      </c>
      <c r="GP28" s="2">
        <f t="shared" ref="GP28:GP33" si="35">IF(BI28=4,GM28-GX28,0)</f>
        <v>0</v>
      </c>
      <c r="GQ28" s="2"/>
      <c r="GR28" s="2">
        <v>0</v>
      </c>
      <c r="GS28" s="2">
        <v>0</v>
      </c>
      <c r="GT28" s="2">
        <v>0</v>
      </c>
      <c r="GU28" s="2" t="s">
        <v>3</v>
      </c>
      <c r="GV28" s="2">
        <f t="shared" ref="GV28:GV33" si="36">ROUND((GT28),6)</f>
        <v>0</v>
      </c>
      <c r="GW28" s="2">
        <v>1</v>
      </c>
      <c r="GX28" s="2">
        <f t="shared" ref="GX28:GX33" si="37">ROUND(HC28*I28,2)</f>
        <v>0</v>
      </c>
      <c r="GY28" s="2"/>
      <c r="GZ28" s="2"/>
      <c r="HA28" s="2">
        <v>0</v>
      </c>
      <c r="HB28" s="2">
        <v>0</v>
      </c>
      <c r="HC28" s="2">
        <f t="shared" ref="HC28:HC33" si="38">GV28*GW28</f>
        <v>0</v>
      </c>
      <c r="HD28" s="2"/>
      <c r="HE28" s="2" t="s">
        <v>3</v>
      </c>
      <c r="HF28" s="2" t="s">
        <v>3</v>
      </c>
      <c r="HG28" s="2"/>
      <c r="HH28" s="2"/>
      <c r="HI28" s="2"/>
      <c r="HJ28" s="2"/>
      <c r="HK28" s="2"/>
      <c r="HL28" s="2"/>
      <c r="HM28" s="2" t="s">
        <v>3</v>
      </c>
      <c r="HN28" s="2" t="s">
        <v>26</v>
      </c>
      <c r="HO28" s="2" t="s">
        <v>27</v>
      </c>
      <c r="HP28" s="2" t="s">
        <v>24</v>
      </c>
      <c r="HQ28" s="2" t="s">
        <v>24</v>
      </c>
      <c r="HR28" s="2"/>
      <c r="HS28" s="2">
        <v>0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>
        <v>0</v>
      </c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">
      <c r="A29" s="2">
        <v>17</v>
      </c>
      <c r="B29" s="2">
        <v>1</v>
      </c>
      <c r="C29" s="2">
        <f>ROW(SmtRes!A3)</f>
        <v>3</v>
      </c>
      <c r="D29" s="2">
        <f>ROW(EtalonRes!A3)</f>
        <v>3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f>ROUND(27/100,7)</f>
        <v>0.27</v>
      </c>
      <c r="J29" s="2">
        <v>0</v>
      </c>
      <c r="K29" s="2">
        <f>ROUND(27/100,7)</f>
        <v>0.27</v>
      </c>
      <c r="L29" s="2"/>
      <c r="M29" s="2"/>
      <c r="N29" s="2"/>
      <c r="O29" s="2">
        <f t="shared" si="21"/>
        <v>13537.2</v>
      </c>
      <c r="P29" s="2">
        <f>SUMIF(SmtRes!AQ3:'SmtRes'!AQ3,"=1",SmtRes!DF3:'SmtRes'!DF3)</f>
        <v>0</v>
      </c>
      <c r="Q29" s="2">
        <f>SUMIF(SmtRes!AQ3:'SmtRes'!AQ3,"=1",SmtRes!DG3:'SmtRes'!DG3)</f>
        <v>0</v>
      </c>
      <c r="R29" s="2">
        <f>SUMIF(SmtRes!AQ3:'SmtRes'!AQ3,"=1",SmtRes!DH3:'SmtRes'!DH3)</f>
        <v>0</v>
      </c>
      <c r="S29" s="2">
        <f>SUMIF(SmtRes!AQ3:'SmtRes'!AQ3,"=1",SmtRes!DI3:'SmtRes'!DI3)</f>
        <v>13537.2</v>
      </c>
      <c r="T29" s="2">
        <f t="shared" si="22"/>
        <v>0</v>
      </c>
      <c r="U29" s="2">
        <f>SUMIF(SmtRes!AQ3:'SmtRes'!AQ3,"=1",SmtRes!CV3:'SmtRes'!CV3)</f>
        <v>41.58</v>
      </c>
      <c r="V29" s="2">
        <f>SUMIF(SmtRes!AQ3:'SmtRes'!AQ3,"=1",SmtRes!CW3:'SmtRes'!CW3)</f>
        <v>0</v>
      </c>
      <c r="W29" s="2">
        <f t="shared" si="23"/>
        <v>0</v>
      </c>
      <c r="X29" s="2">
        <f t="shared" si="24"/>
        <v>12048.11</v>
      </c>
      <c r="Y29" s="2">
        <f t="shared" si="24"/>
        <v>5414.88</v>
      </c>
      <c r="Z29" s="2"/>
      <c r="AA29" s="2">
        <v>74014550</v>
      </c>
      <c r="AB29" s="2">
        <f t="shared" si="25"/>
        <v>50137.78</v>
      </c>
      <c r="AC29" s="2">
        <f>ROUND((0),6)</f>
        <v>0</v>
      </c>
      <c r="AD29" s="2">
        <f>ROUND((((0)-(0))+AE29),6)</f>
        <v>0</v>
      </c>
      <c r="AE29" s="2">
        <f>ROUND((0),6)</f>
        <v>0</v>
      </c>
      <c r="AF29" s="2">
        <f>ROUND((SUM(SmtRes!BT3:'SmtRes'!BT3)),6)</f>
        <v>50137.78</v>
      </c>
      <c r="AG29" s="2">
        <f t="shared" si="26"/>
        <v>0</v>
      </c>
      <c r="AH29" s="2">
        <f>(SUM(SmtRes!BU3:'SmtRes'!BU3))</f>
        <v>154</v>
      </c>
      <c r="AI29" s="2">
        <f>(0)</f>
        <v>0</v>
      </c>
      <c r="AJ29" s="2">
        <f t="shared" si="27"/>
        <v>0</v>
      </c>
      <c r="AK29" s="2">
        <v>50137.78</v>
      </c>
      <c r="AL29" s="2">
        <v>0</v>
      </c>
      <c r="AM29" s="2">
        <v>0</v>
      </c>
      <c r="AN29" s="2">
        <v>0</v>
      </c>
      <c r="AO29" s="2">
        <v>50137.78</v>
      </c>
      <c r="AP29" s="2">
        <v>0</v>
      </c>
      <c r="AQ29" s="2">
        <v>154</v>
      </c>
      <c r="AR29" s="2">
        <v>0</v>
      </c>
      <c r="AS29" s="2">
        <v>0</v>
      </c>
      <c r="AT29" s="2">
        <v>89</v>
      </c>
      <c r="AU29" s="2">
        <v>40</v>
      </c>
      <c r="AV29" s="2">
        <v>1</v>
      </c>
      <c r="AW29" s="2">
        <v>1</v>
      </c>
      <c r="AX29" s="2"/>
      <c r="AY29" s="2"/>
      <c r="AZ29" s="2">
        <v>1</v>
      </c>
      <c r="BA29" s="2">
        <v>1</v>
      </c>
      <c r="BB29" s="2">
        <v>1</v>
      </c>
      <c r="BC29" s="2">
        <v>1</v>
      </c>
      <c r="BD29" s="2" t="s">
        <v>3</v>
      </c>
      <c r="BE29" s="2" t="s">
        <v>3</v>
      </c>
      <c r="BF29" s="2" t="s">
        <v>3</v>
      </c>
      <c r="BG29" s="2" t="s">
        <v>3</v>
      </c>
      <c r="BH29" s="2">
        <v>0</v>
      </c>
      <c r="BI29" s="2">
        <v>1</v>
      </c>
      <c r="BJ29" s="2" t="s">
        <v>32</v>
      </c>
      <c r="BK29" s="2"/>
      <c r="BL29" s="2"/>
      <c r="BM29" s="2">
        <v>1003</v>
      </c>
      <c r="BN29" s="2">
        <v>0</v>
      </c>
      <c r="BO29" s="2" t="s">
        <v>3</v>
      </c>
      <c r="BP29" s="2">
        <v>0</v>
      </c>
      <c r="BQ29" s="2">
        <v>2</v>
      </c>
      <c r="BR29" s="2">
        <v>0</v>
      </c>
      <c r="BS29" s="2">
        <v>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 t="s">
        <v>3</v>
      </c>
      <c r="BZ29" s="2">
        <v>89</v>
      </c>
      <c r="CA29" s="2">
        <v>40</v>
      </c>
      <c r="CB29" s="2" t="s">
        <v>3</v>
      </c>
      <c r="CC29" s="2"/>
      <c r="CD29" s="2"/>
      <c r="CE29" s="2">
        <v>0</v>
      </c>
      <c r="CF29" s="2">
        <v>0</v>
      </c>
      <c r="CG29" s="2">
        <v>0</v>
      </c>
      <c r="CH29" s="2"/>
      <c r="CI29" s="2"/>
      <c r="CJ29" s="2"/>
      <c r="CK29" s="2"/>
      <c r="CL29" s="2"/>
      <c r="CM29" s="2">
        <v>0</v>
      </c>
      <c r="CN29" s="2" t="s">
        <v>3</v>
      </c>
      <c r="CO29" s="2">
        <v>0</v>
      </c>
      <c r="CP29" s="2">
        <f t="shared" si="28"/>
        <v>13537.2</v>
      </c>
      <c r="CQ29" s="2">
        <f>SUMIF(SmtRes!AQ3:'SmtRes'!AQ3,"=1",SmtRes!AA3:'SmtRes'!AA3)</f>
        <v>0</v>
      </c>
      <c r="CR29" s="2">
        <f>SUMIF(SmtRes!AQ3:'SmtRes'!AQ3,"=1",SmtRes!AB3:'SmtRes'!AB3)</f>
        <v>0</v>
      </c>
      <c r="CS29" s="2">
        <f>SUMIF(SmtRes!AQ3:'SmtRes'!AQ3,"=1",SmtRes!AC3:'SmtRes'!AC3)</f>
        <v>0</v>
      </c>
      <c r="CT29" s="2">
        <f>SUMIF(SmtRes!AQ3:'SmtRes'!AQ3,"=1",SmtRes!AD3:'SmtRes'!AD3)</f>
        <v>325.57</v>
      </c>
      <c r="CU29" s="2">
        <f t="shared" si="29"/>
        <v>0</v>
      </c>
      <c r="CV29" s="2">
        <f>SUMIF(SmtRes!AQ3:'SmtRes'!AQ3,"=1",SmtRes!BU3:'SmtRes'!BU3)</f>
        <v>154</v>
      </c>
      <c r="CW29" s="2">
        <f>SUMIF(SmtRes!AQ3:'SmtRes'!AQ3,"=1",SmtRes!BV3:'SmtRes'!BV3)</f>
        <v>0</v>
      </c>
      <c r="CX29" s="2">
        <f t="shared" si="30"/>
        <v>0</v>
      </c>
      <c r="CY29" s="2">
        <f>(((S29+R29)*AT29)/100)</f>
        <v>12048.108</v>
      </c>
      <c r="CZ29" s="2">
        <f>(((S29+R29)*AU29)/100)</f>
        <v>5414.88</v>
      </c>
      <c r="DA29" s="2"/>
      <c r="DB29" s="2"/>
      <c r="DC29" s="2" t="s">
        <v>3</v>
      </c>
      <c r="DD29" s="2" t="s">
        <v>3</v>
      </c>
      <c r="DE29" s="2" t="s">
        <v>3</v>
      </c>
      <c r="DF29" s="2" t="s">
        <v>3</v>
      </c>
      <c r="DG29" s="2" t="s">
        <v>3</v>
      </c>
      <c r="DH29" s="2" t="s">
        <v>3</v>
      </c>
      <c r="DI29" s="2" t="s">
        <v>3</v>
      </c>
      <c r="DJ29" s="2" t="s">
        <v>3</v>
      </c>
      <c r="DK29" s="2" t="s">
        <v>3</v>
      </c>
      <c r="DL29" s="2" t="s">
        <v>3</v>
      </c>
      <c r="DM29" s="2" t="s">
        <v>3</v>
      </c>
      <c r="DN29" s="2">
        <v>0</v>
      </c>
      <c r="DO29" s="2">
        <v>0</v>
      </c>
      <c r="DP29" s="2">
        <v>1</v>
      </c>
      <c r="DQ29" s="2">
        <v>1</v>
      </c>
      <c r="DR29" s="2"/>
      <c r="DS29" s="2"/>
      <c r="DT29" s="2"/>
      <c r="DU29" s="2">
        <v>1007</v>
      </c>
      <c r="DV29" s="2" t="s">
        <v>31</v>
      </c>
      <c r="DW29" s="2" t="s">
        <v>31</v>
      </c>
      <c r="DX29" s="2">
        <v>100</v>
      </c>
      <c r="DY29" s="2"/>
      <c r="DZ29" s="2" t="s">
        <v>3</v>
      </c>
      <c r="EA29" s="2" t="s">
        <v>3</v>
      </c>
      <c r="EB29" s="2" t="s">
        <v>3</v>
      </c>
      <c r="EC29" s="2" t="s">
        <v>3</v>
      </c>
      <c r="ED29" s="2"/>
      <c r="EE29" s="2">
        <v>72340573</v>
      </c>
      <c r="EF29" s="2">
        <v>2</v>
      </c>
      <c r="EG29" s="2" t="s">
        <v>23</v>
      </c>
      <c r="EH29" s="2">
        <v>1</v>
      </c>
      <c r="EI29" s="2" t="s">
        <v>17</v>
      </c>
      <c r="EJ29" s="2">
        <v>1</v>
      </c>
      <c r="EK29" s="2">
        <v>1003</v>
      </c>
      <c r="EL29" s="2" t="s">
        <v>33</v>
      </c>
      <c r="EM29" s="2" t="s">
        <v>25</v>
      </c>
      <c r="EN29" s="2"/>
      <c r="EO29" s="2" t="s">
        <v>3</v>
      </c>
      <c r="EP29" s="2"/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154</v>
      </c>
      <c r="EX29" s="2">
        <v>0</v>
      </c>
      <c r="EY29" s="2">
        <v>0</v>
      </c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>
        <v>0</v>
      </c>
      <c r="FR29" s="2">
        <v>0</v>
      </c>
      <c r="FS29" s="2">
        <v>0</v>
      </c>
      <c r="FT29" s="2"/>
      <c r="FU29" s="2"/>
      <c r="FV29" s="2"/>
      <c r="FW29" s="2"/>
      <c r="FX29" s="2">
        <v>89</v>
      </c>
      <c r="FY29" s="2">
        <v>40</v>
      </c>
      <c r="FZ29" s="2"/>
      <c r="GA29" s="2" t="s">
        <v>3</v>
      </c>
      <c r="GB29" s="2"/>
      <c r="GC29" s="2"/>
      <c r="GD29" s="2">
        <v>1</v>
      </c>
      <c r="GE29" s="2"/>
      <c r="GF29" s="2">
        <v>1511680203</v>
      </c>
      <c r="GG29" s="2">
        <v>2</v>
      </c>
      <c r="GH29" s="2">
        <v>1</v>
      </c>
      <c r="GI29" s="2">
        <v>-2</v>
      </c>
      <c r="GJ29" s="2">
        <v>0</v>
      </c>
      <c r="GK29" s="2">
        <v>0</v>
      </c>
      <c r="GL29" s="2">
        <f t="shared" si="31"/>
        <v>0</v>
      </c>
      <c r="GM29" s="2">
        <f t="shared" si="32"/>
        <v>31000.19</v>
      </c>
      <c r="GN29" s="2">
        <f t="shared" si="33"/>
        <v>31000.19</v>
      </c>
      <c r="GO29" s="2">
        <f t="shared" si="34"/>
        <v>0</v>
      </c>
      <c r="GP29" s="2">
        <f t="shared" si="35"/>
        <v>0</v>
      </c>
      <c r="GQ29" s="2"/>
      <c r="GR29" s="2">
        <v>0</v>
      </c>
      <c r="GS29" s="2">
        <v>3</v>
      </c>
      <c r="GT29" s="2">
        <v>0</v>
      </c>
      <c r="GU29" s="2" t="s">
        <v>3</v>
      </c>
      <c r="GV29" s="2">
        <f t="shared" si="36"/>
        <v>0</v>
      </c>
      <c r="GW29" s="2">
        <v>1</v>
      </c>
      <c r="GX29" s="2">
        <f t="shared" si="37"/>
        <v>0</v>
      </c>
      <c r="GY29" s="2"/>
      <c r="GZ29" s="2"/>
      <c r="HA29" s="2">
        <v>0</v>
      </c>
      <c r="HB29" s="2">
        <v>0</v>
      </c>
      <c r="HC29" s="2">
        <f t="shared" si="38"/>
        <v>0</v>
      </c>
      <c r="HD29" s="2"/>
      <c r="HE29" s="2" t="s">
        <v>3</v>
      </c>
      <c r="HF29" s="2" t="s">
        <v>3</v>
      </c>
      <c r="HG29" s="2"/>
      <c r="HH29" s="2"/>
      <c r="HI29" s="2"/>
      <c r="HJ29" s="2"/>
      <c r="HK29" s="2"/>
      <c r="HL29" s="2"/>
      <c r="HM29" s="2" t="s">
        <v>3</v>
      </c>
      <c r="HN29" s="2" t="s">
        <v>34</v>
      </c>
      <c r="HO29" s="2" t="s">
        <v>35</v>
      </c>
      <c r="HP29" s="2" t="s">
        <v>33</v>
      </c>
      <c r="HQ29" s="2" t="s">
        <v>33</v>
      </c>
      <c r="HR29" s="2"/>
      <c r="HS29" s="2">
        <v>0</v>
      </c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>
        <v>0</v>
      </c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 x14ac:dyDescent="0.2">
      <c r="A30" s="2">
        <v>17</v>
      </c>
      <c r="B30" s="2">
        <v>1</v>
      </c>
      <c r="C30" s="2">
        <f>ROW(SmtRes!A6)</f>
        <v>6</v>
      </c>
      <c r="D30" s="2">
        <f>ROW(EtalonRes!A7)</f>
        <v>7</v>
      </c>
      <c r="E30" s="2" t="s">
        <v>36</v>
      </c>
      <c r="F30" s="2" t="s">
        <v>37</v>
      </c>
      <c r="G30" s="2" t="s">
        <v>38</v>
      </c>
      <c r="H30" s="2" t="s">
        <v>39</v>
      </c>
      <c r="I30" s="2">
        <f>ROUND(20.3/10,7)</f>
        <v>2.0299999999999998</v>
      </c>
      <c r="J30" s="2">
        <v>0</v>
      </c>
      <c r="K30" s="2">
        <f>ROUND(20.3/10,7)</f>
        <v>2.0299999999999998</v>
      </c>
      <c r="L30" s="2"/>
      <c r="M30" s="2"/>
      <c r="N30" s="2"/>
      <c r="O30" s="2">
        <f t="shared" si="21"/>
        <v>8441.91</v>
      </c>
      <c r="P30" s="2">
        <f>SUMIF(SmtRes!AQ4:'SmtRes'!AQ6,"=1",SmtRes!DF4:'SmtRes'!DF6)</f>
        <v>0</v>
      </c>
      <c r="Q30" s="2">
        <f>SUMIF(SmtRes!AQ4:'SmtRes'!AQ6,"=1",SmtRes!DG4:'SmtRes'!DG6)</f>
        <v>1092.51</v>
      </c>
      <c r="R30" s="2">
        <f>SUMIF(SmtRes!AQ4:'SmtRes'!AQ6,"=1",SmtRes!DH4:'SmtRes'!DH6)</f>
        <v>298.8</v>
      </c>
      <c r="S30" s="2">
        <f>SUMIF(SmtRes!AQ4:'SmtRes'!AQ6,"=1",SmtRes!DI4:'SmtRes'!DI6)</f>
        <v>7050.6</v>
      </c>
      <c r="T30" s="2">
        <f t="shared" si="22"/>
        <v>0</v>
      </c>
      <c r="U30" s="2">
        <f>SUMIF(SmtRes!AQ4:'SmtRes'!AQ6,"=1",SmtRes!CV4:'SmtRes'!CV6)</f>
        <v>20.706</v>
      </c>
      <c r="V30" s="2">
        <f>SUMIF(SmtRes!AQ4:'SmtRes'!AQ6,"=1",SmtRes!CW4:'SmtRes'!CW6)</f>
        <v>0.64959999999999996</v>
      </c>
      <c r="W30" s="2">
        <f t="shared" si="23"/>
        <v>0</v>
      </c>
      <c r="X30" s="2">
        <f t="shared" si="24"/>
        <v>8598.7999999999993</v>
      </c>
      <c r="Y30" s="2">
        <f t="shared" si="24"/>
        <v>5438.56</v>
      </c>
      <c r="Z30" s="2"/>
      <c r="AA30" s="2">
        <v>74014550</v>
      </c>
      <c r="AB30" s="2">
        <f t="shared" si="25"/>
        <v>4011.3843999999999</v>
      </c>
      <c r="AC30" s="2">
        <f>ROUND((0),6)</f>
        <v>0</v>
      </c>
      <c r="AD30" s="2">
        <f>ROUND((((SUM(SmtRes!BR4:'SmtRes'!BR6))-(SUM(SmtRes!BS4:'SmtRes'!BS6)))+AE30),6)</f>
        <v>538.18240000000003</v>
      </c>
      <c r="AE30" s="2">
        <f>ROUND((SUM(SmtRes!BS4:'SmtRes'!BS6)),6)</f>
        <v>147.1936</v>
      </c>
      <c r="AF30" s="2">
        <f>ROUND((SUM(SmtRes!BT4:'SmtRes'!BT6)),6)</f>
        <v>3473.2020000000002</v>
      </c>
      <c r="AG30" s="2">
        <f t="shared" si="26"/>
        <v>0</v>
      </c>
      <c r="AH30" s="2">
        <f>(SUM(SmtRes!BU4:'SmtRes'!BU6))</f>
        <v>10.199999999999999</v>
      </c>
      <c r="AI30" s="2">
        <f>(SUM(SmtRes!BV4:'SmtRes'!BV6))</f>
        <v>0.32</v>
      </c>
      <c r="AJ30" s="2">
        <f t="shared" si="27"/>
        <v>0</v>
      </c>
      <c r="AK30" s="2">
        <v>4158.5779999999995</v>
      </c>
      <c r="AL30" s="2">
        <v>0</v>
      </c>
      <c r="AM30" s="2">
        <v>538.18240000000003</v>
      </c>
      <c r="AN30" s="2">
        <v>147.1936</v>
      </c>
      <c r="AO30" s="2">
        <v>3473.2019999999998</v>
      </c>
      <c r="AP30" s="2">
        <v>0</v>
      </c>
      <c r="AQ30" s="2">
        <v>10.199999999999999</v>
      </c>
      <c r="AR30" s="2">
        <v>0.32</v>
      </c>
      <c r="AS30" s="2">
        <v>0</v>
      </c>
      <c r="AT30" s="2">
        <v>117</v>
      </c>
      <c r="AU30" s="2">
        <v>74</v>
      </c>
      <c r="AV30" s="2">
        <v>1</v>
      </c>
      <c r="AW30" s="2">
        <v>1</v>
      </c>
      <c r="AX30" s="2"/>
      <c r="AY30" s="2"/>
      <c r="AZ30" s="2">
        <v>1</v>
      </c>
      <c r="BA30" s="2">
        <v>1</v>
      </c>
      <c r="BB30" s="2">
        <v>1</v>
      </c>
      <c r="BC30" s="2">
        <v>1</v>
      </c>
      <c r="BD30" s="2" t="s">
        <v>3</v>
      </c>
      <c r="BE30" s="2" t="s">
        <v>3</v>
      </c>
      <c r="BF30" s="2" t="s">
        <v>3</v>
      </c>
      <c r="BG30" s="2" t="s">
        <v>3</v>
      </c>
      <c r="BH30" s="2">
        <v>0</v>
      </c>
      <c r="BI30" s="2">
        <v>1</v>
      </c>
      <c r="BJ30" s="2" t="s">
        <v>40</v>
      </c>
      <c r="BK30" s="2"/>
      <c r="BL30" s="2"/>
      <c r="BM30" s="2">
        <v>23001</v>
      </c>
      <c r="BN30" s="2">
        <v>0</v>
      </c>
      <c r="BO30" s="2" t="s">
        <v>3</v>
      </c>
      <c r="BP30" s="2">
        <v>0</v>
      </c>
      <c r="BQ30" s="2">
        <v>2</v>
      </c>
      <c r="BR30" s="2">
        <v>0</v>
      </c>
      <c r="BS30" s="2">
        <v>1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 t="s">
        <v>3</v>
      </c>
      <c r="BZ30" s="2">
        <v>117</v>
      </c>
      <c r="CA30" s="2">
        <v>74</v>
      </c>
      <c r="CB30" s="2" t="s">
        <v>3</v>
      </c>
      <c r="CC30" s="2"/>
      <c r="CD30" s="2"/>
      <c r="CE30" s="2">
        <v>0</v>
      </c>
      <c r="CF30" s="2">
        <v>0</v>
      </c>
      <c r="CG30" s="2">
        <v>0</v>
      </c>
      <c r="CH30" s="2"/>
      <c r="CI30" s="2"/>
      <c r="CJ30" s="2"/>
      <c r="CK30" s="2"/>
      <c r="CL30" s="2"/>
      <c r="CM30" s="2">
        <v>0</v>
      </c>
      <c r="CN30" s="2" t="s">
        <v>3</v>
      </c>
      <c r="CO30" s="2">
        <v>0</v>
      </c>
      <c r="CP30" s="2">
        <f t="shared" si="28"/>
        <v>8441.91</v>
      </c>
      <c r="CQ30" s="2">
        <f>SUMIF(SmtRes!AQ4:'SmtRes'!AQ6,"=1",SmtRes!AA4:'SmtRes'!AA6)</f>
        <v>0</v>
      </c>
      <c r="CR30" s="2">
        <f>SUMIF(SmtRes!AQ4:'SmtRes'!AQ6,"=1",SmtRes!AB4:'SmtRes'!AB6)</f>
        <v>1681.82</v>
      </c>
      <c r="CS30" s="2">
        <f>SUMIF(SmtRes!AQ4:'SmtRes'!AQ6,"=1",SmtRes!AC4:'SmtRes'!AC6)</f>
        <v>459.98</v>
      </c>
      <c r="CT30" s="2">
        <f>SUMIF(SmtRes!AQ4:'SmtRes'!AQ6,"=1",SmtRes!AD4:'SmtRes'!AD6)</f>
        <v>340.51</v>
      </c>
      <c r="CU30" s="2">
        <f t="shared" si="29"/>
        <v>0</v>
      </c>
      <c r="CV30" s="2">
        <f>SUMIF(SmtRes!AQ4:'SmtRes'!AQ6,"=1",SmtRes!BU4:'SmtRes'!BU6)</f>
        <v>10.199999999999999</v>
      </c>
      <c r="CW30" s="2">
        <f>SUMIF(SmtRes!AQ4:'SmtRes'!AQ6,"=1",SmtRes!BV4:'SmtRes'!BV6)</f>
        <v>0.32</v>
      </c>
      <c r="CX30" s="2">
        <f t="shared" si="30"/>
        <v>0</v>
      </c>
      <c r="CY30" s="2">
        <f>(((S30+R30)*AT30)/100)</f>
        <v>8598.7980000000007</v>
      </c>
      <c r="CZ30" s="2">
        <f>(((S30+R30)*AU30)/100)</f>
        <v>5438.5560000000005</v>
      </c>
      <c r="DA30" s="2"/>
      <c r="DB30" s="2"/>
      <c r="DC30" s="2" t="s">
        <v>3</v>
      </c>
      <c r="DD30" s="2" t="s">
        <v>3</v>
      </c>
      <c r="DE30" s="2" t="s">
        <v>3</v>
      </c>
      <c r="DF30" s="2" t="s">
        <v>3</v>
      </c>
      <c r="DG30" s="2" t="s">
        <v>3</v>
      </c>
      <c r="DH30" s="2" t="s">
        <v>3</v>
      </c>
      <c r="DI30" s="2" t="s">
        <v>3</v>
      </c>
      <c r="DJ30" s="2" t="s">
        <v>3</v>
      </c>
      <c r="DK30" s="2" t="s">
        <v>3</v>
      </c>
      <c r="DL30" s="2" t="s">
        <v>3</v>
      </c>
      <c r="DM30" s="2" t="s">
        <v>3</v>
      </c>
      <c r="DN30" s="2">
        <v>0</v>
      </c>
      <c r="DO30" s="2">
        <v>0</v>
      </c>
      <c r="DP30" s="2">
        <v>1</v>
      </c>
      <c r="DQ30" s="2">
        <v>1</v>
      </c>
      <c r="DR30" s="2"/>
      <c r="DS30" s="2"/>
      <c r="DT30" s="2"/>
      <c r="DU30" s="2">
        <v>1007</v>
      </c>
      <c r="DV30" s="2" t="s">
        <v>39</v>
      </c>
      <c r="DW30" s="2" t="s">
        <v>39</v>
      </c>
      <c r="DX30" s="2">
        <v>10</v>
      </c>
      <c r="DY30" s="2"/>
      <c r="DZ30" s="2" t="s">
        <v>3</v>
      </c>
      <c r="EA30" s="2" t="s">
        <v>3</v>
      </c>
      <c r="EB30" s="2" t="s">
        <v>3</v>
      </c>
      <c r="EC30" s="2" t="s">
        <v>3</v>
      </c>
      <c r="ED30" s="2"/>
      <c r="EE30" s="2">
        <v>72340631</v>
      </c>
      <c r="EF30" s="2">
        <v>2</v>
      </c>
      <c r="EG30" s="2" t="s">
        <v>23</v>
      </c>
      <c r="EH30" s="2">
        <v>18</v>
      </c>
      <c r="EI30" s="2" t="s">
        <v>41</v>
      </c>
      <c r="EJ30" s="2">
        <v>1</v>
      </c>
      <c r="EK30" s="2">
        <v>23001</v>
      </c>
      <c r="EL30" s="2" t="s">
        <v>41</v>
      </c>
      <c r="EM30" s="2" t="s">
        <v>42</v>
      </c>
      <c r="EN30" s="2"/>
      <c r="EO30" s="2" t="s">
        <v>3</v>
      </c>
      <c r="EP30" s="2"/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10.199999999999999</v>
      </c>
      <c r="EX30" s="2">
        <v>0.32</v>
      </c>
      <c r="EY30" s="2">
        <v>0</v>
      </c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>
        <v>0</v>
      </c>
      <c r="FR30" s="2">
        <v>0</v>
      </c>
      <c r="FS30" s="2">
        <v>0</v>
      </c>
      <c r="FT30" s="2"/>
      <c r="FU30" s="2"/>
      <c r="FV30" s="2"/>
      <c r="FW30" s="2"/>
      <c r="FX30" s="2">
        <v>117</v>
      </c>
      <c r="FY30" s="2">
        <v>74</v>
      </c>
      <c r="FZ30" s="2"/>
      <c r="GA30" s="2" t="s">
        <v>3</v>
      </c>
      <c r="GB30" s="2"/>
      <c r="GC30" s="2"/>
      <c r="GD30" s="2">
        <v>1</v>
      </c>
      <c r="GE30" s="2"/>
      <c r="GF30" s="2">
        <v>1295446289</v>
      </c>
      <c r="GG30" s="2">
        <v>2</v>
      </c>
      <c r="GH30" s="2">
        <v>1</v>
      </c>
      <c r="GI30" s="2">
        <v>-2</v>
      </c>
      <c r="GJ30" s="2">
        <v>0</v>
      </c>
      <c r="GK30" s="2">
        <v>0</v>
      </c>
      <c r="GL30" s="2">
        <f t="shared" si="31"/>
        <v>0</v>
      </c>
      <c r="GM30" s="2">
        <f t="shared" si="32"/>
        <v>22479.27</v>
      </c>
      <c r="GN30" s="2">
        <f t="shared" si="33"/>
        <v>22479.27</v>
      </c>
      <c r="GO30" s="2">
        <f t="shared" si="34"/>
        <v>0</v>
      </c>
      <c r="GP30" s="2">
        <f t="shared" si="35"/>
        <v>0</v>
      </c>
      <c r="GQ30" s="2"/>
      <c r="GR30" s="2">
        <v>0</v>
      </c>
      <c r="GS30" s="2">
        <v>3</v>
      </c>
      <c r="GT30" s="2">
        <v>0</v>
      </c>
      <c r="GU30" s="2" t="s">
        <v>3</v>
      </c>
      <c r="GV30" s="2">
        <f t="shared" si="36"/>
        <v>0</v>
      </c>
      <c r="GW30" s="2">
        <v>1</v>
      </c>
      <c r="GX30" s="2">
        <f t="shared" si="37"/>
        <v>0</v>
      </c>
      <c r="GY30" s="2"/>
      <c r="GZ30" s="2"/>
      <c r="HA30" s="2">
        <v>0</v>
      </c>
      <c r="HB30" s="2">
        <v>0</v>
      </c>
      <c r="HC30" s="2">
        <f t="shared" si="38"/>
        <v>0</v>
      </c>
      <c r="HD30" s="2"/>
      <c r="HE30" s="2" t="s">
        <v>3</v>
      </c>
      <c r="HF30" s="2" t="s">
        <v>3</v>
      </c>
      <c r="HG30" s="2"/>
      <c r="HH30" s="2"/>
      <c r="HI30" s="2"/>
      <c r="HJ30" s="2"/>
      <c r="HK30" s="2"/>
      <c r="HL30" s="2"/>
      <c r="HM30" s="2" t="s">
        <v>3</v>
      </c>
      <c r="HN30" s="2" t="s">
        <v>43</v>
      </c>
      <c r="HO30" s="2" t="s">
        <v>44</v>
      </c>
      <c r="HP30" s="2" t="s">
        <v>41</v>
      </c>
      <c r="HQ30" s="2" t="s">
        <v>41</v>
      </c>
      <c r="HR30" s="2"/>
      <c r="HS30" s="2">
        <v>0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>
        <v>0</v>
      </c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 x14ac:dyDescent="0.2">
      <c r="A31" s="2">
        <v>17</v>
      </c>
      <c r="B31" s="2">
        <v>1</v>
      </c>
      <c r="C31" s="2"/>
      <c r="D31" s="2"/>
      <c r="E31" s="2" t="s">
        <v>45</v>
      </c>
      <c r="F31" s="2" t="s">
        <v>46</v>
      </c>
      <c r="G31" s="2" t="s">
        <v>47</v>
      </c>
      <c r="H31" s="2" t="s">
        <v>48</v>
      </c>
      <c r="I31" s="2">
        <v>20.3</v>
      </c>
      <c r="J31" s="2">
        <v>0</v>
      </c>
      <c r="K31" s="2">
        <v>20.3</v>
      </c>
      <c r="L31" s="2"/>
      <c r="M31" s="2"/>
      <c r="N31" s="2"/>
      <c r="O31" s="2">
        <f t="shared" si="21"/>
        <v>11064.31</v>
      </c>
      <c r="P31" s="2">
        <f>ROUND(CQ31*I31,2)</f>
        <v>11064.31</v>
      </c>
      <c r="Q31" s="2">
        <f>ROUND(CR31*I31,2)</f>
        <v>0</v>
      </c>
      <c r="R31" s="2">
        <f>ROUND(CS31*I31,2)</f>
        <v>0</v>
      </c>
      <c r="S31" s="2">
        <f>ROUND(CT31*I31,2)</f>
        <v>0</v>
      </c>
      <c r="T31" s="2">
        <f t="shared" si="22"/>
        <v>0</v>
      </c>
      <c r="U31" s="2">
        <f>ROUND(CV31*I31,7)</f>
        <v>0</v>
      </c>
      <c r="V31" s="2">
        <f>ROUND(CW31*I31,7)</f>
        <v>0</v>
      </c>
      <c r="W31" s="2">
        <f t="shared" si="23"/>
        <v>0</v>
      </c>
      <c r="X31" s="2">
        <f t="shared" si="24"/>
        <v>0</v>
      </c>
      <c r="Y31" s="2">
        <f t="shared" si="24"/>
        <v>0</v>
      </c>
      <c r="Z31" s="2"/>
      <c r="AA31" s="2">
        <v>74014550</v>
      </c>
      <c r="AB31" s="2">
        <f t="shared" si="25"/>
        <v>514.19000000000005</v>
      </c>
      <c r="AC31" s="2">
        <f>ROUND((ES31),6)</f>
        <v>514.19000000000005</v>
      </c>
      <c r="AD31" s="2">
        <f>ROUND((((ET31)-(EU31))+AE31),6)</f>
        <v>0</v>
      </c>
      <c r="AE31" s="2">
        <f>ROUND((EU31),6)</f>
        <v>0</v>
      </c>
      <c r="AF31" s="2">
        <f>ROUND((EV31),6)</f>
        <v>0</v>
      </c>
      <c r="AG31" s="2">
        <f t="shared" si="26"/>
        <v>0</v>
      </c>
      <c r="AH31" s="2">
        <f>(EW31)</f>
        <v>0</v>
      </c>
      <c r="AI31" s="2">
        <f>(EX31)</f>
        <v>0</v>
      </c>
      <c r="AJ31" s="2">
        <f t="shared" si="27"/>
        <v>0</v>
      </c>
      <c r="AK31" s="2">
        <v>514.19000000000005</v>
      </c>
      <c r="AL31" s="2">
        <v>514.19000000000005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1</v>
      </c>
      <c r="AW31" s="2">
        <v>1</v>
      </c>
      <c r="AX31" s="2"/>
      <c r="AY31" s="2"/>
      <c r="AZ31" s="2">
        <v>1</v>
      </c>
      <c r="BA31" s="2">
        <v>1</v>
      </c>
      <c r="BB31" s="2">
        <v>1</v>
      </c>
      <c r="BC31" s="2">
        <v>1.06</v>
      </c>
      <c r="BD31" s="2" t="s">
        <v>3</v>
      </c>
      <c r="BE31" s="2" t="s">
        <v>3</v>
      </c>
      <c r="BF31" s="2" t="s">
        <v>3</v>
      </c>
      <c r="BG31" s="2" t="s">
        <v>3</v>
      </c>
      <c r="BH31" s="2">
        <v>3</v>
      </c>
      <c r="BI31" s="2">
        <v>1</v>
      </c>
      <c r="BJ31" s="2" t="s">
        <v>49</v>
      </c>
      <c r="BK31" s="2"/>
      <c r="BL31" s="2"/>
      <c r="BM31" s="2">
        <v>500001</v>
      </c>
      <c r="BN31" s="2">
        <v>0</v>
      </c>
      <c r="BO31" s="2" t="s">
        <v>46</v>
      </c>
      <c r="BP31" s="2">
        <v>1</v>
      </c>
      <c r="BQ31" s="2">
        <v>8</v>
      </c>
      <c r="BR31" s="2">
        <v>0</v>
      </c>
      <c r="BS31" s="2">
        <v>1</v>
      </c>
      <c r="BT31" s="2">
        <v>1</v>
      </c>
      <c r="BU31" s="2">
        <v>1</v>
      </c>
      <c r="BV31" s="2">
        <v>1</v>
      </c>
      <c r="BW31" s="2">
        <v>1</v>
      </c>
      <c r="BX31" s="2">
        <v>1</v>
      </c>
      <c r="BY31" s="2" t="s">
        <v>3</v>
      </c>
      <c r="BZ31" s="2">
        <v>0</v>
      </c>
      <c r="CA31" s="2">
        <v>0</v>
      </c>
      <c r="CB31" s="2" t="s">
        <v>3</v>
      </c>
      <c r="CC31" s="2"/>
      <c r="CD31" s="2"/>
      <c r="CE31" s="2">
        <v>0</v>
      </c>
      <c r="CF31" s="2">
        <v>0</v>
      </c>
      <c r="CG31" s="2">
        <v>0</v>
      </c>
      <c r="CH31" s="2"/>
      <c r="CI31" s="2"/>
      <c r="CJ31" s="2"/>
      <c r="CK31" s="2"/>
      <c r="CL31" s="2"/>
      <c r="CM31" s="2">
        <v>0</v>
      </c>
      <c r="CN31" s="2" t="s">
        <v>3</v>
      </c>
      <c r="CO31" s="2">
        <v>0</v>
      </c>
      <c r="CP31" s="2">
        <f t="shared" si="28"/>
        <v>11064.31</v>
      </c>
      <c r="CQ31" s="2">
        <f>ROUND(AL31*BC31,2)</f>
        <v>545.04</v>
      </c>
      <c r="CR31" s="2">
        <f>ROUND(AM31*BB31,2)</f>
        <v>0</v>
      </c>
      <c r="CS31" s="2">
        <f>ROUND(AN31*BS31,2)</f>
        <v>0</v>
      </c>
      <c r="CT31" s="2">
        <f>ROUND(AO31*BA31,2)</f>
        <v>0</v>
      </c>
      <c r="CU31" s="2">
        <f t="shared" si="29"/>
        <v>0</v>
      </c>
      <c r="CV31" s="2">
        <f>AH31</f>
        <v>0</v>
      </c>
      <c r="CW31" s="2">
        <f>AI31</f>
        <v>0</v>
      </c>
      <c r="CX31" s="2">
        <f t="shared" si="30"/>
        <v>0</v>
      </c>
      <c r="CY31" s="2">
        <f>0</f>
        <v>0</v>
      </c>
      <c r="CZ31" s="2">
        <f>0</f>
        <v>0</v>
      </c>
      <c r="DA31" s="2"/>
      <c r="DB31" s="2"/>
      <c r="DC31" s="2" t="s">
        <v>3</v>
      </c>
      <c r="DD31" s="2" t="s">
        <v>3</v>
      </c>
      <c r="DE31" s="2" t="s">
        <v>3</v>
      </c>
      <c r="DF31" s="2" t="s">
        <v>3</v>
      </c>
      <c r="DG31" s="2" t="s">
        <v>3</v>
      </c>
      <c r="DH31" s="2" t="s">
        <v>3</v>
      </c>
      <c r="DI31" s="2" t="s">
        <v>3</v>
      </c>
      <c r="DJ31" s="2" t="s">
        <v>3</v>
      </c>
      <c r="DK31" s="2" t="s">
        <v>3</v>
      </c>
      <c r="DL31" s="2" t="s">
        <v>3</v>
      </c>
      <c r="DM31" s="2" t="s">
        <v>3</v>
      </c>
      <c r="DN31" s="2">
        <v>0</v>
      </c>
      <c r="DO31" s="2">
        <v>0</v>
      </c>
      <c r="DP31" s="2">
        <v>1</v>
      </c>
      <c r="DQ31" s="2">
        <v>1</v>
      </c>
      <c r="DR31" s="2"/>
      <c r="DS31" s="2"/>
      <c r="DT31" s="2"/>
      <c r="DU31" s="2">
        <v>1007</v>
      </c>
      <c r="DV31" s="2" t="s">
        <v>48</v>
      </c>
      <c r="DW31" s="2" t="s">
        <v>48</v>
      </c>
      <c r="DX31" s="2">
        <v>1</v>
      </c>
      <c r="DY31" s="2"/>
      <c r="DZ31" s="2" t="s">
        <v>3</v>
      </c>
      <c r="EA31" s="2" t="s">
        <v>3</v>
      </c>
      <c r="EB31" s="2" t="s">
        <v>3</v>
      </c>
      <c r="EC31" s="2" t="s">
        <v>3</v>
      </c>
      <c r="ED31" s="2"/>
      <c r="EE31" s="2">
        <v>72340530</v>
      </c>
      <c r="EF31" s="2">
        <v>8</v>
      </c>
      <c r="EG31" s="2" t="s">
        <v>50</v>
      </c>
      <c r="EH31" s="2">
        <v>0</v>
      </c>
      <c r="EI31" s="2" t="s">
        <v>3</v>
      </c>
      <c r="EJ31" s="2">
        <v>1</v>
      </c>
      <c r="EK31" s="2">
        <v>500001</v>
      </c>
      <c r="EL31" s="2" t="s">
        <v>51</v>
      </c>
      <c r="EM31" s="2" t="s">
        <v>52</v>
      </c>
      <c r="EN31" s="2"/>
      <c r="EO31" s="2" t="s">
        <v>3</v>
      </c>
      <c r="EP31" s="2"/>
      <c r="EQ31" s="2">
        <v>0</v>
      </c>
      <c r="ER31" s="2">
        <v>514.19000000000005</v>
      </c>
      <c r="ES31" s="2">
        <v>514.19000000000005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>
        <v>0</v>
      </c>
      <c r="FR31" s="2">
        <v>0</v>
      </c>
      <c r="FS31" s="2">
        <v>0</v>
      </c>
      <c r="FT31" s="2"/>
      <c r="FU31" s="2"/>
      <c r="FV31" s="2"/>
      <c r="FW31" s="2"/>
      <c r="FX31" s="2">
        <v>0</v>
      </c>
      <c r="FY31" s="2">
        <v>0</v>
      </c>
      <c r="FZ31" s="2"/>
      <c r="GA31" s="2" t="s">
        <v>3</v>
      </c>
      <c r="GB31" s="2"/>
      <c r="GC31" s="2"/>
      <c r="GD31" s="2">
        <v>1</v>
      </c>
      <c r="GE31" s="2"/>
      <c r="GF31" s="2">
        <v>860101986</v>
      </c>
      <c r="GG31" s="2">
        <v>2</v>
      </c>
      <c r="GH31" s="2">
        <v>1</v>
      </c>
      <c r="GI31" s="2">
        <v>2</v>
      </c>
      <c r="GJ31" s="2">
        <v>0</v>
      </c>
      <c r="GK31" s="2">
        <v>0</v>
      </c>
      <c r="GL31" s="2">
        <f t="shared" si="31"/>
        <v>0</v>
      </c>
      <c r="GM31" s="2">
        <f t="shared" si="32"/>
        <v>11064.31</v>
      </c>
      <c r="GN31" s="2">
        <f t="shared" si="33"/>
        <v>11064.31</v>
      </c>
      <c r="GO31" s="2">
        <f t="shared" si="34"/>
        <v>0</v>
      </c>
      <c r="GP31" s="2">
        <f t="shared" si="35"/>
        <v>0</v>
      </c>
      <c r="GQ31" s="2"/>
      <c r="GR31" s="2">
        <v>0</v>
      </c>
      <c r="GS31" s="2">
        <v>3</v>
      </c>
      <c r="GT31" s="2">
        <v>0</v>
      </c>
      <c r="GU31" s="2" t="s">
        <v>3</v>
      </c>
      <c r="GV31" s="2">
        <f t="shared" si="36"/>
        <v>0</v>
      </c>
      <c r="GW31" s="2">
        <v>1</v>
      </c>
      <c r="GX31" s="2">
        <f t="shared" si="37"/>
        <v>0</v>
      </c>
      <c r="GY31" s="2"/>
      <c r="GZ31" s="2"/>
      <c r="HA31" s="2">
        <v>0</v>
      </c>
      <c r="HB31" s="2">
        <v>0</v>
      </c>
      <c r="HC31" s="2">
        <f t="shared" si="38"/>
        <v>0</v>
      </c>
      <c r="HD31" s="2"/>
      <c r="HE31" s="2" t="s">
        <v>3</v>
      </c>
      <c r="HF31" s="2" t="s">
        <v>3</v>
      </c>
      <c r="HG31" s="2"/>
      <c r="HH31" s="2"/>
      <c r="HI31" s="2"/>
      <c r="HJ31" s="2"/>
      <c r="HK31" s="2"/>
      <c r="HL31" s="2"/>
      <c r="HM31" s="2" t="s">
        <v>3</v>
      </c>
      <c r="HN31" s="2" t="s">
        <v>3</v>
      </c>
      <c r="HO31" s="2" t="s">
        <v>3</v>
      </c>
      <c r="HP31" s="2" t="s">
        <v>3</v>
      </c>
      <c r="HQ31" s="2" t="s">
        <v>3</v>
      </c>
      <c r="HR31" s="2"/>
      <c r="HS31" s="2">
        <v>0</v>
      </c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>
        <v>0</v>
      </c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 x14ac:dyDescent="0.2">
      <c r="A32" s="2">
        <v>17</v>
      </c>
      <c r="B32" s="2">
        <v>1</v>
      </c>
      <c r="C32" s="2">
        <f>ROW(SmtRes!A8)</f>
        <v>8</v>
      </c>
      <c r="D32" s="2">
        <f>ROW(EtalonRes!A9)</f>
        <v>9</v>
      </c>
      <c r="E32" s="2" t="s">
        <v>53</v>
      </c>
      <c r="F32" s="2" t="s">
        <v>54</v>
      </c>
      <c r="G32" s="2" t="s">
        <v>55</v>
      </c>
      <c r="H32" s="2" t="s">
        <v>21</v>
      </c>
      <c r="I32" s="2">
        <f>ROUND(116/1000,7)</f>
        <v>0.11600000000000001</v>
      </c>
      <c r="J32" s="2">
        <v>0</v>
      </c>
      <c r="K32" s="2">
        <f>ROUND(116/1000,7)</f>
        <v>0.11600000000000001</v>
      </c>
      <c r="L32" s="2"/>
      <c r="M32" s="2"/>
      <c r="N32" s="2"/>
      <c r="O32" s="2">
        <f t="shared" si="21"/>
        <v>1521.82</v>
      </c>
      <c r="P32" s="2">
        <f>SUMIF(SmtRes!AQ7:'SmtRes'!AQ8,"=1",SmtRes!DF7:'SmtRes'!DF8)</f>
        <v>0</v>
      </c>
      <c r="Q32" s="2">
        <f>SUMIF(SmtRes!AQ7:'SmtRes'!AQ8,"=1",SmtRes!DG7:'SmtRes'!DG8)</f>
        <v>1091.76</v>
      </c>
      <c r="R32" s="2">
        <f>SUMIF(SmtRes!AQ7:'SmtRes'!AQ8,"=1",SmtRes!DH7:'SmtRes'!DH8)</f>
        <v>430.06</v>
      </c>
      <c r="S32" s="2">
        <f>SUMIF(SmtRes!AQ7:'SmtRes'!AQ8,"=1",SmtRes!DI7:'SmtRes'!DI8)</f>
        <v>0</v>
      </c>
      <c r="T32" s="2">
        <f t="shared" si="22"/>
        <v>0</v>
      </c>
      <c r="U32" s="2">
        <f>SUMIF(SmtRes!AQ7:'SmtRes'!AQ8,"=1",SmtRes!CV7:'SmtRes'!CV8)</f>
        <v>0</v>
      </c>
      <c r="V32" s="2">
        <f>SUMIF(SmtRes!AQ7:'SmtRes'!AQ8,"=1",SmtRes!CW7:'SmtRes'!CW8)</f>
        <v>0.93496000000000001</v>
      </c>
      <c r="W32" s="2">
        <f t="shared" si="23"/>
        <v>0</v>
      </c>
      <c r="X32" s="2">
        <f t="shared" si="24"/>
        <v>395.66</v>
      </c>
      <c r="Y32" s="2">
        <f t="shared" si="24"/>
        <v>197.83</v>
      </c>
      <c r="Z32" s="2"/>
      <c r="AA32" s="2">
        <v>74014550</v>
      </c>
      <c r="AB32" s="2">
        <f t="shared" si="25"/>
        <v>6674.9696000000004</v>
      </c>
      <c r="AC32" s="2">
        <f>ROUND((0),6)</f>
        <v>0</v>
      </c>
      <c r="AD32" s="2">
        <f>ROUND((((SUM(SmtRes!BR7:'SmtRes'!BR8))-(SUM(SmtRes!BS7:'SmtRes'!BS8)))+AE32),6)</f>
        <v>6674.9696000000004</v>
      </c>
      <c r="AE32" s="2">
        <f>ROUND((SUM(SmtRes!BS7:'SmtRes'!BS8)),6)</f>
        <v>3707.4387999999999</v>
      </c>
      <c r="AF32" s="2">
        <f>ROUND((0),6)</f>
        <v>0</v>
      </c>
      <c r="AG32" s="2">
        <f t="shared" si="26"/>
        <v>0</v>
      </c>
      <c r="AH32" s="2">
        <f>(0)</f>
        <v>0</v>
      </c>
      <c r="AI32" s="2">
        <f>(SUM(SmtRes!BV7:'SmtRes'!BV8))</f>
        <v>8.06</v>
      </c>
      <c r="AJ32" s="2">
        <f t="shared" si="27"/>
        <v>0</v>
      </c>
      <c r="AK32" s="2">
        <v>10382.4084</v>
      </c>
      <c r="AL32" s="2">
        <v>0</v>
      </c>
      <c r="AM32" s="2">
        <v>6674.9696000000004</v>
      </c>
      <c r="AN32" s="2">
        <v>3707.4388000000004</v>
      </c>
      <c r="AO32" s="2">
        <v>0</v>
      </c>
      <c r="AP32" s="2">
        <v>0</v>
      </c>
      <c r="AQ32" s="2">
        <v>0</v>
      </c>
      <c r="AR32" s="2">
        <v>8.06</v>
      </c>
      <c r="AS32" s="2">
        <v>0</v>
      </c>
      <c r="AT32" s="2">
        <v>92</v>
      </c>
      <c r="AU32" s="2">
        <v>46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56</v>
      </c>
      <c r="BK32" s="2"/>
      <c r="BL32" s="2"/>
      <c r="BM32" s="2">
        <v>1001</v>
      </c>
      <c r="BN32" s="2">
        <v>0</v>
      </c>
      <c r="BO32" s="2" t="s">
        <v>3</v>
      </c>
      <c r="BP32" s="2">
        <v>0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92</v>
      </c>
      <c r="CA32" s="2">
        <v>46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si="28"/>
        <v>1521.82</v>
      </c>
      <c r="CQ32" s="2">
        <f>SUMIF(SmtRes!AQ7:'SmtRes'!AQ8,"=1",SmtRes!AA7:'SmtRes'!AA8)</f>
        <v>0</v>
      </c>
      <c r="CR32" s="2">
        <f>SUMIF(SmtRes!AQ7:'SmtRes'!AQ8,"=1",SmtRes!AB7:'SmtRes'!AB8)</f>
        <v>1167.71</v>
      </c>
      <c r="CS32" s="2">
        <f>SUMIF(SmtRes!AQ7:'SmtRes'!AQ8,"=1",SmtRes!AC7:'SmtRes'!AC8)</f>
        <v>459.98</v>
      </c>
      <c r="CT32" s="2">
        <f>SUMIF(SmtRes!AQ7:'SmtRes'!AQ8,"=1",SmtRes!AD7:'SmtRes'!AD8)</f>
        <v>0</v>
      </c>
      <c r="CU32" s="2">
        <f t="shared" si="29"/>
        <v>0</v>
      </c>
      <c r="CV32" s="2">
        <f>SUMIF(SmtRes!AQ7:'SmtRes'!AQ8,"=1",SmtRes!BU7:'SmtRes'!BU8)</f>
        <v>0</v>
      </c>
      <c r="CW32" s="2">
        <f>SUMIF(SmtRes!AQ7:'SmtRes'!AQ8,"=1",SmtRes!BV7:'SmtRes'!BV8)</f>
        <v>8.06</v>
      </c>
      <c r="CX32" s="2">
        <f t="shared" si="30"/>
        <v>0</v>
      </c>
      <c r="CY32" s="2">
        <f>(((S32+R32)*AT32)/100)</f>
        <v>395.65519999999998</v>
      </c>
      <c r="CZ32" s="2">
        <f>(((S32+R32)*AU32)/100)</f>
        <v>197.82759999999999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21</v>
      </c>
      <c r="DW32" s="2" t="s">
        <v>21</v>
      </c>
      <c r="DX32" s="2">
        <v>1000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72340571</v>
      </c>
      <c r="EF32" s="2">
        <v>2</v>
      </c>
      <c r="EG32" s="2" t="s">
        <v>23</v>
      </c>
      <c r="EH32" s="2">
        <v>1</v>
      </c>
      <c r="EI32" s="2" t="s">
        <v>17</v>
      </c>
      <c r="EJ32" s="2">
        <v>1</v>
      </c>
      <c r="EK32" s="2">
        <v>1001</v>
      </c>
      <c r="EL32" s="2" t="s">
        <v>24</v>
      </c>
      <c r="EM32" s="2" t="s">
        <v>25</v>
      </c>
      <c r="EN32" s="2"/>
      <c r="EO32" s="2" t="s">
        <v>3</v>
      </c>
      <c r="EP32" s="2"/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8.06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92</v>
      </c>
      <c r="FY32" s="2">
        <v>46</v>
      </c>
      <c r="FZ32" s="2"/>
      <c r="GA32" s="2" t="s">
        <v>3</v>
      </c>
      <c r="GB32" s="2"/>
      <c r="GC32" s="2"/>
      <c r="GD32" s="2">
        <v>1</v>
      </c>
      <c r="GE32" s="2"/>
      <c r="GF32" s="2">
        <v>1607513880</v>
      </c>
      <c r="GG32" s="2">
        <v>2</v>
      </c>
      <c r="GH32" s="2">
        <v>1</v>
      </c>
      <c r="GI32" s="2">
        <v>-2</v>
      </c>
      <c r="GJ32" s="2">
        <v>0</v>
      </c>
      <c r="GK32" s="2">
        <v>0</v>
      </c>
      <c r="GL32" s="2">
        <f t="shared" si="31"/>
        <v>0</v>
      </c>
      <c r="GM32" s="2">
        <f t="shared" si="32"/>
        <v>2115.31</v>
      </c>
      <c r="GN32" s="2">
        <f t="shared" si="33"/>
        <v>2115.31</v>
      </c>
      <c r="GO32" s="2">
        <f t="shared" si="34"/>
        <v>0</v>
      </c>
      <c r="GP32" s="2">
        <f t="shared" si="35"/>
        <v>0</v>
      </c>
      <c r="GQ32" s="2"/>
      <c r="GR32" s="2">
        <v>0</v>
      </c>
      <c r="GS32" s="2">
        <v>0</v>
      </c>
      <c r="GT32" s="2">
        <v>0</v>
      </c>
      <c r="GU32" s="2" t="s">
        <v>3</v>
      </c>
      <c r="GV32" s="2">
        <f t="shared" si="36"/>
        <v>0</v>
      </c>
      <c r="GW32" s="2">
        <v>1</v>
      </c>
      <c r="GX32" s="2">
        <f t="shared" si="37"/>
        <v>0</v>
      </c>
      <c r="GY32" s="2"/>
      <c r="GZ32" s="2"/>
      <c r="HA32" s="2">
        <v>0</v>
      </c>
      <c r="HB32" s="2">
        <v>0</v>
      </c>
      <c r="HC32" s="2">
        <f t="shared" si="38"/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26</v>
      </c>
      <c r="HO32" s="2" t="s">
        <v>27</v>
      </c>
      <c r="HP32" s="2" t="s">
        <v>24</v>
      </c>
      <c r="HQ32" s="2" t="s">
        <v>24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ROW(SmtRes!A9)</f>
        <v>9</v>
      </c>
      <c r="D33" s="2">
        <f>ROW(EtalonRes!A10)</f>
        <v>10</v>
      </c>
      <c r="E33" s="2" t="s">
        <v>57</v>
      </c>
      <c r="F33" s="2" t="s">
        <v>58</v>
      </c>
      <c r="G33" s="2" t="s">
        <v>59</v>
      </c>
      <c r="H33" s="2" t="s">
        <v>31</v>
      </c>
      <c r="I33" s="2">
        <f>ROUND(10/100,7)</f>
        <v>0.1</v>
      </c>
      <c r="J33" s="2">
        <v>0</v>
      </c>
      <c r="K33" s="2">
        <f>ROUND(10/100,7)</f>
        <v>0.1</v>
      </c>
      <c r="L33" s="2"/>
      <c r="M33" s="2"/>
      <c r="N33" s="2"/>
      <c r="O33" s="2">
        <f t="shared" si="21"/>
        <v>3033.9</v>
      </c>
      <c r="P33" s="2">
        <f>SUMIF(SmtRes!AQ9:'SmtRes'!AQ9,"=1",SmtRes!DF9:'SmtRes'!DF9)</f>
        <v>0</v>
      </c>
      <c r="Q33" s="2">
        <f>SUMIF(SmtRes!AQ9:'SmtRes'!AQ9,"=1",SmtRes!DG9:'SmtRes'!DG9)</f>
        <v>0</v>
      </c>
      <c r="R33" s="2">
        <f>SUMIF(SmtRes!AQ9:'SmtRes'!AQ9,"=1",SmtRes!DH9:'SmtRes'!DH9)</f>
        <v>0</v>
      </c>
      <c r="S33" s="2">
        <f>SUMIF(SmtRes!AQ9:'SmtRes'!AQ9,"=1",SmtRes!DI9:'SmtRes'!DI9)</f>
        <v>3033.9</v>
      </c>
      <c r="T33" s="2">
        <f t="shared" si="22"/>
        <v>0</v>
      </c>
      <c r="U33" s="2">
        <f>SUMIF(SmtRes!AQ9:'SmtRes'!AQ9,"=1",SmtRes!CV9:'SmtRes'!CV9)</f>
        <v>9.7200000000000006</v>
      </c>
      <c r="V33" s="2">
        <f>SUMIF(SmtRes!AQ9:'SmtRes'!AQ9,"=1",SmtRes!CW9:'SmtRes'!CW9)</f>
        <v>0</v>
      </c>
      <c r="W33" s="2">
        <f t="shared" si="23"/>
        <v>0</v>
      </c>
      <c r="X33" s="2">
        <f t="shared" si="24"/>
        <v>2700.17</v>
      </c>
      <c r="Y33" s="2">
        <f t="shared" si="24"/>
        <v>1213.56</v>
      </c>
      <c r="Z33" s="2"/>
      <c r="AA33" s="2">
        <v>74014550</v>
      </c>
      <c r="AB33" s="2">
        <f t="shared" si="25"/>
        <v>30339.036</v>
      </c>
      <c r="AC33" s="2">
        <f>ROUND((0),6)</f>
        <v>0</v>
      </c>
      <c r="AD33" s="2">
        <f>ROUND((((0)-(0))+AE33),6)</f>
        <v>0</v>
      </c>
      <c r="AE33" s="2">
        <f>ROUND((0),6)</f>
        <v>0</v>
      </c>
      <c r="AF33" s="2">
        <f>ROUND((SUM(SmtRes!BT9:'SmtRes'!BT9)),6)</f>
        <v>30339.036</v>
      </c>
      <c r="AG33" s="2">
        <f t="shared" si="26"/>
        <v>0</v>
      </c>
      <c r="AH33" s="2">
        <f>(SUM(SmtRes!BU9:'SmtRes'!BU9))</f>
        <v>97.2</v>
      </c>
      <c r="AI33" s="2">
        <f>(0)</f>
        <v>0</v>
      </c>
      <c r="AJ33" s="2">
        <f t="shared" si="27"/>
        <v>0</v>
      </c>
      <c r="AK33" s="2">
        <v>30339.036</v>
      </c>
      <c r="AL33" s="2">
        <v>0</v>
      </c>
      <c r="AM33" s="2">
        <v>0</v>
      </c>
      <c r="AN33" s="2">
        <v>0</v>
      </c>
      <c r="AO33" s="2">
        <v>30339.036</v>
      </c>
      <c r="AP33" s="2">
        <v>0</v>
      </c>
      <c r="AQ33" s="2">
        <v>97.2</v>
      </c>
      <c r="AR33" s="2">
        <v>0</v>
      </c>
      <c r="AS33" s="2">
        <v>0</v>
      </c>
      <c r="AT33" s="2">
        <v>89</v>
      </c>
      <c r="AU33" s="2">
        <v>40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60</v>
      </c>
      <c r="BK33" s="2"/>
      <c r="BL33" s="2"/>
      <c r="BM33" s="2">
        <v>1003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89</v>
      </c>
      <c r="CA33" s="2">
        <v>40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 t="shared" si="28"/>
        <v>3033.9</v>
      </c>
      <c r="CQ33" s="2">
        <f>SUMIF(SmtRes!AQ9:'SmtRes'!AQ9,"=1",SmtRes!AA9:'SmtRes'!AA9)</f>
        <v>0</v>
      </c>
      <c r="CR33" s="2">
        <f>SUMIF(SmtRes!AQ9:'SmtRes'!AQ9,"=1",SmtRes!AB9:'SmtRes'!AB9)</f>
        <v>0</v>
      </c>
      <c r="CS33" s="2">
        <f>SUMIF(SmtRes!AQ9:'SmtRes'!AQ9,"=1",SmtRes!AC9:'SmtRes'!AC9)</f>
        <v>0</v>
      </c>
      <c r="CT33" s="2">
        <f>SUMIF(SmtRes!AQ9:'SmtRes'!AQ9,"=1",SmtRes!AD9:'SmtRes'!AD9)</f>
        <v>312.13</v>
      </c>
      <c r="CU33" s="2">
        <f t="shared" si="29"/>
        <v>0</v>
      </c>
      <c r="CV33" s="2">
        <f>SUMIF(SmtRes!AQ9:'SmtRes'!AQ9,"=1",SmtRes!BU9:'SmtRes'!BU9)</f>
        <v>97.2</v>
      </c>
      <c r="CW33" s="2">
        <f>SUMIF(SmtRes!AQ9:'SmtRes'!AQ9,"=1",SmtRes!BV9:'SmtRes'!BV9)</f>
        <v>0</v>
      </c>
      <c r="CX33" s="2">
        <f t="shared" si="30"/>
        <v>0</v>
      </c>
      <c r="CY33" s="2">
        <f>(((S33+R33)*AT33)/100)</f>
        <v>2700.1710000000003</v>
      </c>
      <c r="CZ33" s="2">
        <f>(((S33+R33)*AU33)/100)</f>
        <v>1213.56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31</v>
      </c>
      <c r="DW33" s="2" t="s">
        <v>31</v>
      </c>
      <c r="DX33" s="2">
        <v>100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72340573</v>
      </c>
      <c r="EF33" s="2">
        <v>2</v>
      </c>
      <c r="EG33" s="2" t="s">
        <v>23</v>
      </c>
      <c r="EH33" s="2">
        <v>1</v>
      </c>
      <c r="EI33" s="2" t="s">
        <v>17</v>
      </c>
      <c r="EJ33" s="2">
        <v>1</v>
      </c>
      <c r="EK33" s="2">
        <v>1003</v>
      </c>
      <c r="EL33" s="2" t="s">
        <v>33</v>
      </c>
      <c r="EM33" s="2" t="s">
        <v>25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97.2</v>
      </c>
      <c r="EX33" s="2">
        <v>0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89</v>
      </c>
      <c r="FY33" s="2">
        <v>40</v>
      </c>
      <c r="FZ33" s="2"/>
      <c r="GA33" s="2" t="s">
        <v>3</v>
      </c>
      <c r="GB33" s="2"/>
      <c r="GC33" s="2"/>
      <c r="GD33" s="2">
        <v>1</v>
      </c>
      <c r="GE33" s="2"/>
      <c r="GF33" s="2">
        <v>-1673785635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 t="shared" si="31"/>
        <v>0</v>
      </c>
      <c r="GM33" s="2">
        <f t="shared" si="32"/>
        <v>6947.63</v>
      </c>
      <c r="GN33" s="2">
        <f t="shared" si="33"/>
        <v>6947.63</v>
      </c>
      <c r="GO33" s="2">
        <f t="shared" si="34"/>
        <v>0</v>
      </c>
      <c r="GP33" s="2">
        <f t="shared" si="35"/>
        <v>0</v>
      </c>
      <c r="GQ33" s="2"/>
      <c r="GR33" s="2">
        <v>0</v>
      </c>
      <c r="GS33" s="2">
        <v>0</v>
      </c>
      <c r="GT33" s="2">
        <v>0</v>
      </c>
      <c r="GU33" s="2" t="s">
        <v>3</v>
      </c>
      <c r="GV33" s="2">
        <f t="shared" si="36"/>
        <v>0</v>
      </c>
      <c r="GW33" s="2">
        <v>1</v>
      </c>
      <c r="GX33" s="2">
        <f t="shared" si="37"/>
        <v>0</v>
      </c>
      <c r="GY33" s="2"/>
      <c r="GZ33" s="2"/>
      <c r="HA33" s="2">
        <v>0</v>
      </c>
      <c r="HB33" s="2">
        <v>0</v>
      </c>
      <c r="HC33" s="2">
        <f t="shared" si="38"/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34</v>
      </c>
      <c r="HO33" s="2" t="s">
        <v>35</v>
      </c>
      <c r="HP33" s="2" t="s">
        <v>33</v>
      </c>
      <c r="HQ33" s="2" t="s">
        <v>33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5" spans="1:255" x14ac:dyDescent="0.2">
      <c r="A35" s="3">
        <v>51</v>
      </c>
      <c r="B35" s="3">
        <f>B24</f>
        <v>1</v>
      </c>
      <c r="C35" s="3">
        <f>A24</f>
        <v>4</v>
      </c>
      <c r="D35" s="3">
        <f>ROW(A24)</f>
        <v>24</v>
      </c>
      <c r="E35" s="3"/>
      <c r="F35" s="3" t="str">
        <f>IF(F24&lt;&gt;"",F24,"")</f>
        <v>Новый раздел</v>
      </c>
      <c r="G35" s="3" t="str">
        <f>IF(G24&lt;&gt;"",G24,"")</f>
        <v>Земляные работы</v>
      </c>
      <c r="H35" s="3">
        <v>0</v>
      </c>
      <c r="I35" s="3"/>
      <c r="J35" s="3"/>
      <c r="K35" s="3"/>
      <c r="L35" s="3"/>
      <c r="M35" s="3"/>
      <c r="N35" s="3"/>
      <c r="O35" s="3">
        <f t="shared" ref="O35:T35" si="39">ROUND(AB35,2)</f>
        <v>43278.92</v>
      </c>
      <c r="P35" s="3">
        <f t="shared" si="39"/>
        <v>11064.31</v>
      </c>
      <c r="Q35" s="3">
        <f t="shared" si="39"/>
        <v>6314.84</v>
      </c>
      <c r="R35" s="3">
        <f t="shared" si="39"/>
        <v>2278.0700000000002</v>
      </c>
      <c r="S35" s="3">
        <f t="shared" si="39"/>
        <v>23621.7</v>
      </c>
      <c r="T35" s="3">
        <f t="shared" si="39"/>
        <v>0</v>
      </c>
      <c r="U35" s="3">
        <f>AH35</f>
        <v>72.006</v>
      </c>
      <c r="V35" s="3">
        <f>AI35</f>
        <v>4.4660599999999997</v>
      </c>
      <c r="W35" s="3">
        <f>ROUND(AJ35,2)</f>
        <v>0</v>
      </c>
      <c r="X35" s="3">
        <f>ROUND(AK35,2)</f>
        <v>25168.01</v>
      </c>
      <c r="Y35" s="3">
        <f>ROUND(AL35,2)</f>
        <v>12977.47</v>
      </c>
      <c r="Z35" s="3"/>
      <c r="AA35" s="3"/>
      <c r="AB35" s="3">
        <f>ROUND(SUMIF(AA28:AA33,"=74014550",O28:O33),2)</f>
        <v>43278.92</v>
      </c>
      <c r="AC35" s="3">
        <f>ROUND(SUMIF(AA28:AA33,"=74014550",P28:P33),2)</f>
        <v>11064.31</v>
      </c>
      <c r="AD35" s="3">
        <f>ROUND(SUMIF(AA28:AA33,"=74014550",Q28:Q33),2)</f>
        <v>6314.84</v>
      </c>
      <c r="AE35" s="3">
        <f>ROUND(SUMIF(AA28:AA33,"=74014550",R28:R33),2)</f>
        <v>2278.0700000000002</v>
      </c>
      <c r="AF35" s="3">
        <f>ROUND(SUMIF(AA28:AA33,"=74014550",S28:S33),2)</f>
        <v>23621.7</v>
      </c>
      <c r="AG35" s="3">
        <f>ROUND(SUMIF(AA28:AA33,"=74014550",T28:T33),2)</f>
        <v>0</v>
      </c>
      <c r="AH35" s="3">
        <f>SUMIF(AA28:AA33,"=74014550",U28:U33)</f>
        <v>72.006</v>
      </c>
      <c r="AI35" s="3">
        <f>SUMIF(AA28:AA33,"=74014550",V28:V33)</f>
        <v>4.4660599999999997</v>
      </c>
      <c r="AJ35" s="3">
        <f>ROUND(SUMIF(AA28:AA33,"=74014550",W28:W33),2)</f>
        <v>0</v>
      </c>
      <c r="AK35" s="3">
        <f>ROUND(SUMIF(AA28:AA33,"=74014550",X28:X33),2)</f>
        <v>25168.01</v>
      </c>
      <c r="AL35" s="3">
        <f>ROUND(SUMIF(AA28:AA33,"=74014550",Y28:Y33),2)</f>
        <v>12977.47</v>
      </c>
      <c r="AM35" s="3"/>
      <c r="AN35" s="3"/>
      <c r="AO35" s="3">
        <f t="shared" ref="AO35:BD35" si="40">ROUND(BX35,2)</f>
        <v>0</v>
      </c>
      <c r="AP35" s="3">
        <f t="shared" si="40"/>
        <v>0</v>
      </c>
      <c r="AQ35" s="3">
        <f t="shared" si="40"/>
        <v>0</v>
      </c>
      <c r="AR35" s="3">
        <f t="shared" si="40"/>
        <v>81424.399999999994</v>
      </c>
      <c r="AS35" s="3">
        <f t="shared" si="40"/>
        <v>81424.399999999994</v>
      </c>
      <c r="AT35" s="3">
        <f t="shared" si="40"/>
        <v>0</v>
      </c>
      <c r="AU35" s="3">
        <f t="shared" si="40"/>
        <v>0</v>
      </c>
      <c r="AV35" s="3">
        <f t="shared" si="40"/>
        <v>11064.31</v>
      </c>
      <c r="AW35" s="3">
        <f t="shared" si="40"/>
        <v>11064.31</v>
      </c>
      <c r="AX35" s="3">
        <f t="shared" si="40"/>
        <v>0</v>
      </c>
      <c r="AY35" s="3">
        <f t="shared" si="40"/>
        <v>11064.31</v>
      </c>
      <c r="AZ35" s="3">
        <f t="shared" si="40"/>
        <v>0</v>
      </c>
      <c r="BA35" s="3">
        <f t="shared" si="40"/>
        <v>0</v>
      </c>
      <c r="BB35" s="3">
        <f t="shared" si="40"/>
        <v>0</v>
      </c>
      <c r="BC35" s="3">
        <f t="shared" si="40"/>
        <v>0</v>
      </c>
      <c r="BD35" s="3">
        <f t="shared" si="40"/>
        <v>0</v>
      </c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>
        <f>ROUND(SUMIF(AA28:AA33,"=74014550",FQ28:FQ33),2)</f>
        <v>0</v>
      </c>
      <c r="BY35" s="3">
        <f>ROUND(SUMIF(AA28:AA33,"=74014550",FR28:FR33),2)</f>
        <v>0</v>
      </c>
      <c r="BZ35" s="3">
        <f>ROUND(SUMIF(AA28:AA33,"=74014550",GL28:GL33),2)</f>
        <v>0</v>
      </c>
      <c r="CA35" s="3">
        <f>ROUND(SUMIF(AA28:AA33,"=74014550",GM28:GM33),2)</f>
        <v>81424.399999999994</v>
      </c>
      <c r="CB35" s="3">
        <f>ROUND(SUMIF(AA28:AA33,"=74014550",GN28:GN33),2)</f>
        <v>81424.399999999994</v>
      </c>
      <c r="CC35" s="3">
        <f>ROUND(SUMIF(AA28:AA33,"=74014550",GO28:GO33),2)</f>
        <v>0</v>
      </c>
      <c r="CD35" s="3">
        <f>ROUND(SUMIF(AA28:AA33,"=74014550",GP28:GP33),2)</f>
        <v>0</v>
      </c>
      <c r="CE35" s="3">
        <f>AC35-BX35</f>
        <v>11064.31</v>
      </c>
      <c r="CF35" s="3">
        <f>AC35-BY35</f>
        <v>11064.31</v>
      </c>
      <c r="CG35" s="3">
        <f>BX35-BZ35</f>
        <v>0</v>
      </c>
      <c r="CH35" s="3">
        <f>AC35-BX35-BY35+BZ35</f>
        <v>11064.31</v>
      </c>
      <c r="CI35" s="3">
        <f>BY35-BZ35</f>
        <v>0</v>
      </c>
      <c r="CJ35" s="3">
        <f>ROUND(SUMIF(AA28:AA33,"=74014550",GX28:GX33),2)</f>
        <v>0</v>
      </c>
      <c r="CK35" s="3">
        <f>ROUND(SUMIF(AA28:AA33,"=74014550",GY28:GY33),2)</f>
        <v>0</v>
      </c>
      <c r="CL35" s="3">
        <f>ROUND(SUMIF(AA28:AA33,"=74014550",GZ28:GZ33),2)</f>
        <v>0</v>
      </c>
      <c r="CM35" s="3">
        <f>ROUND(SUMIF(AA28:AA33,"=74014550",HD28:HD33),2)</f>
        <v>0</v>
      </c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>
        <v>0</v>
      </c>
    </row>
    <row r="37" spans="1:255" x14ac:dyDescent="0.2">
      <c r="A37" s="5">
        <v>50</v>
      </c>
      <c r="B37" s="5">
        <v>0</v>
      </c>
      <c r="C37" s="5">
        <v>0</v>
      </c>
      <c r="D37" s="5">
        <v>1</v>
      </c>
      <c r="E37" s="5">
        <v>201</v>
      </c>
      <c r="F37" s="5">
        <f>ROUND(Source!O35,O37)</f>
        <v>43278.92</v>
      </c>
      <c r="G37" s="5" t="s">
        <v>61</v>
      </c>
      <c r="H37" s="5" t="s">
        <v>62</v>
      </c>
      <c r="I37" s="5"/>
      <c r="J37" s="5"/>
      <c r="K37" s="5">
        <v>201</v>
      </c>
      <c r="L37" s="5">
        <v>1</v>
      </c>
      <c r="M37" s="5">
        <v>3</v>
      </c>
      <c r="N37" s="5" t="s">
        <v>3</v>
      </c>
      <c r="O37" s="5">
        <v>2</v>
      </c>
      <c r="P37" s="5"/>
      <c r="Q37" s="5"/>
      <c r="R37" s="5"/>
      <c r="S37" s="5"/>
      <c r="T37" s="5"/>
      <c r="U37" s="5"/>
      <c r="V37" s="5"/>
      <c r="W37" s="5">
        <v>43278.920000000006</v>
      </c>
      <c r="X37" s="5">
        <v>1</v>
      </c>
      <c r="Y37" s="5">
        <v>43278.920000000006</v>
      </c>
      <c r="Z37" s="5"/>
      <c r="AA37" s="5"/>
      <c r="AB37" s="5"/>
    </row>
    <row r="38" spans="1:255" x14ac:dyDescent="0.2">
      <c r="A38" s="5">
        <v>50</v>
      </c>
      <c r="B38" s="5">
        <v>0</v>
      </c>
      <c r="C38" s="5">
        <v>0</v>
      </c>
      <c r="D38" s="5">
        <v>1</v>
      </c>
      <c r="E38" s="5">
        <v>202</v>
      </c>
      <c r="F38" s="5">
        <f>ROUND(Source!P35,O38)</f>
        <v>11064.31</v>
      </c>
      <c r="G38" s="5" t="s">
        <v>63</v>
      </c>
      <c r="H38" s="5" t="s">
        <v>64</v>
      </c>
      <c r="I38" s="5"/>
      <c r="J38" s="5"/>
      <c r="K38" s="5">
        <v>202</v>
      </c>
      <c r="L38" s="5">
        <v>2</v>
      </c>
      <c r="M38" s="5">
        <v>3</v>
      </c>
      <c r="N38" s="5" t="s">
        <v>3</v>
      </c>
      <c r="O38" s="5">
        <v>2</v>
      </c>
      <c r="P38" s="5"/>
      <c r="Q38" s="5"/>
      <c r="R38" s="5"/>
      <c r="S38" s="5"/>
      <c r="T38" s="5"/>
      <c r="U38" s="5"/>
      <c r="V38" s="5"/>
      <c r="W38" s="5">
        <v>11064.31</v>
      </c>
      <c r="X38" s="5">
        <v>1</v>
      </c>
      <c r="Y38" s="5">
        <v>11064.31</v>
      </c>
      <c r="Z38" s="5"/>
      <c r="AA38" s="5"/>
      <c r="AB38" s="5"/>
    </row>
    <row r="39" spans="1:255" x14ac:dyDescent="0.2">
      <c r="A39" s="5">
        <v>50</v>
      </c>
      <c r="B39" s="5">
        <v>0</v>
      </c>
      <c r="C39" s="5">
        <v>0</v>
      </c>
      <c r="D39" s="5">
        <v>1</v>
      </c>
      <c r="E39" s="5">
        <v>222</v>
      </c>
      <c r="F39" s="5">
        <f>ROUND(Source!AO35,O39)</f>
        <v>0</v>
      </c>
      <c r="G39" s="5" t="s">
        <v>65</v>
      </c>
      <c r="H39" s="5" t="s">
        <v>66</v>
      </c>
      <c r="I39" s="5"/>
      <c r="J39" s="5"/>
      <c r="K39" s="5">
        <v>222</v>
      </c>
      <c r="L39" s="5">
        <v>3</v>
      </c>
      <c r="M39" s="5">
        <v>3</v>
      </c>
      <c r="N39" s="5" t="s">
        <v>3</v>
      </c>
      <c r="O39" s="5">
        <v>2</v>
      </c>
      <c r="P39" s="5"/>
      <c r="Q39" s="5"/>
      <c r="R39" s="5"/>
      <c r="S39" s="5"/>
      <c r="T39" s="5"/>
      <c r="U39" s="5"/>
      <c r="V39" s="5"/>
      <c r="W39" s="5">
        <v>0</v>
      </c>
      <c r="X39" s="5">
        <v>1</v>
      </c>
      <c r="Y39" s="5">
        <v>0</v>
      </c>
      <c r="Z39" s="5"/>
      <c r="AA39" s="5"/>
      <c r="AB39" s="5"/>
    </row>
    <row r="40" spans="1:255" x14ac:dyDescent="0.2">
      <c r="A40" s="5">
        <v>50</v>
      </c>
      <c r="B40" s="5">
        <v>0</v>
      </c>
      <c r="C40" s="5">
        <v>0</v>
      </c>
      <c r="D40" s="5">
        <v>1</v>
      </c>
      <c r="E40" s="5">
        <v>225</v>
      </c>
      <c r="F40" s="5">
        <f>ROUND(Source!AV35,O40)</f>
        <v>11064.31</v>
      </c>
      <c r="G40" s="5" t="s">
        <v>67</v>
      </c>
      <c r="H40" s="5" t="s">
        <v>68</v>
      </c>
      <c r="I40" s="5"/>
      <c r="J40" s="5"/>
      <c r="K40" s="5">
        <v>225</v>
      </c>
      <c r="L40" s="5">
        <v>4</v>
      </c>
      <c r="M40" s="5">
        <v>3</v>
      </c>
      <c r="N40" s="5" t="s">
        <v>3</v>
      </c>
      <c r="O40" s="5">
        <v>2</v>
      </c>
      <c r="P40" s="5"/>
      <c r="Q40" s="5"/>
      <c r="R40" s="5"/>
      <c r="S40" s="5"/>
      <c r="T40" s="5"/>
      <c r="U40" s="5"/>
      <c r="V40" s="5"/>
      <c r="W40" s="5">
        <v>11064.31</v>
      </c>
      <c r="X40" s="5">
        <v>1</v>
      </c>
      <c r="Y40" s="5">
        <v>11064.31</v>
      </c>
      <c r="Z40" s="5"/>
      <c r="AA40" s="5"/>
      <c r="AB40" s="5"/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226</v>
      </c>
      <c r="F41" s="5">
        <f>ROUND(Source!AW35,O41)</f>
        <v>11064.31</v>
      </c>
      <c r="G41" s="5" t="s">
        <v>69</v>
      </c>
      <c r="H41" s="5" t="s">
        <v>70</v>
      </c>
      <c r="I41" s="5"/>
      <c r="J41" s="5"/>
      <c r="K41" s="5">
        <v>226</v>
      </c>
      <c r="L41" s="5">
        <v>5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11064.31</v>
      </c>
      <c r="X41" s="5">
        <v>1</v>
      </c>
      <c r="Y41" s="5">
        <v>11064.31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227</v>
      </c>
      <c r="F42" s="5">
        <f>ROUND(Source!AX35,O42)</f>
        <v>0</v>
      </c>
      <c r="G42" s="5" t="s">
        <v>71</v>
      </c>
      <c r="H42" s="5" t="s">
        <v>72</v>
      </c>
      <c r="I42" s="5"/>
      <c r="J42" s="5"/>
      <c r="K42" s="5">
        <v>227</v>
      </c>
      <c r="L42" s="5">
        <v>6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0</v>
      </c>
      <c r="X42" s="5">
        <v>1</v>
      </c>
      <c r="Y42" s="5">
        <v>0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228</v>
      </c>
      <c r="F43" s="5">
        <f>ROUND(Source!AY35,O43)</f>
        <v>11064.31</v>
      </c>
      <c r="G43" s="5" t="s">
        <v>73</v>
      </c>
      <c r="H43" s="5" t="s">
        <v>74</v>
      </c>
      <c r="I43" s="5"/>
      <c r="J43" s="5"/>
      <c r="K43" s="5">
        <v>228</v>
      </c>
      <c r="L43" s="5">
        <v>7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11064.31</v>
      </c>
      <c r="X43" s="5">
        <v>1</v>
      </c>
      <c r="Y43" s="5">
        <v>11064.31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216</v>
      </c>
      <c r="F44" s="5">
        <f>ROUND(Source!AP35,O44)</f>
        <v>0</v>
      </c>
      <c r="G44" s="5" t="s">
        <v>75</v>
      </c>
      <c r="H44" s="5" t="s">
        <v>76</v>
      </c>
      <c r="I44" s="5"/>
      <c r="J44" s="5"/>
      <c r="K44" s="5">
        <v>216</v>
      </c>
      <c r="L44" s="5">
        <v>8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0</v>
      </c>
      <c r="X44" s="5">
        <v>1</v>
      </c>
      <c r="Y44" s="5">
        <v>0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223</v>
      </c>
      <c r="F45" s="5">
        <f>ROUND(Source!AQ35,O45)</f>
        <v>0</v>
      </c>
      <c r="G45" s="5" t="s">
        <v>77</v>
      </c>
      <c r="H45" s="5" t="s">
        <v>78</v>
      </c>
      <c r="I45" s="5"/>
      <c r="J45" s="5"/>
      <c r="K45" s="5">
        <v>223</v>
      </c>
      <c r="L45" s="5">
        <v>9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0</v>
      </c>
      <c r="X45" s="5">
        <v>1</v>
      </c>
      <c r="Y45" s="5">
        <v>0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229</v>
      </c>
      <c r="F46" s="5">
        <f>ROUND(Source!AZ35,O46)</f>
        <v>0</v>
      </c>
      <c r="G46" s="5" t="s">
        <v>79</v>
      </c>
      <c r="H46" s="5" t="s">
        <v>80</v>
      </c>
      <c r="I46" s="5"/>
      <c r="J46" s="5"/>
      <c r="K46" s="5">
        <v>229</v>
      </c>
      <c r="L46" s="5">
        <v>10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203</v>
      </c>
      <c r="F47" s="5">
        <f>ROUND(Source!Q35,O47)</f>
        <v>6314.84</v>
      </c>
      <c r="G47" s="5" t="s">
        <v>81</v>
      </c>
      <c r="H47" s="5" t="s">
        <v>82</v>
      </c>
      <c r="I47" s="5"/>
      <c r="J47" s="5"/>
      <c r="K47" s="5">
        <v>203</v>
      </c>
      <c r="L47" s="5">
        <v>11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6314.84</v>
      </c>
      <c r="X47" s="5">
        <v>1</v>
      </c>
      <c r="Y47" s="5">
        <v>6314.84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231</v>
      </c>
      <c r="F48" s="5">
        <f>ROUND(Source!BB35,O48)</f>
        <v>0</v>
      </c>
      <c r="G48" s="5" t="s">
        <v>83</v>
      </c>
      <c r="H48" s="5" t="s">
        <v>84</v>
      </c>
      <c r="I48" s="5"/>
      <c r="J48" s="5"/>
      <c r="K48" s="5">
        <v>231</v>
      </c>
      <c r="L48" s="5">
        <v>12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0</v>
      </c>
      <c r="X48" s="5">
        <v>1</v>
      </c>
      <c r="Y48" s="5">
        <v>0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204</v>
      </c>
      <c r="F49" s="5">
        <f>ROUND(Source!R35,O49)</f>
        <v>2278.0700000000002</v>
      </c>
      <c r="G49" s="5" t="s">
        <v>85</v>
      </c>
      <c r="H49" s="5" t="s">
        <v>86</v>
      </c>
      <c r="I49" s="5"/>
      <c r="J49" s="5"/>
      <c r="K49" s="5">
        <v>204</v>
      </c>
      <c r="L49" s="5">
        <v>13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2278.0700000000002</v>
      </c>
      <c r="X49" s="5">
        <v>1</v>
      </c>
      <c r="Y49" s="5">
        <v>2278.0700000000002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205</v>
      </c>
      <c r="F50" s="5">
        <f>ROUND(Source!S35,O50)</f>
        <v>23621.7</v>
      </c>
      <c r="G50" s="5" t="s">
        <v>87</v>
      </c>
      <c r="H50" s="5" t="s">
        <v>88</v>
      </c>
      <c r="I50" s="5"/>
      <c r="J50" s="5"/>
      <c r="K50" s="5">
        <v>205</v>
      </c>
      <c r="L50" s="5">
        <v>14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23621.700000000004</v>
      </c>
      <c r="X50" s="5">
        <v>1</v>
      </c>
      <c r="Y50" s="5">
        <v>23621.700000000004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232</v>
      </c>
      <c r="F51" s="5">
        <f>ROUND(Source!BC35,O51)</f>
        <v>0</v>
      </c>
      <c r="G51" s="5" t="s">
        <v>89</v>
      </c>
      <c r="H51" s="5" t="s">
        <v>90</v>
      </c>
      <c r="I51" s="5"/>
      <c r="J51" s="5"/>
      <c r="K51" s="5">
        <v>232</v>
      </c>
      <c r="L51" s="5">
        <v>15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0</v>
      </c>
      <c r="X51" s="5">
        <v>1</v>
      </c>
      <c r="Y51" s="5">
        <v>0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214</v>
      </c>
      <c r="F52" s="5">
        <f>ROUND(Source!AS35,O52)</f>
        <v>81424.399999999994</v>
      </c>
      <c r="G52" s="5" t="s">
        <v>91</v>
      </c>
      <c r="H52" s="5" t="s">
        <v>92</v>
      </c>
      <c r="I52" s="5"/>
      <c r="J52" s="5"/>
      <c r="K52" s="5">
        <v>214</v>
      </c>
      <c r="L52" s="5">
        <v>16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81424.399999999994</v>
      </c>
      <c r="X52" s="5">
        <v>1</v>
      </c>
      <c r="Y52" s="5">
        <v>81424.399999999994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215</v>
      </c>
      <c r="F53" s="5">
        <f>ROUND(Source!AT35,O53)</f>
        <v>0</v>
      </c>
      <c r="G53" s="5" t="s">
        <v>93</v>
      </c>
      <c r="H53" s="5" t="s">
        <v>94</v>
      </c>
      <c r="I53" s="5"/>
      <c r="J53" s="5"/>
      <c r="K53" s="5">
        <v>215</v>
      </c>
      <c r="L53" s="5">
        <v>17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0</v>
      </c>
      <c r="X53" s="5">
        <v>1</v>
      </c>
      <c r="Y53" s="5">
        <v>0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217</v>
      </c>
      <c r="F54" s="5">
        <f>ROUND(Source!AU35,O54)</f>
        <v>0</v>
      </c>
      <c r="G54" s="5" t="s">
        <v>95</v>
      </c>
      <c r="H54" s="5" t="s">
        <v>96</v>
      </c>
      <c r="I54" s="5"/>
      <c r="J54" s="5"/>
      <c r="K54" s="5">
        <v>217</v>
      </c>
      <c r="L54" s="5">
        <v>18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0</v>
      </c>
      <c r="X54" s="5">
        <v>1</v>
      </c>
      <c r="Y54" s="5">
        <v>0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230</v>
      </c>
      <c r="F55" s="5">
        <f>ROUND(Source!BA35,O55)</f>
        <v>0</v>
      </c>
      <c r="G55" s="5" t="s">
        <v>97</v>
      </c>
      <c r="H55" s="5" t="s">
        <v>98</v>
      </c>
      <c r="I55" s="5"/>
      <c r="J55" s="5"/>
      <c r="K55" s="5">
        <v>230</v>
      </c>
      <c r="L55" s="5">
        <v>19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206</v>
      </c>
      <c r="F56" s="5">
        <f>ROUND(Source!T35,O56)</f>
        <v>0</v>
      </c>
      <c r="G56" s="5" t="s">
        <v>99</v>
      </c>
      <c r="H56" s="5" t="s">
        <v>100</v>
      </c>
      <c r="I56" s="5"/>
      <c r="J56" s="5"/>
      <c r="K56" s="5">
        <v>206</v>
      </c>
      <c r="L56" s="5">
        <v>20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0</v>
      </c>
      <c r="X56" s="5">
        <v>1</v>
      </c>
      <c r="Y56" s="5">
        <v>0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207</v>
      </c>
      <c r="F57" s="5">
        <f>ROUND(Source!U35,O57)</f>
        <v>72.006</v>
      </c>
      <c r="G57" s="5" t="s">
        <v>101</v>
      </c>
      <c r="H57" s="5" t="s">
        <v>102</v>
      </c>
      <c r="I57" s="5"/>
      <c r="J57" s="5"/>
      <c r="K57" s="5">
        <v>207</v>
      </c>
      <c r="L57" s="5">
        <v>21</v>
      </c>
      <c r="M57" s="5">
        <v>3</v>
      </c>
      <c r="N57" s="5" t="s">
        <v>3</v>
      </c>
      <c r="O57" s="5">
        <v>7</v>
      </c>
      <c r="P57" s="5"/>
      <c r="Q57" s="5"/>
      <c r="R57" s="5"/>
      <c r="S57" s="5"/>
      <c r="T57" s="5"/>
      <c r="U57" s="5"/>
      <c r="V57" s="5"/>
      <c r="W57" s="5">
        <v>72.006</v>
      </c>
      <c r="X57" s="5">
        <v>1</v>
      </c>
      <c r="Y57" s="5">
        <v>72.006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208</v>
      </c>
      <c r="F58" s="5">
        <f>ROUND(Source!V35,O58)</f>
        <v>4.4660599999999997</v>
      </c>
      <c r="G58" s="5" t="s">
        <v>103</v>
      </c>
      <c r="H58" s="5" t="s">
        <v>104</v>
      </c>
      <c r="I58" s="5"/>
      <c r="J58" s="5"/>
      <c r="K58" s="5">
        <v>208</v>
      </c>
      <c r="L58" s="5">
        <v>22</v>
      </c>
      <c r="M58" s="5">
        <v>3</v>
      </c>
      <c r="N58" s="5" t="s">
        <v>3</v>
      </c>
      <c r="O58" s="5">
        <v>7</v>
      </c>
      <c r="P58" s="5"/>
      <c r="Q58" s="5"/>
      <c r="R58" s="5"/>
      <c r="S58" s="5"/>
      <c r="T58" s="5"/>
      <c r="U58" s="5"/>
      <c r="V58" s="5"/>
      <c r="W58" s="5">
        <v>4.4660599999999997</v>
      </c>
      <c r="X58" s="5">
        <v>1</v>
      </c>
      <c r="Y58" s="5">
        <v>4.4660599999999997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209</v>
      </c>
      <c r="F59" s="5">
        <f>ROUND(Source!W35,O59)</f>
        <v>0</v>
      </c>
      <c r="G59" s="5" t="s">
        <v>105</v>
      </c>
      <c r="H59" s="5" t="s">
        <v>106</v>
      </c>
      <c r="I59" s="5"/>
      <c r="J59" s="5"/>
      <c r="K59" s="5">
        <v>209</v>
      </c>
      <c r="L59" s="5">
        <v>23</v>
      </c>
      <c r="M59" s="5">
        <v>3</v>
      </c>
      <c r="N59" s="5" t="s">
        <v>3</v>
      </c>
      <c r="O59" s="5">
        <v>2</v>
      </c>
      <c r="P59" s="5"/>
      <c r="Q59" s="5"/>
      <c r="R59" s="5"/>
      <c r="S59" s="5"/>
      <c r="T59" s="5"/>
      <c r="U59" s="5"/>
      <c r="V59" s="5"/>
      <c r="W59" s="5">
        <v>0</v>
      </c>
      <c r="X59" s="5">
        <v>1</v>
      </c>
      <c r="Y59" s="5">
        <v>0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233</v>
      </c>
      <c r="F60" s="5">
        <f>ROUND(Source!BD35,O60)</f>
        <v>0</v>
      </c>
      <c r="G60" s="5" t="s">
        <v>107</v>
      </c>
      <c r="H60" s="5" t="s">
        <v>108</v>
      </c>
      <c r="I60" s="5"/>
      <c r="J60" s="5"/>
      <c r="K60" s="5">
        <v>233</v>
      </c>
      <c r="L60" s="5">
        <v>24</v>
      </c>
      <c r="M60" s="5">
        <v>3</v>
      </c>
      <c r="N60" s="5" t="s">
        <v>3</v>
      </c>
      <c r="O60" s="5">
        <v>2</v>
      </c>
      <c r="P60" s="5"/>
      <c r="Q60" s="5"/>
      <c r="R60" s="5"/>
      <c r="S60" s="5"/>
      <c r="T60" s="5"/>
      <c r="U60" s="5"/>
      <c r="V60" s="5"/>
      <c r="W60" s="5">
        <v>0</v>
      </c>
      <c r="X60" s="5">
        <v>1</v>
      </c>
      <c r="Y60" s="5">
        <v>0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210</v>
      </c>
      <c r="F61" s="5">
        <f>ROUND(Source!X35,O61)</f>
        <v>25168.01</v>
      </c>
      <c r="G61" s="5" t="s">
        <v>109</v>
      </c>
      <c r="H61" s="5" t="s">
        <v>110</v>
      </c>
      <c r="I61" s="5"/>
      <c r="J61" s="5"/>
      <c r="K61" s="5">
        <v>210</v>
      </c>
      <c r="L61" s="5">
        <v>25</v>
      </c>
      <c r="M61" s="5">
        <v>3</v>
      </c>
      <c r="N61" s="5" t="s">
        <v>3</v>
      </c>
      <c r="O61" s="5">
        <v>2</v>
      </c>
      <c r="P61" s="5"/>
      <c r="Q61" s="5"/>
      <c r="R61" s="5"/>
      <c r="S61" s="5"/>
      <c r="T61" s="5"/>
      <c r="U61" s="5"/>
      <c r="V61" s="5"/>
      <c r="W61" s="5">
        <v>25168.01</v>
      </c>
      <c r="X61" s="5">
        <v>1</v>
      </c>
      <c r="Y61" s="5">
        <v>25168.01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211</v>
      </c>
      <c r="F62" s="5">
        <f>ROUND(Source!Y35,O62)</f>
        <v>12977.47</v>
      </c>
      <c r="G62" s="5" t="s">
        <v>111</v>
      </c>
      <c r="H62" s="5" t="s">
        <v>112</v>
      </c>
      <c r="I62" s="5"/>
      <c r="J62" s="5"/>
      <c r="K62" s="5">
        <v>211</v>
      </c>
      <c r="L62" s="5">
        <v>26</v>
      </c>
      <c r="M62" s="5">
        <v>3</v>
      </c>
      <c r="N62" s="5" t="s">
        <v>3</v>
      </c>
      <c r="O62" s="5">
        <v>2</v>
      </c>
      <c r="P62" s="5"/>
      <c r="Q62" s="5"/>
      <c r="R62" s="5"/>
      <c r="S62" s="5"/>
      <c r="T62" s="5"/>
      <c r="U62" s="5"/>
      <c r="V62" s="5"/>
      <c r="W62" s="5">
        <v>12977.47</v>
      </c>
      <c r="X62" s="5">
        <v>1</v>
      </c>
      <c r="Y62" s="5">
        <v>12977.47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224</v>
      </c>
      <c r="F63" s="5">
        <f>ROUND(Source!AR35,O63)</f>
        <v>81424.399999999994</v>
      </c>
      <c r="G63" s="5" t="s">
        <v>113</v>
      </c>
      <c r="H63" s="5" t="s">
        <v>114</v>
      </c>
      <c r="I63" s="5"/>
      <c r="J63" s="5"/>
      <c r="K63" s="5">
        <v>224</v>
      </c>
      <c r="L63" s="5">
        <v>27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81424.399999999994</v>
      </c>
      <c r="X63" s="5">
        <v>1</v>
      </c>
      <c r="Y63" s="5">
        <v>81424.399999999994</v>
      </c>
      <c r="Z63" s="5"/>
      <c r="AA63" s="5"/>
      <c r="AB63" s="5"/>
    </row>
    <row r="65" spans="1:255" x14ac:dyDescent="0.2">
      <c r="A65" s="1">
        <v>4</v>
      </c>
      <c r="B65" s="1">
        <v>1</v>
      </c>
      <c r="C65" s="1"/>
      <c r="D65" s="1">
        <f>ROW(A102)</f>
        <v>102</v>
      </c>
      <c r="E65" s="1"/>
      <c r="F65" s="1" t="s">
        <v>16</v>
      </c>
      <c r="G65" s="1" t="s">
        <v>115</v>
      </c>
      <c r="H65" s="1" t="s">
        <v>3</v>
      </c>
      <c r="I65" s="1">
        <v>0</v>
      </c>
      <c r="J65" s="1"/>
      <c r="K65" s="1">
        <v>0</v>
      </c>
      <c r="L65" s="1"/>
      <c r="M65" s="1" t="s">
        <v>3</v>
      </c>
      <c r="N65" s="1"/>
      <c r="O65" s="1"/>
      <c r="P65" s="1"/>
      <c r="Q65" s="1"/>
      <c r="R65" s="1"/>
      <c r="S65" s="1">
        <v>0</v>
      </c>
      <c r="T65" s="1"/>
      <c r="U65" s="1" t="s">
        <v>3</v>
      </c>
      <c r="V65" s="1">
        <v>0</v>
      </c>
      <c r="W65" s="1"/>
      <c r="X65" s="1"/>
      <c r="Y65" s="1"/>
      <c r="Z65" s="1"/>
      <c r="AA65" s="1"/>
      <c r="AB65" s="1" t="s">
        <v>3</v>
      </c>
      <c r="AC65" s="1" t="s">
        <v>3</v>
      </c>
      <c r="AD65" s="1" t="s">
        <v>3</v>
      </c>
      <c r="AE65" s="1" t="s">
        <v>3</v>
      </c>
      <c r="AF65" s="1" t="s">
        <v>3</v>
      </c>
      <c r="AG65" s="1" t="s">
        <v>3</v>
      </c>
      <c r="AH65" s="1"/>
      <c r="AI65" s="1"/>
      <c r="AJ65" s="1"/>
      <c r="AK65" s="1"/>
      <c r="AL65" s="1"/>
      <c r="AM65" s="1"/>
      <c r="AN65" s="1"/>
      <c r="AO65" s="1"/>
      <c r="AP65" s="1" t="s">
        <v>3</v>
      </c>
      <c r="AQ65" s="1" t="s">
        <v>3</v>
      </c>
      <c r="AR65" s="1" t="s">
        <v>3</v>
      </c>
      <c r="AS65" s="1"/>
      <c r="AT65" s="1"/>
      <c r="AU65" s="1"/>
      <c r="AV65" s="1"/>
      <c r="AW65" s="1"/>
      <c r="AX65" s="1"/>
      <c r="AY65" s="1"/>
      <c r="AZ65" s="1" t="s">
        <v>3</v>
      </c>
      <c r="BA65" s="1"/>
      <c r="BB65" s="1" t="s">
        <v>3</v>
      </c>
      <c r="BC65" s="1" t="s">
        <v>3</v>
      </c>
      <c r="BD65" s="1" t="s">
        <v>3</v>
      </c>
      <c r="BE65" s="1" t="s">
        <v>3</v>
      </c>
      <c r="BF65" s="1" t="s">
        <v>3</v>
      </c>
      <c r="BG65" s="1" t="s">
        <v>3</v>
      </c>
      <c r="BH65" s="1" t="s">
        <v>3</v>
      </c>
      <c r="BI65" s="1" t="s">
        <v>3</v>
      </c>
      <c r="BJ65" s="1" t="s">
        <v>3</v>
      </c>
      <c r="BK65" s="1" t="s">
        <v>3</v>
      </c>
      <c r="BL65" s="1" t="s">
        <v>3</v>
      </c>
      <c r="BM65" s="1" t="s">
        <v>3</v>
      </c>
      <c r="BN65" s="1" t="s">
        <v>3</v>
      </c>
      <c r="BO65" s="1" t="s">
        <v>3</v>
      </c>
      <c r="BP65" s="1" t="s">
        <v>3</v>
      </c>
      <c r="BQ65" s="1"/>
      <c r="BR65" s="1"/>
      <c r="BS65" s="1"/>
      <c r="BT65" s="1"/>
      <c r="BU65" s="1"/>
      <c r="BV65" s="1"/>
      <c r="BW65" s="1"/>
      <c r="BX65" s="1">
        <v>0</v>
      </c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>
        <v>0</v>
      </c>
    </row>
    <row r="67" spans="1:255" x14ac:dyDescent="0.2">
      <c r="A67" s="3">
        <v>52</v>
      </c>
      <c r="B67" s="3">
        <f t="shared" ref="B67:G67" si="41">B102</f>
        <v>1</v>
      </c>
      <c r="C67" s="3">
        <f t="shared" si="41"/>
        <v>4</v>
      </c>
      <c r="D67" s="3">
        <f t="shared" si="41"/>
        <v>65</v>
      </c>
      <c r="E67" s="3">
        <f t="shared" si="41"/>
        <v>0</v>
      </c>
      <c r="F67" s="3" t="str">
        <f t="shared" si="41"/>
        <v>Новый раздел</v>
      </c>
      <c r="G67" s="3" t="str">
        <f t="shared" si="41"/>
        <v>Укладка  трубы</v>
      </c>
      <c r="H67" s="3"/>
      <c r="I67" s="3"/>
      <c r="J67" s="3"/>
      <c r="K67" s="3"/>
      <c r="L67" s="3"/>
      <c r="M67" s="3"/>
      <c r="N67" s="3"/>
      <c r="O67" s="3">
        <f t="shared" ref="O67:AT67" si="42">O102</f>
        <v>85339.24</v>
      </c>
      <c r="P67" s="3">
        <f t="shared" si="42"/>
        <v>51670.62</v>
      </c>
      <c r="Q67" s="3">
        <f t="shared" si="42"/>
        <v>10296.780000000001</v>
      </c>
      <c r="R67" s="3">
        <f t="shared" si="42"/>
        <v>5206.43</v>
      </c>
      <c r="S67" s="3">
        <f t="shared" si="42"/>
        <v>18165.41</v>
      </c>
      <c r="T67" s="3">
        <f t="shared" si="42"/>
        <v>0</v>
      </c>
      <c r="U67" s="3">
        <f t="shared" si="42"/>
        <v>44.699700000000007</v>
      </c>
      <c r="V67" s="3">
        <f t="shared" si="42"/>
        <v>11.789585200000001</v>
      </c>
      <c r="W67" s="3">
        <f t="shared" si="42"/>
        <v>0</v>
      </c>
      <c r="X67" s="3">
        <f t="shared" si="42"/>
        <v>27170.62</v>
      </c>
      <c r="Y67" s="3">
        <f t="shared" si="42"/>
        <v>16769.490000000002</v>
      </c>
      <c r="Z67" s="3">
        <f t="shared" si="42"/>
        <v>0</v>
      </c>
      <c r="AA67" s="3">
        <f t="shared" si="42"/>
        <v>0</v>
      </c>
      <c r="AB67" s="3">
        <f t="shared" si="42"/>
        <v>85339.24</v>
      </c>
      <c r="AC67" s="3">
        <f t="shared" si="42"/>
        <v>51670.62</v>
      </c>
      <c r="AD67" s="3">
        <f t="shared" si="42"/>
        <v>10296.780000000001</v>
      </c>
      <c r="AE67" s="3">
        <f t="shared" si="42"/>
        <v>5206.43</v>
      </c>
      <c r="AF67" s="3">
        <f t="shared" si="42"/>
        <v>18165.41</v>
      </c>
      <c r="AG67" s="3">
        <f t="shared" si="42"/>
        <v>0</v>
      </c>
      <c r="AH67" s="3">
        <f t="shared" si="42"/>
        <v>44.699700000000007</v>
      </c>
      <c r="AI67" s="3">
        <f t="shared" si="42"/>
        <v>11.789585200000001</v>
      </c>
      <c r="AJ67" s="3">
        <f t="shared" si="42"/>
        <v>0</v>
      </c>
      <c r="AK67" s="3">
        <f t="shared" si="42"/>
        <v>27170.62</v>
      </c>
      <c r="AL67" s="3">
        <f t="shared" si="42"/>
        <v>16769.490000000002</v>
      </c>
      <c r="AM67" s="3">
        <f t="shared" si="42"/>
        <v>0</v>
      </c>
      <c r="AN67" s="3">
        <f t="shared" si="42"/>
        <v>0</v>
      </c>
      <c r="AO67" s="3">
        <f t="shared" si="42"/>
        <v>0</v>
      </c>
      <c r="AP67" s="3">
        <f t="shared" si="42"/>
        <v>0</v>
      </c>
      <c r="AQ67" s="3">
        <f t="shared" si="42"/>
        <v>0</v>
      </c>
      <c r="AR67" s="3">
        <f t="shared" si="42"/>
        <v>129279.35</v>
      </c>
      <c r="AS67" s="3">
        <f t="shared" si="42"/>
        <v>116155.05</v>
      </c>
      <c r="AT67" s="3">
        <f t="shared" si="42"/>
        <v>13124.3</v>
      </c>
      <c r="AU67" s="3">
        <f t="shared" ref="AU67:BZ67" si="43">AU102</f>
        <v>0</v>
      </c>
      <c r="AV67" s="3">
        <f t="shared" si="43"/>
        <v>51670.62</v>
      </c>
      <c r="AW67" s="3">
        <f t="shared" si="43"/>
        <v>51670.62</v>
      </c>
      <c r="AX67" s="3">
        <f t="shared" si="43"/>
        <v>0</v>
      </c>
      <c r="AY67" s="3">
        <f t="shared" si="43"/>
        <v>51670.62</v>
      </c>
      <c r="AZ67" s="3">
        <f t="shared" si="43"/>
        <v>0</v>
      </c>
      <c r="BA67" s="3">
        <f t="shared" si="43"/>
        <v>0</v>
      </c>
      <c r="BB67" s="3">
        <f t="shared" si="43"/>
        <v>0</v>
      </c>
      <c r="BC67" s="3">
        <f t="shared" si="43"/>
        <v>0</v>
      </c>
      <c r="BD67" s="3">
        <f t="shared" si="43"/>
        <v>0</v>
      </c>
      <c r="BE67" s="3">
        <f t="shared" si="43"/>
        <v>0</v>
      </c>
      <c r="BF67" s="3">
        <f t="shared" si="43"/>
        <v>0</v>
      </c>
      <c r="BG67" s="3">
        <f t="shared" si="43"/>
        <v>0</v>
      </c>
      <c r="BH67" s="3">
        <f t="shared" si="43"/>
        <v>0</v>
      </c>
      <c r="BI67" s="3">
        <f t="shared" si="43"/>
        <v>0</v>
      </c>
      <c r="BJ67" s="3">
        <f t="shared" si="43"/>
        <v>0</v>
      </c>
      <c r="BK67" s="3">
        <f t="shared" si="43"/>
        <v>0</v>
      </c>
      <c r="BL67" s="3">
        <f t="shared" si="43"/>
        <v>0</v>
      </c>
      <c r="BM67" s="3">
        <f t="shared" si="43"/>
        <v>0</v>
      </c>
      <c r="BN67" s="3">
        <f t="shared" si="43"/>
        <v>0</v>
      </c>
      <c r="BO67" s="3">
        <f t="shared" si="43"/>
        <v>0</v>
      </c>
      <c r="BP67" s="3">
        <f t="shared" si="43"/>
        <v>0</v>
      </c>
      <c r="BQ67" s="3">
        <f t="shared" si="43"/>
        <v>0</v>
      </c>
      <c r="BR67" s="3">
        <f t="shared" si="43"/>
        <v>0</v>
      </c>
      <c r="BS67" s="3">
        <f t="shared" si="43"/>
        <v>0</v>
      </c>
      <c r="BT67" s="3">
        <f t="shared" si="43"/>
        <v>0</v>
      </c>
      <c r="BU67" s="3">
        <f t="shared" si="43"/>
        <v>0</v>
      </c>
      <c r="BV67" s="3">
        <f t="shared" si="43"/>
        <v>0</v>
      </c>
      <c r="BW67" s="3">
        <f t="shared" si="43"/>
        <v>0</v>
      </c>
      <c r="BX67" s="3">
        <f t="shared" si="43"/>
        <v>0</v>
      </c>
      <c r="BY67" s="3">
        <f t="shared" si="43"/>
        <v>0</v>
      </c>
      <c r="BZ67" s="3">
        <f t="shared" si="43"/>
        <v>0</v>
      </c>
      <c r="CA67" s="3">
        <f t="shared" ref="CA67:DF67" si="44">CA102</f>
        <v>129279.35</v>
      </c>
      <c r="CB67" s="3">
        <f t="shared" si="44"/>
        <v>116155.05</v>
      </c>
      <c r="CC67" s="3">
        <f t="shared" si="44"/>
        <v>13124.3</v>
      </c>
      <c r="CD67" s="3">
        <f t="shared" si="44"/>
        <v>0</v>
      </c>
      <c r="CE67" s="3">
        <f t="shared" si="44"/>
        <v>51670.62</v>
      </c>
      <c r="CF67" s="3">
        <f t="shared" si="44"/>
        <v>51670.62</v>
      </c>
      <c r="CG67" s="3">
        <f t="shared" si="44"/>
        <v>0</v>
      </c>
      <c r="CH67" s="3">
        <f t="shared" si="44"/>
        <v>51670.62</v>
      </c>
      <c r="CI67" s="3">
        <f t="shared" si="44"/>
        <v>0</v>
      </c>
      <c r="CJ67" s="3">
        <f t="shared" si="44"/>
        <v>0</v>
      </c>
      <c r="CK67" s="3">
        <f t="shared" si="44"/>
        <v>0</v>
      </c>
      <c r="CL67" s="3">
        <f t="shared" si="44"/>
        <v>0</v>
      </c>
      <c r="CM67" s="3">
        <f t="shared" si="44"/>
        <v>0</v>
      </c>
      <c r="CN67" s="3">
        <f t="shared" si="44"/>
        <v>0</v>
      </c>
      <c r="CO67" s="3">
        <f t="shared" si="44"/>
        <v>0</v>
      </c>
      <c r="CP67" s="3">
        <f t="shared" si="44"/>
        <v>0</v>
      </c>
      <c r="CQ67" s="3">
        <f t="shared" si="44"/>
        <v>0</v>
      </c>
      <c r="CR67" s="3">
        <f t="shared" si="44"/>
        <v>0</v>
      </c>
      <c r="CS67" s="3">
        <f t="shared" si="44"/>
        <v>0</v>
      </c>
      <c r="CT67" s="3">
        <f t="shared" si="44"/>
        <v>0</v>
      </c>
      <c r="CU67" s="3">
        <f t="shared" si="44"/>
        <v>0</v>
      </c>
      <c r="CV67" s="3">
        <f t="shared" si="44"/>
        <v>0</v>
      </c>
      <c r="CW67" s="3">
        <f t="shared" si="44"/>
        <v>0</v>
      </c>
      <c r="CX67" s="3">
        <f t="shared" si="44"/>
        <v>0</v>
      </c>
      <c r="CY67" s="3">
        <f t="shared" si="44"/>
        <v>0</v>
      </c>
      <c r="CZ67" s="3">
        <f t="shared" si="44"/>
        <v>0</v>
      </c>
      <c r="DA67" s="3">
        <f t="shared" si="44"/>
        <v>0</v>
      </c>
      <c r="DB67" s="3">
        <f t="shared" si="44"/>
        <v>0</v>
      </c>
      <c r="DC67" s="3">
        <f t="shared" si="44"/>
        <v>0</v>
      </c>
      <c r="DD67" s="3">
        <f t="shared" si="44"/>
        <v>0</v>
      </c>
      <c r="DE67" s="3">
        <f t="shared" si="44"/>
        <v>0</v>
      </c>
      <c r="DF67" s="3">
        <f t="shared" si="44"/>
        <v>0</v>
      </c>
      <c r="DG67" s="4">
        <f t="shared" ref="DG67:EL67" si="45">DG102</f>
        <v>0</v>
      </c>
      <c r="DH67" s="4">
        <f t="shared" si="45"/>
        <v>0</v>
      </c>
      <c r="DI67" s="4">
        <f t="shared" si="45"/>
        <v>0</v>
      </c>
      <c r="DJ67" s="4">
        <f t="shared" si="45"/>
        <v>0</v>
      </c>
      <c r="DK67" s="4">
        <f t="shared" si="45"/>
        <v>0</v>
      </c>
      <c r="DL67" s="4">
        <f t="shared" si="45"/>
        <v>0</v>
      </c>
      <c r="DM67" s="4">
        <f t="shared" si="45"/>
        <v>0</v>
      </c>
      <c r="DN67" s="4">
        <f t="shared" si="45"/>
        <v>0</v>
      </c>
      <c r="DO67" s="4">
        <f t="shared" si="45"/>
        <v>0</v>
      </c>
      <c r="DP67" s="4">
        <f t="shared" si="45"/>
        <v>0</v>
      </c>
      <c r="DQ67" s="4">
        <f t="shared" si="45"/>
        <v>0</v>
      </c>
      <c r="DR67" s="4">
        <f t="shared" si="45"/>
        <v>0</v>
      </c>
      <c r="DS67" s="4">
        <f t="shared" si="45"/>
        <v>0</v>
      </c>
      <c r="DT67" s="4">
        <f t="shared" si="45"/>
        <v>0</v>
      </c>
      <c r="DU67" s="4">
        <f t="shared" si="45"/>
        <v>0</v>
      </c>
      <c r="DV67" s="4">
        <f t="shared" si="45"/>
        <v>0</v>
      </c>
      <c r="DW67" s="4">
        <f t="shared" si="45"/>
        <v>0</v>
      </c>
      <c r="DX67" s="4">
        <f t="shared" si="45"/>
        <v>0</v>
      </c>
      <c r="DY67" s="4">
        <f t="shared" si="45"/>
        <v>0</v>
      </c>
      <c r="DZ67" s="4">
        <f t="shared" si="45"/>
        <v>0</v>
      </c>
      <c r="EA67" s="4">
        <f t="shared" si="45"/>
        <v>0</v>
      </c>
      <c r="EB67" s="4">
        <f t="shared" si="45"/>
        <v>0</v>
      </c>
      <c r="EC67" s="4">
        <f t="shared" si="45"/>
        <v>0</v>
      </c>
      <c r="ED67" s="4">
        <f t="shared" si="45"/>
        <v>0</v>
      </c>
      <c r="EE67" s="4">
        <f t="shared" si="45"/>
        <v>0</v>
      </c>
      <c r="EF67" s="4">
        <f t="shared" si="45"/>
        <v>0</v>
      </c>
      <c r="EG67" s="4">
        <f t="shared" si="45"/>
        <v>0</v>
      </c>
      <c r="EH67" s="4">
        <f t="shared" si="45"/>
        <v>0</v>
      </c>
      <c r="EI67" s="4">
        <f t="shared" si="45"/>
        <v>0</v>
      </c>
      <c r="EJ67" s="4">
        <f t="shared" si="45"/>
        <v>0</v>
      </c>
      <c r="EK67" s="4">
        <f t="shared" si="45"/>
        <v>0</v>
      </c>
      <c r="EL67" s="4">
        <f t="shared" si="45"/>
        <v>0</v>
      </c>
      <c r="EM67" s="4">
        <f t="shared" ref="EM67:FR67" si="46">EM102</f>
        <v>0</v>
      </c>
      <c r="EN67" s="4">
        <f t="shared" si="46"/>
        <v>0</v>
      </c>
      <c r="EO67" s="4">
        <f t="shared" si="46"/>
        <v>0</v>
      </c>
      <c r="EP67" s="4">
        <f t="shared" si="46"/>
        <v>0</v>
      </c>
      <c r="EQ67" s="4">
        <f t="shared" si="46"/>
        <v>0</v>
      </c>
      <c r="ER67" s="4">
        <f t="shared" si="46"/>
        <v>0</v>
      </c>
      <c r="ES67" s="4">
        <f t="shared" si="46"/>
        <v>0</v>
      </c>
      <c r="ET67" s="4">
        <f t="shared" si="46"/>
        <v>0</v>
      </c>
      <c r="EU67" s="4">
        <f t="shared" si="46"/>
        <v>0</v>
      </c>
      <c r="EV67" s="4">
        <f t="shared" si="46"/>
        <v>0</v>
      </c>
      <c r="EW67" s="4">
        <f t="shared" si="46"/>
        <v>0</v>
      </c>
      <c r="EX67" s="4">
        <f t="shared" si="46"/>
        <v>0</v>
      </c>
      <c r="EY67" s="4">
        <f t="shared" si="46"/>
        <v>0</v>
      </c>
      <c r="EZ67" s="4">
        <f t="shared" si="46"/>
        <v>0</v>
      </c>
      <c r="FA67" s="4">
        <f t="shared" si="46"/>
        <v>0</v>
      </c>
      <c r="FB67" s="4">
        <f t="shared" si="46"/>
        <v>0</v>
      </c>
      <c r="FC67" s="4">
        <f t="shared" si="46"/>
        <v>0</v>
      </c>
      <c r="FD67" s="4">
        <f t="shared" si="46"/>
        <v>0</v>
      </c>
      <c r="FE67" s="4">
        <f t="shared" si="46"/>
        <v>0</v>
      </c>
      <c r="FF67" s="4">
        <f t="shared" si="46"/>
        <v>0</v>
      </c>
      <c r="FG67" s="4">
        <f t="shared" si="46"/>
        <v>0</v>
      </c>
      <c r="FH67" s="4">
        <f t="shared" si="46"/>
        <v>0</v>
      </c>
      <c r="FI67" s="4">
        <f t="shared" si="46"/>
        <v>0</v>
      </c>
      <c r="FJ67" s="4">
        <f t="shared" si="46"/>
        <v>0</v>
      </c>
      <c r="FK67" s="4">
        <f t="shared" si="46"/>
        <v>0</v>
      </c>
      <c r="FL67" s="4">
        <f t="shared" si="46"/>
        <v>0</v>
      </c>
      <c r="FM67" s="4">
        <f t="shared" si="46"/>
        <v>0</v>
      </c>
      <c r="FN67" s="4">
        <f t="shared" si="46"/>
        <v>0</v>
      </c>
      <c r="FO67" s="4">
        <f t="shared" si="46"/>
        <v>0</v>
      </c>
      <c r="FP67" s="4">
        <f t="shared" si="46"/>
        <v>0</v>
      </c>
      <c r="FQ67" s="4">
        <f t="shared" si="46"/>
        <v>0</v>
      </c>
      <c r="FR67" s="4">
        <f t="shared" si="46"/>
        <v>0</v>
      </c>
      <c r="FS67" s="4">
        <f t="shared" ref="FS67:GX67" si="47">FS102</f>
        <v>0</v>
      </c>
      <c r="FT67" s="4">
        <f t="shared" si="47"/>
        <v>0</v>
      </c>
      <c r="FU67" s="4">
        <f t="shared" si="47"/>
        <v>0</v>
      </c>
      <c r="FV67" s="4">
        <f t="shared" si="47"/>
        <v>0</v>
      </c>
      <c r="FW67" s="4">
        <f t="shared" si="47"/>
        <v>0</v>
      </c>
      <c r="FX67" s="4">
        <f t="shared" si="47"/>
        <v>0</v>
      </c>
      <c r="FY67" s="4">
        <f t="shared" si="47"/>
        <v>0</v>
      </c>
      <c r="FZ67" s="4">
        <f t="shared" si="47"/>
        <v>0</v>
      </c>
      <c r="GA67" s="4">
        <f t="shared" si="47"/>
        <v>0</v>
      </c>
      <c r="GB67" s="4">
        <f t="shared" si="47"/>
        <v>0</v>
      </c>
      <c r="GC67" s="4">
        <f t="shared" si="47"/>
        <v>0</v>
      </c>
      <c r="GD67" s="4">
        <f t="shared" si="47"/>
        <v>0</v>
      </c>
      <c r="GE67" s="4">
        <f t="shared" si="47"/>
        <v>0</v>
      </c>
      <c r="GF67" s="4">
        <f t="shared" si="47"/>
        <v>0</v>
      </c>
      <c r="GG67" s="4">
        <f t="shared" si="47"/>
        <v>0</v>
      </c>
      <c r="GH67" s="4">
        <f t="shared" si="47"/>
        <v>0</v>
      </c>
      <c r="GI67" s="4">
        <f t="shared" si="47"/>
        <v>0</v>
      </c>
      <c r="GJ67" s="4">
        <f t="shared" si="47"/>
        <v>0</v>
      </c>
      <c r="GK67" s="4">
        <f t="shared" si="47"/>
        <v>0</v>
      </c>
      <c r="GL67" s="4">
        <f t="shared" si="47"/>
        <v>0</v>
      </c>
      <c r="GM67" s="4">
        <f t="shared" si="47"/>
        <v>0</v>
      </c>
      <c r="GN67" s="4">
        <f t="shared" si="47"/>
        <v>0</v>
      </c>
      <c r="GO67" s="4">
        <f t="shared" si="47"/>
        <v>0</v>
      </c>
      <c r="GP67" s="4">
        <f t="shared" si="47"/>
        <v>0</v>
      </c>
      <c r="GQ67" s="4">
        <f t="shared" si="47"/>
        <v>0</v>
      </c>
      <c r="GR67" s="4">
        <f t="shared" si="47"/>
        <v>0</v>
      </c>
      <c r="GS67" s="4">
        <f t="shared" si="47"/>
        <v>0</v>
      </c>
      <c r="GT67" s="4">
        <f t="shared" si="47"/>
        <v>0</v>
      </c>
      <c r="GU67" s="4">
        <f t="shared" si="47"/>
        <v>0</v>
      </c>
      <c r="GV67" s="4">
        <f t="shared" si="47"/>
        <v>0</v>
      </c>
      <c r="GW67" s="4">
        <f t="shared" si="47"/>
        <v>0</v>
      </c>
      <c r="GX67" s="4">
        <f t="shared" si="47"/>
        <v>0</v>
      </c>
    </row>
    <row r="69" spans="1:255" x14ac:dyDescent="0.2">
      <c r="A69" s="2">
        <v>17</v>
      </c>
      <c r="B69" s="2">
        <v>1</v>
      </c>
      <c r="C69" s="2">
        <f>ROW(SmtRes!A24)</f>
        <v>24</v>
      </c>
      <c r="D69" s="2">
        <f>ROW(EtalonRes!A25)</f>
        <v>25</v>
      </c>
      <c r="E69" s="2" t="s">
        <v>116</v>
      </c>
      <c r="F69" s="2" t="s">
        <v>117</v>
      </c>
      <c r="G69" s="2" t="s">
        <v>118</v>
      </c>
      <c r="H69" s="2" t="s">
        <v>119</v>
      </c>
      <c r="I69" s="2">
        <f>ROUND(2/100,7)</f>
        <v>0.02</v>
      </c>
      <c r="J69" s="2">
        <v>0</v>
      </c>
      <c r="K69" s="2">
        <f>ROUND(2/100,7)</f>
        <v>0.02</v>
      </c>
      <c r="L69" s="2"/>
      <c r="M69" s="2"/>
      <c r="N69" s="2"/>
      <c r="O69" s="2">
        <f t="shared" ref="O69:O84" si="48">ROUND(CP69,2)</f>
        <v>575.61</v>
      </c>
      <c r="P69" s="2">
        <f>SUMIF(SmtRes!AQ10:'SmtRes'!AQ24,"=1",SmtRes!DF10:'SmtRes'!DF24)</f>
        <v>38.46</v>
      </c>
      <c r="Q69" s="2">
        <f>SUMIF(SmtRes!AQ10:'SmtRes'!AQ24,"=1",SmtRes!DG10:'SmtRes'!DG24)</f>
        <v>274.59999999999997</v>
      </c>
      <c r="R69" s="2">
        <f>SUMIF(SmtRes!AQ10:'SmtRes'!AQ24,"=1",SmtRes!DH10:'SmtRes'!DH24)</f>
        <v>109.39999999999999</v>
      </c>
      <c r="S69" s="2">
        <f>SUMIF(SmtRes!AQ10:'SmtRes'!AQ24,"=1",SmtRes!DI10:'SmtRes'!DI24)</f>
        <v>153.15</v>
      </c>
      <c r="T69" s="2">
        <f t="shared" ref="T69:T100" si="49">ROUND(CU69*I69,2)</f>
        <v>0</v>
      </c>
      <c r="U69" s="2">
        <f>SUMIF(SmtRes!AQ10:'SmtRes'!AQ24,"=1",SmtRes!CV10:'SmtRes'!CV24)</f>
        <v>0.41020000000000001</v>
      </c>
      <c r="V69" s="2">
        <f>SUMIF(SmtRes!AQ10:'SmtRes'!AQ24,"=1",SmtRes!CW10:'SmtRes'!CW24)</f>
        <v>0.2392</v>
      </c>
      <c r="W69" s="2">
        <f t="shared" ref="W69:W100" si="50">ROUND(CX69*I69,2)</f>
        <v>0</v>
      </c>
      <c r="X69" s="2">
        <f t="shared" ref="X69:X100" si="51">ROUND(CY69,2)</f>
        <v>307.18</v>
      </c>
      <c r="Y69" s="2">
        <f t="shared" ref="Y69:Y100" si="52">ROUND(CZ69,2)</f>
        <v>194.29</v>
      </c>
      <c r="Z69" s="2"/>
      <c r="AA69" s="2">
        <v>74014550</v>
      </c>
      <c r="AB69" s="2">
        <f t="shared" ref="AB69:AB100" si="53">ROUND((AC69+AD69+AF69),6)</f>
        <v>20759.782739999999</v>
      </c>
      <c r="AC69" s="2">
        <f>ROUND((SUM(SmtRes!BQ10:'SmtRes'!BQ24)),6)</f>
        <v>1420.63104</v>
      </c>
      <c r="AD69" s="2">
        <f>ROUND((((SUM(SmtRes!BR10:'SmtRes'!BR24))-(SUM(SmtRes!BS10:'SmtRes'!BS24)))+AE69),6)</f>
        <v>11681.5381</v>
      </c>
      <c r="AE69" s="2">
        <f>ROUND((SUM(SmtRes!BS10:'SmtRes'!BS24)),6)</f>
        <v>5470.2960000000003</v>
      </c>
      <c r="AF69" s="2">
        <f>ROUND((SUM(SmtRes!BT10:'SmtRes'!BT24)),6)</f>
        <v>7657.6135999999997</v>
      </c>
      <c r="AG69" s="2">
        <f t="shared" ref="AG69:AG100" si="54">ROUND((AP69),6)</f>
        <v>0</v>
      </c>
      <c r="AH69" s="2">
        <f>(SUM(SmtRes!BU10:'SmtRes'!BU24))</f>
        <v>20.51</v>
      </c>
      <c r="AI69" s="2">
        <f>(SUM(SmtRes!BV10:'SmtRes'!BV24))</f>
        <v>11.959999999999999</v>
      </c>
      <c r="AJ69" s="2">
        <f t="shared" ref="AJ69:AJ100" si="55">(AS69)</f>
        <v>0</v>
      </c>
      <c r="AK69" s="2">
        <v>26230.078739599998</v>
      </c>
      <c r="AL69" s="2">
        <v>1420.6310395999999</v>
      </c>
      <c r="AM69" s="2">
        <v>11681.5381</v>
      </c>
      <c r="AN69" s="2">
        <v>5470.2959999999994</v>
      </c>
      <c r="AO69" s="2">
        <v>7657.6136000000006</v>
      </c>
      <c r="AP69" s="2">
        <v>0</v>
      </c>
      <c r="AQ69" s="2">
        <v>20.51</v>
      </c>
      <c r="AR69" s="2">
        <v>11.959999999999999</v>
      </c>
      <c r="AS69" s="2">
        <v>0</v>
      </c>
      <c r="AT69" s="2">
        <v>117</v>
      </c>
      <c r="AU69" s="2">
        <v>74</v>
      </c>
      <c r="AV69" s="2">
        <v>1</v>
      </c>
      <c r="AW69" s="2">
        <v>1</v>
      </c>
      <c r="AX69" s="2"/>
      <c r="AY69" s="2"/>
      <c r="AZ69" s="2">
        <v>1</v>
      </c>
      <c r="BA69" s="2">
        <v>1</v>
      </c>
      <c r="BB69" s="2">
        <v>1</v>
      </c>
      <c r="BC69" s="2">
        <v>1</v>
      </c>
      <c r="BD69" s="2" t="s">
        <v>3</v>
      </c>
      <c r="BE69" s="2" t="s">
        <v>3</v>
      </c>
      <c r="BF69" s="2" t="s">
        <v>3</v>
      </c>
      <c r="BG69" s="2" t="s">
        <v>3</v>
      </c>
      <c r="BH69" s="2">
        <v>0</v>
      </c>
      <c r="BI69" s="2">
        <v>1</v>
      </c>
      <c r="BJ69" s="2" t="s">
        <v>120</v>
      </c>
      <c r="BK69" s="2"/>
      <c r="BL69" s="2"/>
      <c r="BM69" s="2">
        <v>24001</v>
      </c>
      <c r="BN69" s="2">
        <v>0</v>
      </c>
      <c r="BO69" s="2" t="s">
        <v>3</v>
      </c>
      <c r="BP69" s="2">
        <v>0</v>
      </c>
      <c r="BQ69" s="2">
        <v>2</v>
      </c>
      <c r="BR69" s="2">
        <v>0</v>
      </c>
      <c r="BS69" s="2">
        <v>1</v>
      </c>
      <c r="BT69" s="2">
        <v>1</v>
      </c>
      <c r="BU69" s="2">
        <v>1</v>
      </c>
      <c r="BV69" s="2">
        <v>1</v>
      </c>
      <c r="BW69" s="2">
        <v>1</v>
      </c>
      <c r="BX69" s="2">
        <v>1</v>
      </c>
      <c r="BY69" s="2" t="s">
        <v>3</v>
      </c>
      <c r="BZ69" s="2">
        <v>117</v>
      </c>
      <c r="CA69" s="2">
        <v>74</v>
      </c>
      <c r="CB69" s="2" t="s">
        <v>3</v>
      </c>
      <c r="CC69" s="2"/>
      <c r="CD69" s="2"/>
      <c r="CE69" s="2">
        <v>0</v>
      </c>
      <c r="CF69" s="2">
        <v>0</v>
      </c>
      <c r="CG69" s="2">
        <v>0</v>
      </c>
      <c r="CH69" s="2"/>
      <c r="CI69" s="2"/>
      <c r="CJ69" s="2"/>
      <c r="CK69" s="2"/>
      <c r="CL69" s="2"/>
      <c r="CM69" s="2">
        <v>0</v>
      </c>
      <c r="CN69" s="2" t="s">
        <v>3</v>
      </c>
      <c r="CO69" s="2">
        <v>0</v>
      </c>
      <c r="CP69" s="2">
        <f t="shared" ref="CP69:CP84" si="56">(P69+Q69+S69+R69)</f>
        <v>575.6099999999999</v>
      </c>
      <c r="CQ69" s="2">
        <f>SUMIF(SmtRes!AQ10:'SmtRes'!AQ24,"=1",SmtRes!AA10:'SmtRes'!AA24)</f>
        <v>867589.44</v>
      </c>
      <c r="CR69" s="2">
        <f>SUMIF(SmtRes!AQ10:'SmtRes'!AQ24,"=1",SmtRes!AB10:'SmtRes'!AB24)</f>
        <v>1640.6100000000001</v>
      </c>
      <c r="CS69" s="2">
        <f>SUMIF(SmtRes!AQ10:'SmtRes'!AQ24,"=1",SmtRes!AC10:'SmtRes'!AC24)</f>
        <v>860.22</v>
      </c>
      <c r="CT69" s="2">
        <f>SUMIF(SmtRes!AQ10:'SmtRes'!AQ24,"=1",SmtRes!AD10:'SmtRes'!AD24)</f>
        <v>373.36</v>
      </c>
      <c r="CU69" s="2">
        <f t="shared" ref="CU69:CU84" si="57">AG69</f>
        <v>0</v>
      </c>
      <c r="CV69" s="2">
        <f>SUMIF(SmtRes!AQ10:'SmtRes'!AQ24,"=1",SmtRes!BU10:'SmtRes'!BU24)</f>
        <v>20.51</v>
      </c>
      <c r="CW69" s="2">
        <f>SUMIF(SmtRes!AQ10:'SmtRes'!AQ24,"=1",SmtRes!BV10:'SmtRes'!BV24)</f>
        <v>11.959999999999999</v>
      </c>
      <c r="CX69" s="2">
        <f t="shared" ref="CX69:CX84" si="58">AJ69</f>
        <v>0</v>
      </c>
      <c r="CY69" s="2">
        <f>(((S69+R69)*AT69)/100)</f>
        <v>307.18350000000004</v>
      </c>
      <c r="CZ69" s="2">
        <f>(((S69+R69)*AU69)/100)</f>
        <v>194.28700000000001</v>
      </c>
      <c r="DA69" s="2"/>
      <c r="DB69" s="2"/>
      <c r="DC69" s="2" t="s">
        <v>3</v>
      </c>
      <c r="DD69" s="2" t="s">
        <v>3</v>
      </c>
      <c r="DE69" s="2" t="s">
        <v>3</v>
      </c>
      <c r="DF69" s="2" t="s">
        <v>3</v>
      </c>
      <c r="DG69" s="2" t="s">
        <v>3</v>
      </c>
      <c r="DH69" s="2" t="s">
        <v>3</v>
      </c>
      <c r="DI69" s="2" t="s">
        <v>3</v>
      </c>
      <c r="DJ69" s="2" t="s">
        <v>3</v>
      </c>
      <c r="DK69" s="2" t="s">
        <v>3</v>
      </c>
      <c r="DL69" s="2" t="s">
        <v>3</v>
      </c>
      <c r="DM69" s="2" t="s">
        <v>3</v>
      </c>
      <c r="DN69" s="2">
        <v>0</v>
      </c>
      <c r="DO69" s="2">
        <v>0</v>
      </c>
      <c r="DP69" s="2">
        <v>1</v>
      </c>
      <c r="DQ69" s="2">
        <v>1</v>
      </c>
      <c r="DR69" s="2"/>
      <c r="DS69" s="2"/>
      <c r="DT69" s="2"/>
      <c r="DU69" s="2">
        <v>1003</v>
      </c>
      <c r="DV69" s="2" t="s">
        <v>119</v>
      </c>
      <c r="DW69" s="2" t="s">
        <v>119</v>
      </c>
      <c r="DX69" s="2">
        <v>100</v>
      </c>
      <c r="DY69" s="2"/>
      <c r="DZ69" s="2" t="s">
        <v>3</v>
      </c>
      <c r="EA69" s="2" t="s">
        <v>3</v>
      </c>
      <c r="EB69" s="2" t="s">
        <v>3</v>
      </c>
      <c r="EC69" s="2" t="s">
        <v>3</v>
      </c>
      <c r="ED69" s="2"/>
      <c r="EE69" s="2">
        <v>72340632</v>
      </c>
      <c r="EF69" s="2">
        <v>2</v>
      </c>
      <c r="EG69" s="2" t="s">
        <v>23</v>
      </c>
      <c r="EH69" s="2">
        <v>18</v>
      </c>
      <c r="EI69" s="2" t="s">
        <v>41</v>
      </c>
      <c r="EJ69" s="2">
        <v>1</v>
      </c>
      <c r="EK69" s="2">
        <v>24001</v>
      </c>
      <c r="EL69" s="2" t="s">
        <v>41</v>
      </c>
      <c r="EM69" s="2" t="s">
        <v>121</v>
      </c>
      <c r="EN69" s="2"/>
      <c r="EO69" s="2" t="s">
        <v>3</v>
      </c>
      <c r="EP69" s="2"/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20.51</v>
      </c>
      <c r="EX69" s="2">
        <v>11.96</v>
      </c>
      <c r="EY69" s="2">
        <v>0</v>
      </c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>
        <v>0</v>
      </c>
      <c r="FR69" s="2">
        <v>0</v>
      </c>
      <c r="FS69" s="2">
        <v>0</v>
      </c>
      <c r="FT69" s="2"/>
      <c r="FU69" s="2"/>
      <c r="FV69" s="2"/>
      <c r="FW69" s="2"/>
      <c r="FX69" s="2">
        <v>117</v>
      </c>
      <c r="FY69" s="2">
        <v>74</v>
      </c>
      <c r="FZ69" s="2"/>
      <c r="GA69" s="2" t="s">
        <v>3</v>
      </c>
      <c r="GB69" s="2"/>
      <c r="GC69" s="2"/>
      <c r="GD69" s="2">
        <v>1</v>
      </c>
      <c r="GE69" s="2"/>
      <c r="GF69" s="2">
        <v>-46601497</v>
      </c>
      <c r="GG69" s="2">
        <v>2</v>
      </c>
      <c r="GH69" s="2">
        <v>1</v>
      </c>
      <c r="GI69" s="2">
        <v>-2</v>
      </c>
      <c r="GJ69" s="2">
        <v>0</v>
      </c>
      <c r="GK69" s="2">
        <v>0</v>
      </c>
      <c r="GL69" s="2">
        <f t="shared" ref="GL69:GL100" si="59">ROUND(IF(AND(BH69=3,BI69=3,FS69&lt;&gt;0),P69,0),2)</f>
        <v>0</v>
      </c>
      <c r="GM69" s="2">
        <f t="shared" ref="GM69:GM100" si="60">ROUND(O69+X69+Y69,2)+GX69</f>
        <v>1077.08</v>
      </c>
      <c r="GN69" s="2">
        <f t="shared" ref="GN69:GN100" si="61">IF(OR(BI69=0,BI69=1),GM69-GX69,0)</f>
        <v>1077.08</v>
      </c>
      <c r="GO69" s="2">
        <f t="shared" ref="GO69:GO100" si="62">IF(BI69=2,GM69-GX69,0)</f>
        <v>0</v>
      </c>
      <c r="GP69" s="2">
        <f t="shared" ref="GP69:GP100" si="63">IF(BI69=4,GM69-GX69,0)</f>
        <v>0</v>
      </c>
      <c r="GQ69" s="2"/>
      <c r="GR69" s="2">
        <v>0</v>
      </c>
      <c r="GS69" s="2">
        <v>3</v>
      </c>
      <c r="GT69" s="2">
        <v>0</v>
      </c>
      <c r="GU69" s="2" t="s">
        <v>3</v>
      </c>
      <c r="GV69" s="2">
        <f t="shared" ref="GV69:GV100" si="64">ROUND((GT69),6)</f>
        <v>0</v>
      </c>
      <c r="GW69" s="2">
        <v>1</v>
      </c>
      <c r="GX69" s="2">
        <f t="shared" ref="GX69:GX100" si="65">ROUND(HC69*I69,2)</f>
        <v>0</v>
      </c>
      <c r="GY69" s="2"/>
      <c r="GZ69" s="2"/>
      <c r="HA69" s="2">
        <v>0</v>
      </c>
      <c r="HB69" s="2">
        <v>0</v>
      </c>
      <c r="HC69" s="2">
        <f t="shared" ref="HC69:HC84" si="66">GV69*GW69</f>
        <v>0</v>
      </c>
      <c r="HD69" s="2"/>
      <c r="HE69" s="2" t="s">
        <v>3</v>
      </c>
      <c r="HF69" s="2" t="s">
        <v>3</v>
      </c>
      <c r="HG69" s="2"/>
      <c r="HH69" s="2"/>
      <c r="HI69" s="2"/>
      <c r="HJ69" s="2"/>
      <c r="HK69" s="2"/>
      <c r="HL69" s="2"/>
      <c r="HM69" s="2" t="s">
        <v>3</v>
      </c>
      <c r="HN69" s="2" t="s">
        <v>43</v>
      </c>
      <c r="HO69" s="2" t="s">
        <v>44</v>
      </c>
      <c r="HP69" s="2" t="s">
        <v>41</v>
      </c>
      <c r="HQ69" s="2" t="s">
        <v>41</v>
      </c>
      <c r="HR69" s="2"/>
      <c r="HS69" s="2">
        <v>0</v>
      </c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>
        <v>0</v>
      </c>
      <c r="IL69" s="2"/>
      <c r="IM69" s="2"/>
      <c r="IN69" s="2"/>
      <c r="IO69" s="2"/>
      <c r="IP69" s="2"/>
      <c r="IQ69" s="2"/>
      <c r="IR69" s="2"/>
      <c r="IS69" s="2"/>
      <c r="IT69" s="2"/>
      <c r="IU69" s="2"/>
    </row>
    <row r="70" spans="1:255" x14ac:dyDescent="0.2">
      <c r="A70" s="2">
        <v>18</v>
      </c>
      <c r="B70" s="2">
        <v>1</v>
      </c>
      <c r="C70" s="2">
        <v>24</v>
      </c>
      <c r="D70" s="2"/>
      <c r="E70" s="2" t="s">
        <v>122</v>
      </c>
      <c r="F70" s="2" t="s">
        <v>123</v>
      </c>
      <c r="G70" s="2" t="s">
        <v>124</v>
      </c>
      <c r="H70" s="2" t="s">
        <v>125</v>
      </c>
      <c r="I70" s="2">
        <f>I69*J70</f>
        <v>2</v>
      </c>
      <c r="J70" s="2">
        <v>100</v>
      </c>
      <c r="K70" s="2">
        <v>100</v>
      </c>
      <c r="L70" s="2"/>
      <c r="M70" s="2"/>
      <c r="N70" s="2"/>
      <c r="O70" s="2">
        <f t="shared" si="48"/>
        <v>402.1</v>
      </c>
      <c r="P70" s="2">
        <f>ROUND(CQ70*I70,2)</f>
        <v>402.1</v>
      </c>
      <c r="Q70" s="2">
        <f>ROUND(CR70*I70,2)</f>
        <v>0</v>
      </c>
      <c r="R70" s="2">
        <f>ROUND(CS70*I70,2)</f>
        <v>0</v>
      </c>
      <c r="S70" s="2">
        <f>ROUND(CT70*I70,2)</f>
        <v>0</v>
      </c>
      <c r="T70" s="2">
        <f t="shared" si="49"/>
        <v>0</v>
      </c>
      <c r="U70" s="2">
        <f>ROUND(CV70*I70,7)</f>
        <v>0</v>
      </c>
      <c r="V70" s="2">
        <f>ROUND(CW70*I70,7)</f>
        <v>0</v>
      </c>
      <c r="W70" s="2">
        <f t="shared" si="50"/>
        <v>0</v>
      </c>
      <c r="X70" s="2">
        <f t="shared" si="51"/>
        <v>0</v>
      </c>
      <c r="Y70" s="2">
        <f t="shared" si="52"/>
        <v>0</v>
      </c>
      <c r="Z70" s="2"/>
      <c r="AA70" s="2">
        <v>74014550</v>
      </c>
      <c r="AB70" s="2">
        <f t="shared" si="53"/>
        <v>201.05</v>
      </c>
      <c r="AC70" s="2">
        <f>ROUND((ES70),6)</f>
        <v>201.05</v>
      </c>
      <c r="AD70" s="2">
        <f>ROUND((((ET70)-(EU70))+AE70),6)</f>
        <v>0</v>
      </c>
      <c r="AE70" s="2">
        <f>ROUND((EU70),6)</f>
        <v>0</v>
      </c>
      <c r="AF70" s="2">
        <f>ROUND((EV70),6)</f>
        <v>0</v>
      </c>
      <c r="AG70" s="2">
        <f t="shared" si="54"/>
        <v>0</v>
      </c>
      <c r="AH70" s="2">
        <f>(EW70)</f>
        <v>0</v>
      </c>
      <c r="AI70" s="2">
        <f>(EX70)</f>
        <v>0</v>
      </c>
      <c r="AJ70" s="2">
        <f t="shared" si="55"/>
        <v>0</v>
      </c>
      <c r="AK70" s="2">
        <v>201.05</v>
      </c>
      <c r="AL70" s="2">
        <v>201.05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117</v>
      </c>
      <c r="AU70" s="2">
        <v>74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3</v>
      </c>
      <c r="BI70" s="2">
        <v>1</v>
      </c>
      <c r="BJ70" s="2" t="s">
        <v>126</v>
      </c>
      <c r="BK70" s="2"/>
      <c r="BL70" s="2"/>
      <c r="BM70" s="2">
        <v>24001</v>
      </c>
      <c r="BN70" s="2">
        <v>0</v>
      </c>
      <c r="BO70" s="2" t="s">
        <v>3</v>
      </c>
      <c r="BP70" s="2">
        <v>0</v>
      </c>
      <c r="BQ70" s="2">
        <v>2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117</v>
      </c>
      <c r="CA70" s="2">
        <v>74</v>
      </c>
      <c r="CB70" s="2" t="s">
        <v>3</v>
      </c>
      <c r="CC70" s="2"/>
      <c r="CD70" s="2"/>
      <c r="CE70" s="2">
        <v>0</v>
      </c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3</v>
      </c>
      <c r="CO70" s="2">
        <v>0</v>
      </c>
      <c r="CP70" s="2">
        <f t="shared" si="56"/>
        <v>402.1</v>
      </c>
      <c r="CQ70" s="2">
        <f>ROUND(AL70*BC70,2)</f>
        <v>201.05</v>
      </c>
      <c r="CR70" s="2">
        <f>ROUND(AM70*BB70,2)</f>
        <v>0</v>
      </c>
      <c r="CS70" s="2">
        <f>ROUND(AN70*BS70,2)</f>
        <v>0</v>
      </c>
      <c r="CT70" s="2">
        <f>ROUND(AO70*BA70,2)</f>
        <v>0</v>
      </c>
      <c r="CU70" s="2">
        <f t="shared" si="57"/>
        <v>0</v>
      </c>
      <c r="CV70" s="2">
        <f>AH70</f>
        <v>0</v>
      </c>
      <c r="CW70" s="2">
        <f>AI70</f>
        <v>0</v>
      </c>
      <c r="CX70" s="2">
        <f t="shared" si="58"/>
        <v>0</v>
      </c>
      <c r="CY70" s="2">
        <f>(((S70+R70)*AT70)/100)</f>
        <v>0</v>
      </c>
      <c r="CZ70" s="2">
        <f>(((S70+R70)*AU70)/100)</f>
        <v>0</v>
      </c>
      <c r="DA70" s="2"/>
      <c r="DB70" s="2"/>
      <c r="DC70" s="2" t="s">
        <v>3</v>
      </c>
      <c r="DD70" s="2" t="s">
        <v>3</v>
      </c>
      <c r="DE70" s="2" t="s">
        <v>3</v>
      </c>
      <c r="DF70" s="2" t="s">
        <v>3</v>
      </c>
      <c r="DG70" s="2" t="s">
        <v>3</v>
      </c>
      <c r="DH70" s="2" t="s">
        <v>3</v>
      </c>
      <c r="DI70" s="2" t="s">
        <v>3</v>
      </c>
      <c r="DJ70" s="2" t="s">
        <v>3</v>
      </c>
      <c r="DK70" s="2" t="s">
        <v>3</v>
      </c>
      <c r="DL70" s="2" t="s">
        <v>3</v>
      </c>
      <c r="DM70" s="2" t="s">
        <v>3</v>
      </c>
      <c r="DN70" s="2">
        <v>0</v>
      </c>
      <c r="DO70" s="2">
        <v>0</v>
      </c>
      <c r="DP70" s="2">
        <v>1</v>
      </c>
      <c r="DQ70" s="2">
        <v>1</v>
      </c>
      <c r="DR70" s="2"/>
      <c r="DS70" s="2"/>
      <c r="DT70" s="2"/>
      <c r="DU70" s="2">
        <v>1003</v>
      </c>
      <c r="DV70" s="2" t="s">
        <v>125</v>
      </c>
      <c r="DW70" s="2" t="s">
        <v>125</v>
      </c>
      <c r="DX70" s="2">
        <v>1</v>
      </c>
      <c r="DY70" s="2"/>
      <c r="DZ70" s="2" t="s">
        <v>3</v>
      </c>
      <c r="EA70" s="2" t="s">
        <v>3</v>
      </c>
      <c r="EB70" s="2" t="s">
        <v>3</v>
      </c>
      <c r="EC70" s="2" t="s">
        <v>3</v>
      </c>
      <c r="ED70" s="2"/>
      <c r="EE70" s="2">
        <v>72340632</v>
      </c>
      <c r="EF70" s="2">
        <v>2</v>
      </c>
      <c r="EG70" s="2" t="s">
        <v>23</v>
      </c>
      <c r="EH70" s="2">
        <v>18</v>
      </c>
      <c r="EI70" s="2" t="s">
        <v>41</v>
      </c>
      <c r="EJ70" s="2">
        <v>1</v>
      </c>
      <c r="EK70" s="2">
        <v>24001</v>
      </c>
      <c r="EL70" s="2" t="s">
        <v>41</v>
      </c>
      <c r="EM70" s="2" t="s">
        <v>121</v>
      </c>
      <c r="EN70" s="2"/>
      <c r="EO70" s="2" t="s">
        <v>3</v>
      </c>
      <c r="EP70" s="2"/>
      <c r="EQ70" s="2">
        <v>0</v>
      </c>
      <c r="ER70" s="2">
        <v>201.05</v>
      </c>
      <c r="ES70" s="2">
        <v>201.05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v>0</v>
      </c>
      <c r="FS70" s="2">
        <v>0</v>
      </c>
      <c r="FT70" s="2"/>
      <c r="FU70" s="2"/>
      <c r="FV70" s="2"/>
      <c r="FW70" s="2"/>
      <c r="FX70" s="2">
        <v>117</v>
      </c>
      <c r="FY70" s="2">
        <v>74</v>
      </c>
      <c r="FZ70" s="2"/>
      <c r="GA70" s="2" t="s">
        <v>3</v>
      </c>
      <c r="GB70" s="2"/>
      <c r="GC70" s="2"/>
      <c r="GD70" s="2">
        <v>1</v>
      </c>
      <c r="GE70" s="2">
        <v>225.92</v>
      </c>
      <c r="GF70" s="2">
        <v>918212004</v>
      </c>
      <c r="GG70" s="2">
        <v>2</v>
      </c>
      <c r="GH70" s="2">
        <v>1</v>
      </c>
      <c r="GI70" s="2">
        <v>-2</v>
      </c>
      <c r="GJ70" s="2">
        <v>0</v>
      </c>
      <c r="GK70" s="2">
        <v>0</v>
      </c>
      <c r="GL70" s="2">
        <f t="shared" si="59"/>
        <v>0</v>
      </c>
      <c r="GM70" s="2">
        <f t="shared" si="60"/>
        <v>402.1</v>
      </c>
      <c r="GN70" s="2">
        <f t="shared" si="61"/>
        <v>402.1</v>
      </c>
      <c r="GO70" s="2">
        <f t="shared" si="62"/>
        <v>0</v>
      </c>
      <c r="GP70" s="2">
        <f t="shared" si="63"/>
        <v>0</v>
      </c>
      <c r="GQ70" s="2"/>
      <c r="GR70" s="2">
        <v>3</v>
      </c>
      <c r="GS70" s="2">
        <v>3</v>
      </c>
      <c r="GT70" s="2">
        <v>0</v>
      </c>
      <c r="GU70" s="2" t="s">
        <v>3</v>
      </c>
      <c r="GV70" s="2">
        <f t="shared" si="64"/>
        <v>0</v>
      </c>
      <c r="GW70" s="2">
        <v>1</v>
      </c>
      <c r="GX70" s="2">
        <f t="shared" si="65"/>
        <v>0</v>
      </c>
      <c r="GY70" s="2"/>
      <c r="GZ70" s="2"/>
      <c r="HA70" s="2">
        <v>0</v>
      </c>
      <c r="HB70" s="2">
        <v>0</v>
      </c>
      <c r="HC70" s="2">
        <f t="shared" si="66"/>
        <v>0</v>
      </c>
      <c r="HD70" s="2"/>
      <c r="HE70" s="2" t="s">
        <v>3</v>
      </c>
      <c r="HF70" s="2" t="s">
        <v>3</v>
      </c>
      <c r="HG70" s="2"/>
      <c r="HH70" s="2"/>
      <c r="HI70" s="2"/>
      <c r="HJ70" s="2"/>
      <c r="HK70" s="2"/>
      <c r="HL70" s="2"/>
      <c r="HM70" s="2" t="s">
        <v>3</v>
      </c>
      <c r="HN70" s="2" t="s">
        <v>43</v>
      </c>
      <c r="HO70" s="2" t="s">
        <v>44</v>
      </c>
      <c r="HP70" s="2" t="s">
        <v>41</v>
      </c>
      <c r="HQ70" s="2" t="s">
        <v>41</v>
      </c>
      <c r="HR70" s="2"/>
      <c r="HS70" s="2">
        <v>0</v>
      </c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x14ac:dyDescent="0.2">
      <c r="A71" s="2">
        <v>17</v>
      </c>
      <c r="B71" s="2">
        <v>1</v>
      </c>
      <c r="C71" s="2">
        <f>ROW(SmtRes!A40)</f>
        <v>40</v>
      </c>
      <c r="D71" s="2">
        <f>ROW(EtalonRes!A42)</f>
        <v>42</v>
      </c>
      <c r="E71" s="2" t="s">
        <v>127</v>
      </c>
      <c r="F71" s="2" t="s">
        <v>128</v>
      </c>
      <c r="G71" s="2" t="s">
        <v>129</v>
      </c>
      <c r="H71" s="2" t="s">
        <v>130</v>
      </c>
      <c r="I71" s="2">
        <v>1</v>
      </c>
      <c r="J71" s="2">
        <v>0</v>
      </c>
      <c r="K71" s="2">
        <v>1</v>
      </c>
      <c r="L71" s="2"/>
      <c r="M71" s="2"/>
      <c r="N71" s="2"/>
      <c r="O71" s="2">
        <f t="shared" si="48"/>
        <v>4393.74</v>
      </c>
      <c r="P71" s="2">
        <f>SUMIF(SmtRes!AQ25:'SmtRes'!AQ40,"=1",SmtRes!DF25:'SmtRes'!DF40)</f>
        <v>1591.9199999999998</v>
      </c>
      <c r="Q71" s="2">
        <f>SUMIF(SmtRes!AQ25:'SmtRes'!AQ40,"=1",SmtRes!DG25:'SmtRes'!DG40)</f>
        <v>203.84</v>
      </c>
      <c r="R71" s="2">
        <f>SUMIF(SmtRes!AQ25:'SmtRes'!AQ40,"=1",SmtRes!DH25:'SmtRes'!DH40)</f>
        <v>56.03</v>
      </c>
      <c r="S71" s="2">
        <f>SUMIF(SmtRes!AQ25:'SmtRes'!AQ40,"=1",SmtRes!DI25:'SmtRes'!DI40)</f>
        <v>2541.9499999999998</v>
      </c>
      <c r="T71" s="2">
        <f t="shared" si="49"/>
        <v>0</v>
      </c>
      <c r="U71" s="2">
        <f>SUMIF(SmtRes!AQ25:'SmtRes'!AQ40,"=1",SmtRes!CV25:'SmtRes'!CV40)</f>
        <v>5.91</v>
      </c>
      <c r="V71" s="2">
        <f>SUMIF(SmtRes!AQ25:'SmtRes'!AQ40,"=1",SmtRes!CW25:'SmtRes'!CW40)</f>
        <v>0.14000000000000001</v>
      </c>
      <c r="W71" s="2">
        <f t="shared" si="50"/>
        <v>0</v>
      </c>
      <c r="X71" s="2">
        <f t="shared" si="51"/>
        <v>3039.64</v>
      </c>
      <c r="Y71" s="2">
        <f t="shared" si="52"/>
        <v>1922.51</v>
      </c>
      <c r="Z71" s="2"/>
      <c r="AA71" s="2">
        <v>74014550</v>
      </c>
      <c r="AB71" s="2">
        <f t="shared" si="53"/>
        <v>4295.2856389999997</v>
      </c>
      <c r="AC71" s="2">
        <f>ROUND((SUM(SmtRes!BQ25:'SmtRes'!BQ40)),6)</f>
        <v>1550.541039</v>
      </c>
      <c r="AD71" s="2">
        <f>ROUND((((SUM(SmtRes!BR25:'SmtRes'!BR40))-(SUM(SmtRes!BS25:'SmtRes'!BS40)))+AE71),6)</f>
        <v>202.7945</v>
      </c>
      <c r="AE71" s="2">
        <f>ROUND((SUM(SmtRes!BS25:'SmtRes'!BS40)),6)</f>
        <v>56.0336</v>
      </c>
      <c r="AF71" s="2">
        <f>ROUND((SUM(SmtRes!BT25:'SmtRes'!BT40)),6)</f>
        <v>2541.9501</v>
      </c>
      <c r="AG71" s="2">
        <f t="shared" si="54"/>
        <v>0</v>
      </c>
      <c r="AH71" s="2">
        <f>(SUM(SmtRes!BU25:'SmtRes'!BU40))</f>
        <v>5.91</v>
      </c>
      <c r="AI71" s="2">
        <f>(SUM(SmtRes!BV25:'SmtRes'!BV40))</f>
        <v>0.14000000000000001</v>
      </c>
      <c r="AJ71" s="2">
        <f t="shared" si="55"/>
        <v>0</v>
      </c>
      <c r="AK71" s="2">
        <v>4351.3192393999998</v>
      </c>
      <c r="AL71" s="2">
        <v>1550.5410393999998</v>
      </c>
      <c r="AM71" s="2">
        <v>202.79450000000003</v>
      </c>
      <c r="AN71" s="2">
        <v>56.033600000000007</v>
      </c>
      <c r="AO71" s="2">
        <v>2541.9501</v>
      </c>
      <c r="AP71" s="2">
        <v>0</v>
      </c>
      <c r="AQ71" s="2">
        <v>5.91</v>
      </c>
      <c r="AR71" s="2">
        <v>0.14000000000000001</v>
      </c>
      <c r="AS71" s="2">
        <v>0</v>
      </c>
      <c r="AT71" s="2">
        <v>117</v>
      </c>
      <c r="AU71" s="2">
        <v>74</v>
      </c>
      <c r="AV71" s="2">
        <v>1</v>
      </c>
      <c r="AW71" s="2">
        <v>1</v>
      </c>
      <c r="AX71" s="2"/>
      <c r="AY71" s="2"/>
      <c r="AZ71" s="2">
        <v>1</v>
      </c>
      <c r="BA71" s="2">
        <v>1</v>
      </c>
      <c r="BB71" s="2">
        <v>1</v>
      </c>
      <c r="BC71" s="2">
        <v>1</v>
      </c>
      <c r="BD71" s="2" t="s">
        <v>3</v>
      </c>
      <c r="BE71" s="2" t="s">
        <v>3</v>
      </c>
      <c r="BF71" s="2" t="s">
        <v>3</v>
      </c>
      <c r="BG71" s="2" t="s">
        <v>3</v>
      </c>
      <c r="BH71" s="2">
        <v>0</v>
      </c>
      <c r="BI71" s="2">
        <v>1</v>
      </c>
      <c r="BJ71" s="2" t="s">
        <v>131</v>
      </c>
      <c r="BK71" s="2"/>
      <c r="BL71" s="2"/>
      <c r="BM71" s="2">
        <v>24001</v>
      </c>
      <c r="BN71" s="2">
        <v>0</v>
      </c>
      <c r="BO71" s="2" t="s">
        <v>3</v>
      </c>
      <c r="BP71" s="2">
        <v>0</v>
      </c>
      <c r="BQ71" s="2">
        <v>2</v>
      </c>
      <c r="BR71" s="2">
        <v>0</v>
      </c>
      <c r="BS71" s="2">
        <v>1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 t="s">
        <v>3</v>
      </c>
      <c r="BZ71" s="2">
        <v>117</v>
      </c>
      <c r="CA71" s="2">
        <v>74</v>
      </c>
      <c r="CB71" s="2" t="s">
        <v>3</v>
      </c>
      <c r="CC71" s="2"/>
      <c r="CD71" s="2"/>
      <c r="CE71" s="2">
        <v>0</v>
      </c>
      <c r="CF71" s="2">
        <v>0</v>
      </c>
      <c r="CG71" s="2">
        <v>0</v>
      </c>
      <c r="CH71" s="2"/>
      <c r="CI71" s="2"/>
      <c r="CJ71" s="2"/>
      <c r="CK71" s="2"/>
      <c r="CL71" s="2"/>
      <c r="CM71" s="2">
        <v>0</v>
      </c>
      <c r="CN71" s="2" t="s">
        <v>3</v>
      </c>
      <c r="CO71" s="2">
        <v>0</v>
      </c>
      <c r="CP71" s="2">
        <f t="shared" si="56"/>
        <v>4393.7399999999989</v>
      </c>
      <c r="CQ71" s="2">
        <f>SUMIF(SmtRes!AQ25:'SmtRes'!AQ40,"=1",SmtRes!AA25:'SmtRes'!AA40)</f>
        <v>725440.17000000016</v>
      </c>
      <c r="CR71" s="2">
        <f>SUMIF(SmtRes!AQ25:'SmtRes'!AQ40,"=1",SmtRes!AB25:'SmtRes'!AB40)</f>
        <v>705.48</v>
      </c>
      <c r="CS71" s="2">
        <f>SUMIF(SmtRes!AQ25:'SmtRes'!AQ40,"=1",SmtRes!AC25:'SmtRes'!AC40)</f>
        <v>400.24</v>
      </c>
      <c r="CT71" s="2">
        <f>SUMIF(SmtRes!AQ25:'SmtRes'!AQ40,"=1",SmtRes!AD25:'SmtRes'!AD40)</f>
        <v>430.11</v>
      </c>
      <c r="CU71" s="2">
        <f t="shared" si="57"/>
        <v>0</v>
      </c>
      <c r="CV71" s="2">
        <f>SUMIF(SmtRes!AQ25:'SmtRes'!AQ40,"=1",SmtRes!BU25:'SmtRes'!BU40)</f>
        <v>5.91</v>
      </c>
      <c r="CW71" s="2">
        <f>SUMIF(SmtRes!AQ25:'SmtRes'!AQ40,"=1",SmtRes!BV25:'SmtRes'!BV40)</f>
        <v>0.14000000000000001</v>
      </c>
      <c r="CX71" s="2">
        <f t="shared" si="58"/>
        <v>0</v>
      </c>
      <c r="CY71" s="2">
        <f>(((S71+R71)*AT71)/100)</f>
        <v>3039.6365999999998</v>
      </c>
      <c r="CZ71" s="2">
        <f>(((S71+R71)*AU71)/100)</f>
        <v>1922.5051999999998</v>
      </c>
      <c r="DA71" s="2"/>
      <c r="DB71" s="2"/>
      <c r="DC71" s="2" t="s">
        <v>3</v>
      </c>
      <c r="DD71" s="2" t="s">
        <v>3</v>
      </c>
      <c r="DE71" s="2" t="s">
        <v>3</v>
      </c>
      <c r="DF71" s="2" t="s">
        <v>3</v>
      </c>
      <c r="DG71" s="2" t="s">
        <v>3</v>
      </c>
      <c r="DH71" s="2" t="s">
        <v>3</v>
      </c>
      <c r="DI71" s="2" t="s">
        <v>3</v>
      </c>
      <c r="DJ71" s="2" t="s">
        <v>3</v>
      </c>
      <c r="DK71" s="2" t="s">
        <v>3</v>
      </c>
      <c r="DL71" s="2" t="s">
        <v>3</v>
      </c>
      <c r="DM71" s="2" t="s">
        <v>3</v>
      </c>
      <c r="DN71" s="2">
        <v>0</v>
      </c>
      <c r="DO71" s="2">
        <v>0</v>
      </c>
      <c r="DP71" s="2">
        <v>1</v>
      </c>
      <c r="DQ71" s="2">
        <v>1</v>
      </c>
      <c r="DR71" s="2"/>
      <c r="DS71" s="2"/>
      <c r="DT71" s="2"/>
      <c r="DU71" s="2">
        <v>1013</v>
      </c>
      <c r="DV71" s="2" t="s">
        <v>130</v>
      </c>
      <c r="DW71" s="2" t="s">
        <v>130</v>
      </c>
      <c r="DX71" s="2">
        <v>1</v>
      </c>
      <c r="DY71" s="2"/>
      <c r="DZ71" s="2" t="s">
        <v>3</v>
      </c>
      <c r="EA71" s="2" t="s">
        <v>3</v>
      </c>
      <c r="EB71" s="2" t="s">
        <v>3</v>
      </c>
      <c r="EC71" s="2" t="s">
        <v>3</v>
      </c>
      <c r="ED71" s="2"/>
      <c r="EE71" s="2">
        <v>72340632</v>
      </c>
      <c r="EF71" s="2">
        <v>2</v>
      </c>
      <c r="EG71" s="2" t="s">
        <v>23</v>
      </c>
      <c r="EH71" s="2">
        <v>18</v>
      </c>
      <c r="EI71" s="2" t="s">
        <v>41</v>
      </c>
      <c r="EJ71" s="2">
        <v>1</v>
      </c>
      <c r="EK71" s="2">
        <v>24001</v>
      </c>
      <c r="EL71" s="2" t="s">
        <v>41</v>
      </c>
      <c r="EM71" s="2" t="s">
        <v>121</v>
      </c>
      <c r="EN71" s="2"/>
      <c r="EO71" s="2" t="s">
        <v>3</v>
      </c>
      <c r="EP71" s="2"/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5.91</v>
      </c>
      <c r="EX71" s="2">
        <v>0.14000000000000001</v>
      </c>
      <c r="EY71" s="2">
        <v>0</v>
      </c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>
        <v>0</v>
      </c>
      <c r="FR71" s="2">
        <v>0</v>
      </c>
      <c r="FS71" s="2">
        <v>0</v>
      </c>
      <c r="FT71" s="2"/>
      <c r="FU71" s="2"/>
      <c r="FV71" s="2"/>
      <c r="FW71" s="2"/>
      <c r="FX71" s="2">
        <v>117</v>
      </c>
      <c r="FY71" s="2">
        <v>74</v>
      </c>
      <c r="FZ71" s="2"/>
      <c r="GA71" s="2" t="s">
        <v>3</v>
      </c>
      <c r="GB71" s="2"/>
      <c r="GC71" s="2"/>
      <c r="GD71" s="2">
        <v>1</v>
      </c>
      <c r="GE71" s="2"/>
      <c r="GF71" s="2">
        <v>1113030288</v>
      </c>
      <c r="GG71" s="2">
        <v>2</v>
      </c>
      <c r="GH71" s="2">
        <v>1</v>
      </c>
      <c r="GI71" s="2">
        <v>-2</v>
      </c>
      <c r="GJ71" s="2">
        <v>0</v>
      </c>
      <c r="GK71" s="2">
        <v>0</v>
      </c>
      <c r="GL71" s="2">
        <f t="shared" si="59"/>
        <v>0</v>
      </c>
      <c r="GM71" s="2">
        <f t="shared" si="60"/>
        <v>9355.89</v>
      </c>
      <c r="GN71" s="2">
        <f t="shared" si="61"/>
        <v>9355.89</v>
      </c>
      <c r="GO71" s="2">
        <f t="shared" si="62"/>
        <v>0</v>
      </c>
      <c r="GP71" s="2">
        <f t="shared" si="63"/>
        <v>0</v>
      </c>
      <c r="GQ71" s="2"/>
      <c r="GR71" s="2">
        <v>0</v>
      </c>
      <c r="GS71" s="2">
        <v>3</v>
      </c>
      <c r="GT71" s="2">
        <v>0</v>
      </c>
      <c r="GU71" s="2" t="s">
        <v>3</v>
      </c>
      <c r="GV71" s="2">
        <f t="shared" si="64"/>
        <v>0</v>
      </c>
      <c r="GW71" s="2">
        <v>1</v>
      </c>
      <c r="GX71" s="2">
        <f t="shared" si="65"/>
        <v>0</v>
      </c>
      <c r="GY71" s="2"/>
      <c r="GZ71" s="2"/>
      <c r="HA71" s="2">
        <v>0</v>
      </c>
      <c r="HB71" s="2">
        <v>0</v>
      </c>
      <c r="HC71" s="2">
        <f t="shared" si="66"/>
        <v>0</v>
      </c>
      <c r="HD71" s="2"/>
      <c r="HE71" s="2" t="s">
        <v>3</v>
      </c>
      <c r="HF71" s="2" t="s">
        <v>3</v>
      </c>
      <c r="HG71" s="2"/>
      <c r="HH71" s="2"/>
      <c r="HI71" s="2"/>
      <c r="HJ71" s="2"/>
      <c r="HK71" s="2"/>
      <c r="HL71" s="2"/>
      <c r="HM71" s="2" t="s">
        <v>3</v>
      </c>
      <c r="HN71" s="2" t="s">
        <v>43</v>
      </c>
      <c r="HO71" s="2" t="s">
        <v>44</v>
      </c>
      <c r="HP71" s="2" t="s">
        <v>41</v>
      </c>
      <c r="HQ71" s="2" t="s">
        <v>41</v>
      </c>
      <c r="HR71" s="2"/>
      <c r="HS71" s="2">
        <v>0</v>
      </c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>
        <v>0</v>
      </c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 x14ac:dyDescent="0.2">
      <c r="A72" s="2">
        <v>17</v>
      </c>
      <c r="B72" s="2">
        <v>1</v>
      </c>
      <c r="C72" s="2"/>
      <c r="D72" s="2"/>
      <c r="E72" s="2" t="s">
        <v>132</v>
      </c>
      <c r="F72" s="2" t="s">
        <v>133</v>
      </c>
      <c r="G72" s="2" t="s">
        <v>134</v>
      </c>
      <c r="H72" s="2" t="s">
        <v>130</v>
      </c>
      <c r="I72" s="2">
        <v>1</v>
      </c>
      <c r="J72" s="2">
        <v>0</v>
      </c>
      <c r="K72" s="2">
        <v>1</v>
      </c>
      <c r="L72" s="2"/>
      <c r="M72" s="2"/>
      <c r="N72" s="2"/>
      <c r="O72" s="2">
        <f t="shared" si="48"/>
        <v>10322.4</v>
      </c>
      <c r="P72" s="2">
        <f>ROUND(CQ72*I72,2)</f>
        <v>10322.4</v>
      </c>
      <c r="Q72" s="2">
        <f>ROUND(CR72*I72,2)</f>
        <v>0</v>
      </c>
      <c r="R72" s="2">
        <f>ROUND(CS72*I72,2)</f>
        <v>0</v>
      </c>
      <c r="S72" s="2">
        <f>ROUND(CT72*I72,2)</f>
        <v>0</v>
      </c>
      <c r="T72" s="2">
        <f t="shared" si="49"/>
        <v>0</v>
      </c>
      <c r="U72" s="2">
        <f>ROUND(CV72*I72,7)</f>
        <v>0</v>
      </c>
      <c r="V72" s="2">
        <f>ROUND(CW72*I72,7)</f>
        <v>0</v>
      </c>
      <c r="W72" s="2">
        <f t="shared" si="50"/>
        <v>0</v>
      </c>
      <c r="X72" s="2">
        <f t="shared" si="51"/>
        <v>0</v>
      </c>
      <c r="Y72" s="2">
        <f t="shared" si="52"/>
        <v>0</v>
      </c>
      <c r="Z72" s="2"/>
      <c r="AA72" s="2">
        <v>74014550</v>
      </c>
      <c r="AB72" s="2">
        <f t="shared" si="53"/>
        <v>8460.98</v>
      </c>
      <c r="AC72" s="2">
        <f>ROUND((ES72),6)</f>
        <v>8460.98</v>
      </c>
      <c r="AD72" s="2">
        <f>ROUND((((ET72)-(EU72))+AE72),6)</f>
        <v>0</v>
      </c>
      <c r="AE72" s="2">
        <f>ROUND((EU72),6)</f>
        <v>0</v>
      </c>
      <c r="AF72" s="2">
        <f>ROUND((EV72),6)</f>
        <v>0</v>
      </c>
      <c r="AG72" s="2">
        <f t="shared" si="54"/>
        <v>0</v>
      </c>
      <c r="AH72" s="2">
        <f>(EW72)</f>
        <v>0</v>
      </c>
      <c r="AI72" s="2">
        <f>(EX72)</f>
        <v>0</v>
      </c>
      <c r="AJ72" s="2">
        <f t="shared" si="55"/>
        <v>0</v>
      </c>
      <c r="AK72" s="2">
        <v>8460.98</v>
      </c>
      <c r="AL72" s="2">
        <v>8460.98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1.22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3</v>
      </c>
      <c r="BI72" s="2">
        <v>1</v>
      </c>
      <c r="BJ72" s="2" t="s">
        <v>135</v>
      </c>
      <c r="BK72" s="2"/>
      <c r="BL72" s="2"/>
      <c r="BM72" s="2">
        <v>500001</v>
      </c>
      <c r="BN72" s="2">
        <v>0</v>
      </c>
      <c r="BO72" s="2" t="s">
        <v>133</v>
      </c>
      <c r="BP72" s="2">
        <v>1</v>
      </c>
      <c r="BQ72" s="2">
        <v>8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0</v>
      </c>
      <c r="CA72" s="2">
        <v>0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56"/>
        <v>10322.4</v>
      </c>
      <c r="CQ72" s="2">
        <f>ROUND(AL72*BC72,2)</f>
        <v>10322.4</v>
      </c>
      <c r="CR72" s="2">
        <f>ROUND(AM72*BB72,2)</f>
        <v>0</v>
      </c>
      <c r="CS72" s="2">
        <f>ROUND(AN72*BS72,2)</f>
        <v>0</v>
      </c>
      <c r="CT72" s="2">
        <f>ROUND(AO72*BA72,2)</f>
        <v>0</v>
      </c>
      <c r="CU72" s="2">
        <f t="shared" si="57"/>
        <v>0</v>
      </c>
      <c r="CV72" s="2">
        <f>AH72</f>
        <v>0</v>
      </c>
      <c r="CW72" s="2">
        <f>AI72</f>
        <v>0</v>
      </c>
      <c r="CX72" s="2">
        <f t="shared" si="58"/>
        <v>0</v>
      </c>
      <c r="CY72" s="2">
        <f>0</f>
        <v>0</v>
      </c>
      <c r="CZ72" s="2">
        <f>0</f>
        <v>0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1013</v>
      </c>
      <c r="DV72" s="2" t="s">
        <v>130</v>
      </c>
      <c r="DW72" s="2" t="s">
        <v>130</v>
      </c>
      <c r="DX72" s="2">
        <v>1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72340530</v>
      </c>
      <c r="EF72" s="2">
        <v>8</v>
      </c>
      <c r="EG72" s="2" t="s">
        <v>50</v>
      </c>
      <c r="EH72" s="2">
        <v>0</v>
      </c>
      <c r="EI72" s="2" t="s">
        <v>3</v>
      </c>
      <c r="EJ72" s="2">
        <v>1</v>
      </c>
      <c r="EK72" s="2">
        <v>500001</v>
      </c>
      <c r="EL72" s="2" t="s">
        <v>51</v>
      </c>
      <c r="EM72" s="2" t="s">
        <v>52</v>
      </c>
      <c r="EN72" s="2"/>
      <c r="EO72" s="2" t="s">
        <v>3</v>
      </c>
      <c r="EP72" s="2"/>
      <c r="EQ72" s="2">
        <v>0</v>
      </c>
      <c r="ER72" s="2">
        <v>8460.98</v>
      </c>
      <c r="ES72" s="2">
        <v>8460.98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0</v>
      </c>
      <c r="FY72" s="2">
        <v>0</v>
      </c>
      <c r="FZ72" s="2"/>
      <c r="GA72" s="2" t="s">
        <v>3</v>
      </c>
      <c r="GB72" s="2"/>
      <c r="GC72" s="2"/>
      <c r="GD72" s="2">
        <v>1</v>
      </c>
      <c r="GE72" s="2"/>
      <c r="GF72" s="2">
        <v>-1359572944</v>
      </c>
      <c r="GG72" s="2">
        <v>2</v>
      </c>
      <c r="GH72" s="2">
        <v>1</v>
      </c>
      <c r="GI72" s="2">
        <v>2</v>
      </c>
      <c r="GJ72" s="2">
        <v>0</v>
      </c>
      <c r="GK72" s="2">
        <v>0</v>
      </c>
      <c r="GL72" s="2">
        <f t="shared" si="59"/>
        <v>0</v>
      </c>
      <c r="GM72" s="2">
        <f t="shared" si="60"/>
        <v>10322.4</v>
      </c>
      <c r="GN72" s="2">
        <f t="shared" si="61"/>
        <v>10322.4</v>
      </c>
      <c r="GO72" s="2">
        <f t="shared" si="62"/>
        <v>0</v>
      </c>
      <c r="GP72" s="2">
        <f t="shared" si="63"/>
        <v>0</v>
      </c>
      <c r="GQ72" s="2"/>
      <c r="GR72" s="2">
        <v>0</v>
      </c>
      <c r="GS72" s="2">
        <v>3</v>
      </c>
      <c r="GT72" s="2">
        <v>0</v>
      </c>
      <c r="GU72" s="2" t="s">
        <v>3</v>
      </c>
      <c r="GV72" s="2">
        <f t="shared" si="64"/>
        <v>0</v>
      </c>
      <c r="GW72" s="2">
        <v>1</v>
      </c>
      <c r="GX72" s="2">
        <f t="shared" si="65"/>
        <v>0</v>
      </c>
      <c r="GY72" s="2"/>
      <c r="GZ72" s="2"/>
      <c r="HA72" s="2">
        <v>0</v>
      </c>
      <c r="HB72" s="2">
        <v>0</v>
      </c>
      <c r="HC72" s="2">
        <f t="shared" si="66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3</v>
      </c>
      <c r="HO72" s="2" t="s">
        <v>3</v>
      </c>
      <c r="HP72" s="2" t="s">
        <v>3</v>
      </c>
      <c r="HQ72" s="2" t="s">
        <v>3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 s="2">
        <v>17</v>
      </c>
      <c r="B73" s="2">
        <v>1</v>
      </c>
      <c r="C73" s="2">
        <f>ROW(SmtRes!A45)</f>
        <v>45</v>
      </c>
      <c r="D73" s="2">
        <f>ROW(EtalonRes!A47)</f>
        <v>47</v>
      </c>
      <c r="E73" s="2" t="s">
        <v>136</v>
      </c>
      <c r="F73" s="2" t="s">
        <v>137</v>
      </c>
      <c r="G73" s="2" t="s">
        <v>138</v>
      </c>
      <c r="H73" s="2" t="s">
        <v>119</v>
      </c>
      <c r="I73" s="2">
        <f>ROUND(83/100,7)</f>
        <v>0.83</v>
      </c>
      <c r="J73" s="2">
        <v>0</v>
      </c>
      <c r="K73" s="2">
        <f>ROUND(83/100,7)</f>
        <v>0.83</v>
      </c>
      <c r="L73" s="2"/>
      <c r="M73" s="2"/>
      <c r="N73" s="2"/>
      <c r="O73" s="2">
        <f t="shared" si="48"/>
        <v>2461.92</v>
      </c>
      <c r="P73" s="2">
        <f>SUMIF(SmtRes!AQ41:'SmtRes'!AQ45,"=1",SmtRes!DF41:'SmtRes'!DF45)</f>
        <v>0</v>
      </c>
      <c r="Q73" s="2">
        <f>SUMIF(SmtRes!AQ41:'SmtRes'!AQ45,"=1",SmtRes!DG41:'SmtRes'!DG45)</f>
        <v>370.53</v>
      </c>
      <c r="R73" s="2">
        <f>SUMIF(SmtRes!AQ41:'SmtRes'!AQ45,"=1",SmtRes!DH41:'SmtRes'!DH45)</f>
        <v>0</v>
      </c>
      <c r="S73" s="2">
        <f>SUMIF(SmtRes!AQ41:'SmtRes'!AQ45,"=1",SmtRes!DI41:'SmtRes'!DI45)</f>
        <v>2091.39</v>
      </c>
      <c r="T73" s="2">
        <f t="shared" si="49"/>
        <v>0</v>
      </c>
      <c r="U73" s="2">
        <f>SUMIF(SmtRes!AQ41:'SmtRes'!AQ45,"=1",SmtRes!CV41:'SmtRes'!CV45)</f>
        <v>4.7309999999999999</v>
      </c>
      <c r="V73" s="2">
        <f>SUMIF(SmtRes!AQ41:'SmtRes'!AQ45,"=1",SmtRes!CW41:'SmtRes'!CW45)</f>
        <v>0</v>
      </c>
      <c r="W73" s="2">
        <f t="shared" si="50"/>
        <v>0</v>
      </c>
      <c r="X73" s="2">
        <f t="shared" si="51"/>
        <v>2446.9299999999998</v>
      </c>
      <c r="Y73" s="2">
        <f t="shared" si="52"/>
        <v>1547.63</v>
      </c>
      <c r="Z73" s="2"/>
      <c r="AA73" s="2">
        <v>74014550</v>
      </c>
      <c r="AB73" s="2">
        <f t="shared" si="53"/>
        <v>2844.0744</v>
      </c>
      <c r="AC73" s="2">
        <f>ROUND((0),6)</f>
        <v>0</v>
      </c>
      <c r="AD73" s="2">
        <f>ROUND((((SUM(SmtRes!BR41:'SmtRes'!BR45))-(0))+AE73),6)</f>
        <v>324.33240000000001</v>
      </c>
      <c r="AE73" s="2">
        <f>ROUND((0),6)</f>
        <v>0</v>
      </c>
      <c r="AF73" s="2">
        <f>ROUND((SUM(SmtRes!BT41:'SmtRes'!BT45)),6)</f>
        <v>2519.7420000000002</v>
      </c>
      <c r="AG73" s="2">
        <f t="shared" si="54"/>
        <v>0</v>
      </c>
      <c r="AH73" s="2">
        <f>(SUM(SmtRes!BU41:'SmtRes'!BU45))</f>
        <v>5.7</v>
      </c>
      <c r="AI73" s="2">
        <f>(0)</f>
        <v>0</v>
      </c>
      <c r="AJ73" s="2">
        <f t="shared" si="55"/>
        <v>0</v>
      </c>
      <c r="AK73" s="2">
        <v>2844.0744000000004</v>
      </c>
      <c r="AL73" s="2">
        <v>0</v>
      </c>
      <c r="AM73" s="2">
        <v>324.33240000000001</v>
      </c>
      <c r="AN73" s="2">
        <v>0</v>
      </c>
      <c r="AO73" s="2">
        <v>2519.7420000000002</v>
      </c>
      <c r="AP73" s="2">
        <v>0</v>
      </c>
      <c r="AQ73" s="2">
        <v>5.7</v>
      </c>
      <c r="AR73" s="2">
        <v>0</v>
      </c>
      <c r="AS73" s="2">
        <v>0</v>
      </c>
      <c r="AT73" s="2">
        <v>117</v>
      </c>
      <c r="AU73" s="2">
        <v>74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0</v>
      </c>
      <c r="BI73" s="2">
        <v>1</v>
      </c>
      <c r="BJ73" s="2" t="s">
        <v>139</v>
      </c>
      <c r="BK73" s="2"/>
      <c r="BL73" s="2"/>
      <c r="BM73" s="2">
        <v>24001</v>
      </c>
      <c r="BN73" s="2">
        <v>0</v>
      </c>
      <c r="BO73" s="2" t="s">
        <v>3</v>
      </c>
      <c r="BP73" s="2">
        <v>0</v>
      </c>
      <c r="BQ73" s="2">
        <v>2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117</v>
      </c>
      <c r="CA73" s="2">
        <v>74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si="56"/>
        <v>2461.92</v>
      </c>
      <c r="CQ73" s="2">
        <f>SUMIF(SmtRes!AQ41:'SmtRes'!AQ45,"=1",SmtRes!AA41:'SmtRes'!AA45)</f>
        <v>0</v>
      </c>
      <c r="CR73" s="2">
        <f>SUMIF(SmtRes!AQ41:'SmtRes'!AQ45,"=1",SmtRes!AB41:'SmtRes'!AB45)</f>
        <v>518.44000000000005</v>
      </c>
      <c r="CS73" s="2">
        <f>SUMIF(SmtRes!AQ41:'SmtRes'!AQ45,"=1",SmtRes!AC41:'SmtRes'!AC45)</f>
        <v>0</v>
      </c>
      <c r="CT73" s="2">
        <f>SUMIF(SmtRes!AQ41:'SmtRes'!AQ45,"=1",SmtRes!AD41:'SmtRes'!AD45)</f>
        <v>442.06</v>
      </c>
      <c r="CU73" s="2">
        <f t="shared" si="57"/>
        <v>0</v>
      </c>
      <c r="CV73" s="2">
        <f>SUMIF(SmtRes!AQ41:'SmtRes'!AQ45,"=1",SmtRes!BU41:'SmtRes'!BU45)</f>
        <v>5.7</v>
      </c>
      <c r="CW73" s="2">
        <f>SUMIF(SmtRes!AQ41:'SmtRes'!AQ45,"=1",SmtRes!BV41:'SmtRes'!BV45)</f>
        <v>0</v>
      </c>
      <c r="CX73" s="2">
        <f t="shared" si="58"/>
        <v>0</v>
      </c>
      <c r="CY73" s="2">
        <f>(((S73+R73)*AT73)/100)</f>
        <v>2446.9262999999996</v>
      </c>
      <c r="CZ73" s="2">
        <f>(((S73+R73)*AU73)/100)</f>
        <v>1547.6285999999998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1003</v>
      </c>
      <c r="DV73" s="2" t="s">
        <v>119</v>
      </c>
      <c r="DW73" s="2" t="s">
        <v>119</v>
      </c>
      <c r="DX73" s="2">
        <v>100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72340632</v>
      </c>
      <c r="EF73" s="2">
        <v>2</v>
      </c>
      <c r="EG73" s="2" t="s">
        <v>23</v>
      </c>
      <c r="EH73" s="2">
        <v>18</v>
      </c>
      <c r="EI73" s="2" t="s">
        <v>41</v>
      </c>
      <c r="EJ73" s="2">
        <v>1</v>
      </c>
      <c r="EK73" s="2">
        <v>24001</v>
      </c>
      <c r="EL73" s="2" t="s">
        <v>41</v>
      </c>
      <c r="EM73" s="2" t="s">
        <v>121</v>
      </c>
      <c r="EN73" s="2"/>
      <c r="EO73" s="2" t="s">
        <v>3</v>
      </c>
      <c r="EP73" s="2"/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5.7</v>
      </c>
      <c r="EX73" s="2">
        <v>0</v>
      </c>
      <c r="EY73" s="2">
        <v>0</v>
      </c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117</v>
      </c>
      <c r="FY73" s="2">
        <v>74</v>
      </c>
      <c r="FZ73" s="2"/>
      <c r="GA73" s="2" t="s">
        <v>3</v>
      </c>
      <c r="GB73" s="2"/>
      <c r="GC73" s="2"/>
      <c r="GD73" s="2">
        <v>1</v>
      </c>
      <c r="GE73" s="2"/>
      <c r="GF73" s="2">
        <v>-705619183</v>
      </c>
      <c r="GG73" s="2">
        <v>2</v>
      </c>
      <c r="GH73" s="2">
        <v>1</v>
      </c>
      <c r="GI73" s="2">
        <v>-2</v>
      </c>
      <c r="GJ73" s="2">
        <v>0</v>
      </c>
      <c r="GK73" s="2">
        <v>0</v>
      </c>
      <c r="GL73" s="2">
        <f t="shared" si="59"/>
        <v>0</v>
      </c>
      <c r="GM73" s="2">
        <f t="shared" si="60"/>
        <v>6456.48</v>
      </c>
      <c r="GN73" s="2">
        <f t="shared" si="61"/>
        <v>6456.48</v>
      </c>
      <c r="GO73" s="2">
        <f t="shared" si="62"/>
        <v>0</v>
      </c>
      <c r="GP73" s="2">
        <f t="shared" si="63"/>
        <v>0</v>
      </c>
      <c r="GQ73" s="2"/>
      <c r="GR73" s="2">
        <v>0</v>
      </c>
      <c r="GS73" s="2">
        <v>3</v>
      </c>
      <c r="GT73" s="2">
        <v>0</v>
      </c>
      <c r="GU73" s="2" t="s">
        <v>3</v>
      </c>
      <c r="GV73" s="2">
        <f t="shared" si="64"/>
        <v>0</v>
      </c>
      <c r="GW73" s="2">
        <v>1</v>
      </c>
      <c r="GX73" s="2">
        <f t="shared" si="65"/>
        <v>0</v>
      </c>
      <c r="GY73" s="2"/>
      <c r="GZ73" s="2"/>
      <c r="HA73" s="2">
        <v>0</v>
      </c>
      <c r="HB73" s="2">
        <v>0</v>
      </c>
      <c r="HC73" s="2">
        <f t="shared" si="66"/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43</v>
      </c>
      <c r="HO73" s="2" t="s">
        <v>44</v>
      </c>
      <c r="HP73" s="2" t="s">
        <v>41</v>
      </c>
      <c r="HQ73" s="2" t="s">
        <v>41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18</v>
      </c>
      <c r="B74" s="2">
        <v>1</v>
      </c>
      <c r="C74" s="2">
        <v>44</v>
      </c>
      <c r="D74" s="2"/>
      <c r="E74" s="2" t="s">
        <v>140</v>
      </c>
      <c r="F74" s="2" t="s">
        <v>141</v>
      </c>
      <c r="G74" s="2" t="s">
        <v>142</v>
      </c>
      <c r="H74" s="2" t="s">
        <v>125</v>
      </c>
      <c r="I74" s="2">
        <f>I73*J74</f>
        <v>0</v>
      </c>
      <c r="J74" s="2">
        <v>0</v>
      </c>
      <c r="K74" s="2">
        <v>0</v>
      </c>
      <c r="L74" s="2"/>
      <c r="M74" s="2"/>
      <c r="N74" s="2"/>
      <c r="O74" s="2">
        <f t="shared" si="48"/>
        <v>0</v>
      </c>
      <c r="P74" s="2">
        <f>ROUND(CQ74*I74,2)</f>
        <v>0</v>
      </c>
      <c r="Q74" s="2">
        <f>ROUND(CR74*I74,2)</f>
        <v>0</v>
      </c>
      <c r="R74" s="2">
        <f>ROUND(CS74*I74,2)</f>
        <v>0</v>
      </c>
      <c r="S74" s="2">
        <f>ROUND(CT74*I74,2)</f>
        <v>0</v>
      </c>
      <c r="T74" s="2">
        <f t="shared" si="49"/>
        <v>0</v>
      </c>
      <c r="U74" s="2">
        <f>ROUND(CV74*I74,7)</f>
        <v>0</v>
      </c>
      <c r="V74" s="2">
        <f>ROUND(CW74*I74,7)</f>
        <v>0</v>
      </c>
      <c r="W74" s="2">
        <f t="shared" si="50"/>
        <v>0</v>
      </c>
      <c r="X74" s="2">
        <f t="shared" si="51"/>
        <v>0</v>
      </c>
      <c r="Y74" s="2">
        <f t="shared" si="52"/>
        <v>0</v>
      </c>
      <c r="Z74" s="2"/>
      <c r="AA74" s="2">
        <v>74014550</v>
      </c>
      <c r="AB74" s="2">
        <f t="shared" si="53"/>
        <v>445.96</v>
      </c>
      <c r="AC74" s="2">
        <f>ROUND((ES74),6)</f>
        <v>445.96</v>
      </c>
      <c r="AD74" s="2">
        <f>ROUND((((ET74)-(EU74))+AE74),6)</f>
        <v>0</v>
      </c>
      <c r="AE74" s="2">
        <f t="shared" ref="AE74:AF76" si="67">ROUND((EU74),6)</f>
        <v>0</v>
      </c>
      <c r="AF74" s="2">
        <f t="shared" si="67"/>
        <v>0</v>
      </c>
      <c r="AG74" s="2">
        <f t="shared" si="54"/>
        <v>0</v>
      </c>
      <c r="AH74" s="2">
        <f t="shared" ref="AH74:AI76" si="68">(EW74)</f>
        <v>0</v>
      </c>
      <c r="AI74" s="2">
        <f t="shared" si="68"/>
        <v>0</v>
      </c>
      <c r="AJ74" s="2">
        <f t="shared" si="55"/>
        <v>0</v>
      </c>
      <c r="AK74" s="2">
        <v>445.96</v>
      </c>
      <c r="AL74" s="2">
        <v>445.96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117</v>
      </c>
      <c r="AU74" s="2">
        <v>74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3</v>
      </c>
      <c r="BI74" s="2">
        <v>1</v>
      </c>
      <c r="BJ74" s="2" t="s">
        <v>143</v>
      </c>
      <c r="BK74" s="2"/>
      <c r="BL74" s="2"/>
      <c r="BM74" s="2">
        <v>24001</v>
      </c>
      <c r="BN74" s="2">
        <v>0</v>
      </c>
      <c r="BO74" s="2" t="s">
        <v>3</v>
      </c>
      <c r="BP74" s="2">
        <v>0</v>
      </c>
      <c r="BQ74" s="2">
        <v>2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117</v>
      </c>
      <c r="CA74" s="2">
        <v>74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56"/>
        <v>0</v>
      </c>
      <c r="CQ74" s="2">
        <f>ROUND(AL74*BC74,2)</f>
        <v>445.96</v>
      </c>
      <c r="CR74" s="2">
        <f>ROUND(AM74*BB74,2)</f>
        <v>0</v>
      </c>
      <c r="CS74" s="2">
        <f>ROUND(AN74*BS74,2)</f>
        <v>0</v>
      </c>
      <c r="CT74" s="2">
        <f>ROUND(AO74*BA74,2)</f>
        <v>0</v>
      </c>
      <c r="CU74" s="2">
        <f t="shared" si="57"/>
        <v>0</v>
      </c>
      <c r="CV74" s="2">
        <f t="shared" ref="CV74:CW76" si="69">AH74</f>
        <v>0</v>
      </c>
      <c r="CW74" s="2">
        <f t="shared" si="69"/>
        <v>0</v>
      </c>
      <c r="CX74" s="2">
        <f t="shared" si="58"/>
        <v>0</v>
      </c>
      <c r="CY74" s="2">
        <f>(((S74+R74)*AT74)/100)</f>
        <v>0</v>
      </c>
      <c r="CZ74" s="2">
        <f>(((S74+R74)*AU74)/100)</f>
        <v>0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1003</v>
      </c>
      <c r="DV74" s="2" t="s">
        <v>125</v>
      </c>
      <c r="DW74" s="2" t="s">
        <v>125</v>
      </c>
      <c r="DX74" s="2">
        <v>1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72340632</v>
      </c>
      <c r="EF74" s="2">
        <v>2</v>
      </c>
      <c r="EG74" s="2" t="s">
        <v>23</v>
      </c>
      <c r="EH74" s="2">
        <v>18</v>
      </c>
      <c r="EI74" s="2" t="s">
        <v>41</v>
      </c>
      <c r="EJ74" s="2">
        <v>1</v>
      </c>
      <c r="EK74" s="2">
        <v>24001</v>
      </c>
      <c r="EL74" s="2" t="s">
        <v>41</v>
      </c>
      <c r="EM74" s="2" t="s">
        <v>121</v>
      </c>
      <c r="EN74" s="2"/>
      <c r="EO74" s="2" t="s">
        <v>3</v>
      </c>
      <c r="EP74" s="2"/>
      <c r="EQ74" s="2">
        <v>0</v>
      </c>
      <c r="ER74" s="2">
        <v>445.96</v>
      </c>
      <c r="ES74" s="2">
        <v>445.96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117</v>
      </c>
      <c r="FY74" s="2">
        <v>74</v>
      </c>
      <c r="FZ74" s="2"/>
      <c r="GA74" s="2" t="s">
        <v>3</v>
      </c>
      <c r="GB74" s="2"/>
      <c r="GC74" s="2"/>
      <c r="GD74" s="2">
        <v>1</v>
      </c>
      <c r="GE74" s="2">
        <v>356.47</v>
      </c>
      <c r="GF74" s="2">
        <v>-1478815123</v>
      </c>
      <c r="GG74" s="2">
        <v>2</v>
      </c>
      <c r="GH74" s="2">
        <v>1</v>
      </c>
      <c r="GI74" s="2">
        <v>-2</v>
      </c>
      <c r="GJ74" s="2">
        <v>0</v>
      </c>
      <c r="GK74" s="2">
        <v>0</v>
      </c>
      <c r="GL74" s="2">
        <f t="shared" si="59"/>
        <v>0</v>
      </c>
      <c r="GM74" s="2">
        <f t="shared" si="60"/>
        <v>0</v>
      </c>
      <c r="GN74" s="2">
        <f t="shared" si="61"/>
        <v>0</v>
      </c>
      <c r="GO74" s="2">
        <f t="shared" si="62"/>
        <v>0</v>
      </c>
      <c r="GP74" s="2">
        <f t="shared" si="63"/>
        <v>0</v>
      </c>
      <c r="GQ74" s="2"/>
      <c r="GR74" s="2">
        <v>3</v>
      </c>
      <c r="GS74" s="2">
        <v>3</v>
      </c>
      <c r="GT74" s="2">
        <v>0</v>
      </c>
      <c r="GU74" s="2" t="s">
        <v>3</v>
      </c>
      <c r="GV74" s="2">
        <f t="shared" si="64"/>
        <v>0</v>
      </c>
      <c r="GW74" s="2">
        <v>1</v>
      </c>
      <c r="GX74" s="2">
        <f t="shared" si="65"/>
        <v>0</v>
      </c>
      <c r="GY74" s="2"/>
      <c r="GZ74" s="2"/>
      <c r="HA74" s="2">
        <v>0</v>
      </c>
      <c r="HB74" s="2">
        <v>0</v>
      </c>
      <c r="HC74" s="2">
        <f t="shared" si="66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43</v>
      </c>
      <c r="HO74" s="2" t="s">
        <v>44</v>
      </c>
      <c r="HP74" s="2" t="s">
        <v>41</v>
      </c>
      <c r="HQ74" s="2" t="s">
        <v>41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17</v>
      </c>
      <c r="B75" s="2">
        <v>1</v>
      </c>
      <c r="C75" s="2"/>
      <c r="D75" s="2"/>
      <c r="E75" s="2" t="s">
        <v>144</v>
      </c>
      <c r="F75" s="2" t="s">
        <v>145</v>
      </c>
      <c r="G75" s="2" t="s">
        <v>146</v>
      </c>
      <c r="H75" s="2" t="s">
        <v>125</v>
      </c>
      <c r="I75" s="2">
        <v>83</v>
      </c>
      <c r="J75" s="2">
        <v>0</v>
      </c>
      <c r="K75" s="2">
        <v>83</v>
      </c>
      <c r="L75" s="2"/>
      <c r="M75" s="2"/>
      <c r="N75" s="2"/>
      <c r="O75" s="2">
        <f t="shared" si="48"/>
        <v>17737.099999999999</v>
      </c>
      <c r="P75" s="2">
        <f>ROUND(CQ75*I75,2)</f>
        <v>17737.099999999999</v>
      </c>
      <c r="Q75" s="2">
        <f>ROUND(CR75*I75,2)</f>
        <v>0</v>
      </c>
      <c r="R75" s="2">
        <f>ROUND(CS75*I75,2)</f>
        <v>0</v>
      </c>
      <c r="S75" s="2">
        <f>ROUND(CT75*I75,2)</f>
        <v>0</v>
      </c>
      <c r="T75" s="2">
        <f t="shared" si="49"/>
        <v>0</v>
      </c>
      <c r="U75" s="2">
        <f>ROUND(CV75*I75,7)</f>
        <v>0</v>
      </c>
      <c r="V75" s="2">
        <f>ROUND(CW75*I75,7)</f>
        <v>0</v>
      </c>
      <c r="W75" s="2">
        <f t="shared" si="50"/>
        <v>0</v>
      </c>
      <c r="X75" s="2">
        <f t="shared" si="51"/>
        <v>0</v>
      </c>
      <c r="Y75" s="2">
        <f t="shared" si="52"/>
        <v>0</v>
      </c>
      <c r="Z75" s="2"/>
      <c r="AA75" s="2">
        <v>74014550</v>
      </c>
      <c r="AB75" s="2">
        <f t="shared" si="53"/>
        <v>207.48</v>
      </c>
      <c r="AC75" s="2">
        <f>ROUND((ES75),6)</f>
        <v>207.48</v>
      </c>
      <c r="AD75" s="2">
        <f>ROUND((((ET75)-(EU75))+AE75),6)</f>
        <v>0</v>
      </c>
      <c r="AE75" s="2">
        <f t="shared" si="67"/>
        <v>0</v>
      </c>
      <c r="AF75" s="2">
        <f t="shared" si="67"/>
        <v>0</v>
      </c>
      <c r="AG75" s="2">
        <f t="shared" si="54"/>
        <v>0</v>
      </c>
      <c r="AH75" s="2">
        <f t="shared" si="68"/>
        <v>0</v>
      </c>
      <c r="AI75" s="2">
        <f t="shared" si="68"/>
        <v>0</v>
      </c>
      <c r="AJ75" s="2">
        <f t="shared" si="55"/>
        <v>0</v>
      </c>
      <c r="AK75" s="2">
        <v>207.48</v>
      </c>
      <c r="AL75" s="2">
        <v>207.48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1.03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3</v>
      </c>
      <c r="BI75" s="2">
        <v>1</v>
      </c>
      <c r="BJ75" s="2" t="s">
        <v>147</v>
      </c>
      <c r="BK75" s="2"/>
      <c r="BL75" s="2"/>
      <c r="BM75" s="2">
        <v>500001</v>
      </c>
      <c r="BN75" s="2">
        <v>0</v>
      </c>
      <c r="BO75" s="2" t="s">
        <v>145</v>
      </c>
      <c r="BP75" s="2">
        <v>1</v>
      </c>
      <c r="BQ75" s="2">
        <v>8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0</v>
      </c>
      <c r="CA75" s="2">
        <v>0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56"/>
        <v>17737.099999999999</v>
      </c>
      <c r="CQ75" s="2">
        <f>ROUND(AL75*BC75,2)</f>
        <v>213.7</v>
      </c>
      <c r="CR75" s="2">
        <f>ROUND(AM75*BB75,2)</f>
        <v>0</v>
      </c>
      <c r="CS75" s="2">
        <f>ROUND(AN75*BS75,2)</f>
        <v>0</v>
      </c>
      <c r="CT75" s="2">
        <f>ROUND(AO75*BA75,2)</f>
        <v>0</v>
      </c>
      <c r="CU75" s="2">
        <f t="shared" si="57"/>
        <v>0</v>
      </c>
      <c r="CV75" s="2">
        <f t="shared" si="69"/>
        <v>0</v>
      </c>
      <c r="CW75" s="2">
        <f t="shared" si="69"/>
        <v>0</v>
      </c>
      <c r="CX75" s="2">
        <f t="shared" si="58"/>
        <v>0</v>
      </c>
      <c r="CY75" s="2">
        <f>0</f>
        <v>0</v>
      </c>
      <c r="CZ75" s="2">
        <f>0</f>
        <v>0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1003</v>
      </c>
      <c r="DV75" s="2" t="s">
        <v>125</v>
      </c>
      <c r="DW75" s="2" t="s">
        <v>125</v>
      </c>
      <c r="DX75" s="2">
        <v>1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72340530</v>
      </c>
      <c r="EF75" s="2">
        <v>8</v>
      </c>
      <c r="EG75" s="2" t="s">
        <v>50</v>
      </c>
      <c r="EH75" s="2">
        <v>0</v>
      </c>
      <c r="EI75" s="2" t="s">
        <v>3</v>
      </c>
      <c r="EJ75" s="2">
        <v>1</v>
      </c>
      <c r="EK75" s="2">
        <v>500001</v>
      </c>
      <c r="EL75" s="2" t="s">
        <v>51</v>
      </c>
      <c r="EM75" s="2" t="s">
        <v>52</v>
      </c>
      <c r="EN75" s="2"/>
      <c r="EO75" s="2" t="s">
        <v>3</v>
      </c>
      <c r="EP75" s="2"/>
      <c r="EQ75" s="2">
        <v>0</v>
      </c>
      <c r="ER75" s="2">
        <v>207.48</v>
      </c>
      <c r="ES75" s="2">
        <v>207.48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0</v>
      </c>
      <c r="FY75" s="2">
        <v>0</v>
      </c>
      <c r="FZ75" s="2"/>
      <c r="GA75" s="2" t="s">
        <v>3</v>
      </c>
      <c r="GB75" s="2"/>
      <c r="GC75" s="2"/>
      <c r="GD75" s="2">
        <v>1</v>
      </c>
      <c r="GE75" s="2"/>
      <c r="GF75" s="2">
        <v>1514949694</v>
      </c>
      <c r="GG75" s="2">
        <v>2</v>
      </c>
      <c r="GH75" s="2">
        <v>1</v>
      </c>
      <c r="GI75" s="2">
        <v>2</v>
      </c>
      <c r="GJ75" s="2">
        <v>0</v>
      </c>
      <c r="GK75" s="2">
        <v>0</v>
      </c>
      <c r="GL75" s="2">
        <f t="shared" si="59"/>
        <v>0</v>
      </c>
      <c r="GM75" s="2">
        <f t="shared" si="60"/>
        <v>17737.099999999999</v>
      </c>
      <c r="GN75" s="2">
        <f t="shared" si="61"/>
        <v>17737.099999999999</v>
      </c>
      <c r="GO75" s="2">
        <f t="shared" si="62"/>
        <v>0</v>
      </c>
      <c r="GP75" s="2">
        <f t="shared" si="63"/>
        <v>0</v>
      </c>
      <c r="GQ75" s="2"/>
      <c r="GR75" s="2">
        <v>0</v>
      </c>
      <c r="GS75" s="2">
        <v>3</v>
      </c>
      <c r="GT75" s="2">
        <v>0</v>
      </c>
      <c r="GU75" s="2" t="s">
        <v>3</v>
      </c>
      <c r="GV75" s="2">
        <f t="shared" si="64"/>
        <v>0</v>
      </c>
      <c r="GW75" s="2">
        <v>1</v>
      </c>
      <c r="GX75" s="2">
        <f t="shared" si="65"/>
        <v>0</v>
      </c>
      <c r="GY75" s="2"/>
      <c r="GZ75" s="2"/>
      <c r="HA75" s="2">
        <v>0</v>
      </c>
      <c r="HB75" s="2">
        <v>0</v>
      </c>
      <c r="HC75" s="2">
        <f t="shared" si="66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3</v>
      </c>
      <c r="HO75" s="2" t="s">
        <v>3</v>
      </c>
      <c r="HP75" s="2" t="s">
        <v>3</v>
      </c>
      <c r="HQ75" s="2" t="s">
        <v>3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17</v>
      </c>
      <c r="B76" s="2">
        <v>1</v>
      </c>
      <c r="C76" s="2"/>
      <c r="D76" s="2"/>
      <c r="E76" s="2" t="s">
        <v>148</v>
      </c>
      <c r="F76" s="2" t="s">
        <v>149</v>
      </c>
      <c r="G76" s="2" t="s">
        <v>150</v>
      </c>
      <c r="H76" s="2" t="s">
        <v>130</v>
      </c>
      <c r="I76" s="2">
        <v>1</v>
      </c>
      <c r="J76" s="2">
        <v>0</v>
      </c>
      <c r="K76" s="2">
        <v>1</v>
      </c>
      <c r="L76" s="2"/>
      <c r="M76" s="2"/>
      <c r="N76" s="2"/>
      <c r="O76" s="2">
        <f t="shared" si="48"/>
        <v>1058.28</v>
      </c>
      <c r="P76" s="2">
        <f>ROUND(CQ76*I76,2)</f>
        <v>1058.28</v>
      </c>
      <c r="Q76" s="2">
        <f>ROUND(CR76*I76,2)</f>
        <v>0</v>
      </c>
      <c r="R76" s="2">
        <f>ROUND(CS76*I76,2)</f>
        <v>0</v>
      </c>
      <c r="S76" s="2">
        <f>ROUND(CT76*I76,2)</f>
        <v>0</v>
      </c>
      <c r="T76" s="2">
        <f t="shared" si="49"/>
        <v>0</v>
      </c>
      <c r="U76" s="2">
        <f>ROUND(CV76*I76,7)</f>
        <v>0</v>
      </c>
      <c r="V76" s="2">
        <f>ROUND(CW76*I76,7)</f>
        <v>0</v>
      </c>
      <c r="W76" s="2">
        <f t="shared" si="50"/>
        <v>0</v>
      </c>
      <c r="X76" s="2">
        <f t="shared" si="51"/>
        <v>0</v>
      </c>
      <c r="Y76" s="2">
        <f t="shared" si="52"/>
        <v>0</v>
      </c>
      <c r="Z76" s="2"/>
      <c r="AA76" s="2">
        <v>74014550</v>
      </c>
      <c r="AB76" s="2">
        <f t="shared" si="53"/>
        <v>1027.46</v>
      </c>
      <c r="AC76" s="2">
        <f>ROUND((ES76),6)</f>
        <v>1027.46</v>
      </c>
      <c r="AD76" s="2">
        <f>ROUND((((ET76)-(EU76))+AE76),6)</f>
        <v>0</v>
      </c>
      <c r="AE76" s="2">
        <f t="shared" si="67"/>
        <v>0</v>
      </c>
      <c r="AF76" s="2">
        <f t="shared" si="67"/>
        <v>0</v>
      </c>
      <c r="AG76" s="2">
        <f t="shared" si="54"/>
        <v>0</v>
      </c>
      <c r="AH76" s="2">
        <f t="shared" si="68"/>
        <v>0</v>
      </c>
      <c r="AI76" s="2">
        <f t="shared" si="68"/>
        <v>0</v>
      </c>
      <c r="AJ76" s="2">
        <f t="shared" si="55"/>
        <v>0</v>
      </c>
      <c r="AK76" s="2">
        <v>1027.46</v>
      </c>
      <c r="AL76" s="2">
        <v>1027.46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1.03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151</v>
      </c>
      <c r="BK76" s="2"/>
      <c r="BL76" s="2"/>
      <c r="BM76" s="2">
        <v>500001</v>
      </c>
      <c r="BN76" s="2">
        <v>0</v>
      </c>
      <c r="BO76" s="2" t="s">
        <v>149</v>
      </c>
      <c r="BP76" s="2">
        <v>1</v>
      </c>
      <c r="BQ76" s="2">
        <v>8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0</v>
      </c>
      <c r="CA76" s="2">
        <v>0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56"/>
        <v>1058.28</v>
      </c>
      <c r="CQ76" s="2">
        <f>ROUND(AL76*BC76,2)</f>
        <v>1058.28</v>
      </c>
      <c r="CR76" s="2">
        <f>ROUND(AM76*BB76,2)</f>
        <v>0</v>
      </c>
      <c r="CS76" s="2">
        <f>ROUND(AN76*BS76,2)</f>
        <v>0</v>
      </c>
      <c r="CT76" s="2">
        <f>ROUND(AO76*BA76,2)</f>
        <v>0</v>
      </c>
      <c r="CU76" s="2">
        <f t="shared" si="57"/>
        <v>0</v>
      </c>
      <c r="CV76" s="2">
        <f t="shared" si="69"/>
        <v>0</v>
      </c>
      <c r="CW76" s="2">
        <f t="shared" si="69"/>
        <v>0</v>
      </c>
      <c r="CX76" s="2">
        <f t="shared" si="58"/>
        <v>0</v>
      </c>
      <c r="CY76" s="2">
        <f>0</f>
        <v>0</v>
      </c>
      <c r="CZ76" s="2">
        <f>0</f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1013</v>
      </c>
      <c r="DV76" s="2" t="s">
        <v>130</v>
      </c>
      <c r="DW76" s="2" t="s">
        <v>130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72340530</v>
      </c>
      <c r="EF76" s="2">
        <v>8</v>
      </c>
      <c r="EG76" s="2" t="s">
        <v>50</v>
      </c>
      <c r="EH76" s="2">
        <v>0</v>
      </c>
      <c r="EI76" s="2" t="s">
        <v>3</v>
      </c>
      <c r="EJ76" s="2">
        <v>1</v>
      </c>
      <c r="EK76" s="2">
        <v>500001</v>
      </c>
      <c r="EL76" s="2" t="s">
        <v>51</v>
      </c>
      <c r="EM76" s="2" t="s">
        <v>52</v>
      </c>
      <c r="EN76" s="2"/>
      <c r="EO76" s="2" t="s">
        <v>3</v>
      </c>
      <c r="EP76" s="2"/>
      <c r="EQ76" s="2">
        <v>0</v>
      </c>
      <c r="ER76" s="2">
        <v>1027.46</v>
      </c>
      <c r="ES76" s="2">
        <v>1027.46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0</v>
      </c>
      <c r="FY76" s="2">
        <v>0</v>
      </c>
      <c r="FZ76" s="2"/>
      <c r="GA76" s="2" t="s">
        <v>3</v>
      </c>
      <c r="GB76" s="2"/>
      <c r="GC76" s="2"/>
      <c r="GD76" s="2">
        <v>1</v>
      </c>
      <c r="GE76" s="2"/>
      <c r="GF76" s="2">
        <v>1568139963</v>
      </c>
      <c r="GG76" s="2">
        <v>2</v>
      </c>
      <c r="GH76" s="2">
        <v>1</v>
      </c>
      <c r="GI76" s="2">
        <v>2</v>
      </c>
      <c r="GJ76" s="2">
        <v>0</v>
      </c>
      <c r="GK76" s="2">
        <v>0</v>
      </c>
      <c r="GL76" s="2">
        <f t="shared" si="59"/>
        <v>0</v>
      </c>
      <c r="GM76" s="2">
        <f t="shared" si="60"/>
        <v>1058.28</v>
      </c>
      <c r="GN76" s="2">
        <f t="shared" si="61"/>
        <v>1058.28</v>
      </c>
      <c r="GO76" s="2">
        <f t="shared" si="62"/>
        <v>0</v>
      </c>
      <c r="GP76" s="2">
        <f t="shared" si="63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64"/>
        <v>0</v>
      </c>
      <c r="GW76" s="2">
        <v>1</v>
      </c>
      <c r="GX76" s="2">
        <f t="shared" si="65"/>
        <v>0</v>
      </c>
      <c r="GY76" s="2"/>
      <c r="GZ76" s="2"/>
      <c r="HA76" s="2">
        <v>0</v>
      </c>
      <c r="HB76" s="2">
        <v>0</v>
      </c>
      <c r="HC76" s="2">
        <f t="shared" si="66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3</v>
      </c>
      <c r="HO76" s="2" t="s">
        <v>3</v>
      </c>
      <c r="HP76" s="2" t="s">
        <v>3</v>
      </c>
      <c r="HQ76" s="2" t="s">
        <v>3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17</v>
      </c>
      <c r="B77" s="2">
        <v>1</v>
      </c>
      <c r="C77" s="2">
        <f>ROW(SmtRes!A55)</f>
        <v>55</v>
      </c>
      <c r="D77" s="2">
        <f>ROW(EtalonRes!A63)</f>
        <v>63</v>
      </c>
      <c r="E77" s="2" t="s">
        <v>152</v>
      </c>
      <c r="F77" s="2" t="s">
        <v>153</v>
      </c>
      <c r="G77" s="2" t="s">
        <v>154</v>
      </c>
      <c r="H77" s="2" t="s">
        <v>155</v>
      </c>
      <c r="I77" s="2">
        <f>ROUND(1/10,7)</f>
        <v>0.1</v>
      </c>
      <c r="J77" s="2">
        <v>0</v>
      </c>
      <c r="K77" s="2">
        <f>ROUND(1/10,7)</f>
        <v>0.1</v>
      </c>
      <c r="L77" s="2"/>
      <c r="M77" s="2"/>
      <c r="N77" s="2"/>
      <c r="O77" s="2">
        <f t="shared" si="48"/>
        <v>2837.94</v>
      </c>
      <c r="P77" s="2">
        <f>SUMIF(SmtRes!AQ46:'SmtRes'!AQ55,"=1",SmtRes!DF46:'SmtRes'!DF55)</f>
        <v>5.5499999999999989</v>
      </c>
      <c r="Q77" s="2">
        <f>SUMIF(SmtRes!AQ46:'SmtRes'!AQ55,"=1",SmtRes!DG46:'SmtRes'!DG55)</f>
        <v>30.650000000000002</v>
      </c>
      <c r="R77" s="2">
        <f>SUMIF(SmtRes!AQ46:'SmtRes'!AQ55,"=1",SmtRes!DH46:'SmtRes'!DH55)</f>
        <v>3.6</v>
      </c>
      <c r="S77" s="2">
        <f>SUMIF(SmtRes!AQ46:'SmtRes'!AQ55,"=1",SmtRes!DI46:'SmtRes'!DI55)</f>
        <v>2798.1400000000003</v>
      </c>
      <c r="T77" s="2">
        <f t="shared" si="49"/>
        <v>0</v>
      </c>
      <c r="U77" s="2">
        <f>SUMIF(SmtRes!AQ46:'SmtRes'!AQ55,"=1",SmtRes!CV46:'SmtRes'!CV55)</f>
        <v>6.9929999999999994</v>
      </c>
      <c r="V77" s="2">
        <f>SUMIF(SmtRes!AQ46:'SmtRes'!AQ55,"=1",SmtRes!CW46:'SmtRes'!CW55)</f>
        <v>8.9999999999999993E-3</v>
      </c>
      <c r="W77" s="2">
        <f t="shared" si="50"/>
        <v>0</v>
      </c>
      <c r="X77" s="2">
        <f t="shared" si="51"/>
        <v>3278.04</v>
      </c>
      <c r="Y77" s="2">
        <f t="shared" si="52"/>
        <v>2073.29</v>
      </c>
      <c r="Z77" s="2"/>
      <c r="AA77" s="2">
        <v>74014550</v>
      </c>
      <c r="AB77" s="2">
        <f t="shared" si="53"/>
        <v>28301.575400000002</v>
      </c>
      <c r="AC77" s="2">
        <f>ROUND((SUM(SmtRes!BQ46:'SmtRes'!BQ55)),6)</f>
        <v>50.692700000000002</v>
      </c>
      <c r="AD77" s="2">
        <f>ROUND((((SUM(SmtRes!BR46:'SmtRes'!BR55))-(SUM(SmtRes!BS46:'SmtRes'!BS55)))+AE77),6)</f>
        <v>269.56650000000002</v>
      </c>
      <c r="AE77" s="2">
        <f>ROUND((SUM(SmtRes!BS46:'SmtRes'!BS55)),6)</f>
        <v>36.021599999999999</v>
      </c>
      <c r="AF77" s="2">
        <f>ROUND((SUM(SmtRes!BT46:'SmtRes'!BT55)),6)</f>
        <v>27981.316200000001</v>
      </c>
      <c r="AG77" s="2">
        <f t="shared" si="54"/>
        <v>0</v>
      </c>
      <c r="AH77" s="2">
        <f>(SUM(SmtRes!BU46:'SmtRes'!BU55))</f>
        <v>69.929999999999993</v>
      </c>
      <c r="AI77" s="2">
        <f>(SUM(SmtRes!BV46:'SmtRes'!BV55))</f>
        <v>0.09</v>
      </c>
      <c r="AJ77" s="2">
        <f t="shared" si="55"/>
        <v>0</v>
      </c>
      <c r="AK77" s="2">
        <v>28337.597000000002</v>
      </c>
      <c r="AL77" s="2">
        <v>50.692700000000002</v>
      </c>
      <c r="AM77" s="2">
        <v>269.56649999999996</v>
      </c>
      <c r="AN77" s="2">
        <v>36.021599999999999</v>
      </c>
      <c r="AO77" s="2">
        <v>27981.316200000001</v>
      </c>
      <c r="AP77" s="2">
        <v>0</v>
      </c>
      <c r="AQ77" s="2">
        <v>69.929999999999993</v>
      </c>
      <c r="AR77" s="2">
        <v>0.09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0</v>
      </c>
      <c r="BI77" s="2">
        <v>1</v>
      </c>
      <c r="BJ77" s="2" t="s">
        <v>156</v>
      </c>
      <c r="BK77" s="2"/>
      <c r="BL77" s="2"/>
      <c r="BM77" s="2">
        <v>24001</v>
      </c>
      <c r="BN77" s="2">
        <v>0</v>
      </c>
      <c r="BO77" s="2" t="s">
        <v>3</v>
      </c>
      <c r="BP77" s="2">
        <v>0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56"/>
        <v>2837.94</v>
      </c>
      <c r="CQ77" s="2">
        <f>SUMIF(SmtRes!AQ46:'SmtRes'!AQ55,"=1",SmtRes!AA46:'SmtRes'!AA55)</f>
        <v>325.12</v>
      </c>
      <c r="CR77" s="2">
        <f>SUMIF(SmtRes!AQ46:'SmtRes'!AQ55,"=1",SmtRes!AB46:'SmtRes'!AB55)</f>
        <v>717.97</v>
      </c>
      <c r="CS77" s="2">
        <f>SUMIF(SmtRes!AQ46:'SmtRes'!AQ55,"=1",SmtRes!AC46:'SmtRes'!AC55)</f>
        <v>400.24</v>
      </c>
      <c r="CT77" s="2">
        <f>SUMIF(SmtRes!AQ46:'SmtRes'!AQ55,"=1",SmtRes!AD46:'SmtRes'!AD55)</f>
        <v>725.81</v>
      </c>
      <c r="CU77" s="2">
        <f t="shared" si="57"/>
        <v>0</v>
      </c>
      <c r="CV77" s="2">
        <f>SUMIF(SmtRes!AQ46:'SmtRes'!AQ55,"=1",SmtRes!BU46:'SmtRes'!BU55)</f>
        <v>69.929999999999993</v>
      </c>
      <c r="CW77" s="2">
        <f>SUMIF(SmtRes!AQ46:'SmtRes'!AQ55,"=1",SmtRes!BV46:'SmtRes'!BV55)</f>
        <v>0.09</v>
      </c>
      <c r="CX77" s="2">
        <f t="shared" si="58"/>
        <v>0</v>
      </c>
      <c r="CY77" s="2">
        <f>(((S77+R77)*AT77)/100)</f>
        <v>3278.0358000000001</v>
      </c>
      <c r="CZ77" s="2">
        <f>(((S77+R77)*AU77)/100)</f>
        <v>2073.2876000000001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1013</v>
      </c>
      <c r="DV77" s="2" t="s">
        <v>155</v>
      </c>
      <c r="DW77" s="2" t="s">
        <v>155</v>
      </c>
      <c r="DX77" s="2">
        <v>1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72340632</v>
      </c>
      <c r="EF77" s="2">
        <v>2</v>
      </c>
      <c r="EG77" s="2" t="s">
        <v>23</v>
      </c>
      <c r="EH77" s="2">
        <v>18</v>
      </c>
      <c r="EI77" s="2" t="s">
        <v>41</v>
      </c>
      <c r="EJ77" s="2">
        <v>1</v>
      </c>
      <c r="EK77" s="2">
        <v>24001</v>
      </c>
      <c r="EL77" s="2" t="s">
        <v>41</v>
      </c>
      <c r="EM77" s="2" t="s">
        <v>121</v>
      </c>
      <c r="EN77" s="2"/>
      <c r="EO77" s="2" t="s">
        <v>3</v>
      </c>
      <c r="EP77" s="2"/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69.930000000000007</v>
      </c>
      <c r="EX77" s="2">
        <v>0.09</v>
      </c>
      <c r="EY77" s="2">
        <v>0</v>
      </c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2103600629</v>
      </c>
      <c r="GG77" s="2">
        <v>2</v>
      </c>
      <c r="GH77" s="2">
        <v>1</v>
      </c>
      <c r="GI77" s="2">
        <v>-2</v>
      </c>
      <c r="GJ77" s="2">
        <v>0</v>
      </c>
      <c r="GK77" s="2">
        <v>0</v>
      </c>
      <c r="GL77" s="2">
        <f t="shared" si="59"/>
        <v>0</v>
      </c>
      <c r="GM77" s="2">
        <f t="shared" si="60"/>
        <v>8189.27</v>
      </c>
      <c r="GN77" s="2">
        <f t="shared" si="61"/>
        <v>8189.27</v>
      </c>
      <c r="GO77" s="2">
        <f t="shared" si="62"/>
        <v>0</v>
      </c>
      <c r="GP77" s="2">
        <f t="shared" si="63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64"/>
        <v>0</v>
      </c>
      <c r="GW77" s="2">
        <v>1</v>
      </c>
      <c r="GX77" s="2">
        <f t="shared" si="65"/>
        <v>0</v>
      </c>
      <c r="GY77" s="2"/>
      <c r="GZ77" s="2"/>
      <c r="HA77" s="2">
        <v>0</v>
      </c>
      <c r="HB77" s="2">
        <v>0</v>
      </c>
      <c r="HC77" s="2">
        <f t="shared" si="66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43</v>
      </c>
      <c r="HO77" s="2" t="s">
        <v>44</v>
      </c>
      <c r="HP77" s="2" t="s">
        <v>41</v>
      </c>
      <c r="HQ77" s="2" t="s">
        <v>41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17</v>
      </c>
      <c r="B78" s="2">
        <v>1</v>
      </c>
      <c r="C78" s="2"/>
      <c r="D78" s="2"/>
      <c r="E78" s="2" t="s">
        <v>157</v>
      </c>
      <c r="F78" s="2" t="s">
        <v>158</v>
      </c>
      <c r="G78" s="2" t="s">
        <v>846</v>
      </c>
      <c r="H78" s="2" t="s">
        <v>130</v>
      </c>
      <c r="I78" s="2">
        <v>1</v>
      </c>
      <c r="J78" s="2">
        <v>0</v>
      </c>
      <c r="K78" s="2">
        <v>1</v>
      </c>
      <c r="L78" s="2"/>
      <c r="M78" s="2"/>
      <c r="N78" s="2"/>
      <c r="O78" s="2">
        <f t="shared" si="48"/>
        <v>7636.51</v>
      </c>
      <c r="P78" s="2">
        <f>ROUND(CQ78*I78,2)</f>
        <v>7636.51</v>
      </c>
      <c r="Q78" s="2">
        <f>ROUND(CR78*I78,2)</f>
        <v>0</v>
      </c>
      <c r="R78" s="2">
        <f>ROUND(CS78*I78,2)</f>
        <v>0</v>
      </c>
      <c r="S78" s="2">
        <f>ROUND(CT78*I78,2)</f>
        <v>0</v>
      </c>
      <c r="T78" s="2">
        <f t="shared" si="49"/>
        <v>0</v>
      </c>
      <c r="U78" s="2">
        <f>ROUND(CV78*I78,7)</f>
        <v>0</v>
      </c>
      <c r="V78" s="2">
        <f>ROUND(CW78*I78,7)</f>
        <v>0</v>
      </c>
      <c r="W78" s="2">
        <f t="shared" si="50"/>
        <v>0</v>
      </c>
      <c r="X78" s="2">
        <f t="shared" si="51"/>
        <v>0</v>
      </c>
      <c r="Y78" s="2">
        <f t="shared" si="52"/>
        <v>0</v>
      </c>
      <c r="Z78" s="2"/>
      <c r="AA78" s="2">
        <v>74014550</v>
      </c>
      <c r="AB78" s="2">
        <f t="shared" si="53"/>
        <v>7414.09</v>
      </c>
      <c r="AC78" s="2">
        <f>ROUND((ES78),6)</f>
        <v>7414.09</v>
      </c>
      <c r="AD78" s="2">
        <f>ROUND((((ET78)-(EU78))+AE78),6)</f>
        <v>0</v>
      </c>
      <c r="AE78" s="2">
        <f>ROUND((EU78),6)</f>
        <v>0</v>
      </c>
      <c r="AF78" s="2">
        <f>ROUND((EV78),6)</f>
        <v>0</v>
      </c>
      <c r="AG78" s="2">
        <f t="shared" si="54"/>
        <v>0</v>
      </c>
      <c r="AH78" s="2">
        <f>(EW78)</f>
        <v>0</v>
      </c>
      <c r="AI78" s="2">
        <f>(EX78)</f>
        <v>0</v>
      </c>
      <c r="AJ78" s="2">
        <f t="shared" si="55"/>
        <v>0</v>
      </c>
      <c r="AK78" s="2">
        <v>7414.09</v>
      </c>
      <c r="AL78" s="2">
        <v>7414.09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1.03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159</v>
      </c>
      <c r="BK78" s="2"/>
      <c r="BL78" s="2"/>
      <c r="BM78" s="2">
        <v>500001</v>
      </c>
      <c r="BN78" s="2">
        <v>0</v>
      </c>
      <c r="BO78" s="2" t="s">
        <v>158</v>
      </c>
      <c r="BP78" s="2">
        <v>1</v>
      </c>
      <c r="BQ78" s="2">
        <v>8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0</v>
      </c>
      <c r="CA78" s="2">
        <v>0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56"/>
        <v>7636.51</v>
      </c>
      <c r="CQ78" s="2">
        <f>ROUND(AL78*BC78,2)</f>
        <v>7636.51</v>
      </c>
      <c r="CR78" s="2">
        <f>ROUND(AM78*BB78,2)</f>
        <v>0</v>
      </c>
      <c r="CS78" s="2">
        <f>ROUND(AN78*BS78,2)</f>
        <v>0</v>
      </c>
      <c r="CT78" s="2">
        <f>ROUND(AO78*BA78,2)</f>
        <v>0</v>
      </c>
      <c r="CU78" s="2">
        <f t="shared" si="57"/>
        <v>0</v>
      </c>
      <c r="CV78" s="2">
        <f>AH78</f>
        <v>0</v>
      </c>
      <c r="CW78" s="2">
        <f>AI78</f>
        <v>0</v>
      </c>
      <c r="CX78" s="2">
        <f t="shared" si="58"/>
        <v>0</v>
      </c>
      <c r="CY78" s="2">
        <f>0</f>
        <v>0</v>
      </c>
      <c r="CZ78" s="2">
        <f>0</f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130</v>
      </c>
      <c r="DW78" s="2" t="s">
        <v>130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72340530</v>
      </c>
      <c r="EF78" s="2">
        <v>8</v>
      </c>
      <c r="EG78" s="2" t="s">
        <v>50</v>
      </c>
      <c r="EH78" s="2">
        <v>0</v>
      </c>
      <c r="EI78" s="2" t="s">
        <v>3</v>
      </c>
      <c r="EJ78" s="2">
        <v>1</v>
      </c>
      <c r="EK78" s="2">
        <v>500001</v>
      </c>
      <c r="EL78" s="2" t="s">
        <v>51</v>
      </c>
      <c r="EM78" s="2" t="s">
        <v>52</v>
      </c>
      <c r="EN78" s="2"/>
      <c r="EO78" s="2" t="s">
        <v>3</v>
      </c>
      <c r="EP78" s="2"/>
      <c r="EQ78" s="2">
        <v>0</v>
      </c>
      <c r="ER78" s="2">
        <v>7414.09</v>
      </c>
      <c r="ES78" s="2">
        <v>7414.09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0</v>
      </c>
      <c r="FY78" s="2">
        <v>0</v>
      </c>
      <c r="FZ78" s="2"/>
      <c r="GA78" s="2" t="s">
        <v>3</v>
      </c>
      <c r="GB78" s="2"/>
      <c r="GC78" s="2"/>
      <c r="GD78" s="2">
        <v>1</v>
      </c>
      <c r="GE78" s="2"/>
      <c r="GF78" s="2">
        <v>-1855228557</v>
      </c>
      <c r="GG78" s="2">
        <v>2</v>
      </c>
      <c r="GH78" s="2">
        <v>1</v>
      </c>
      <c r="GI78" s="2">
        <v>2</v>
      </c>
      <c r="GJ78" s="2">
        <v>0</v>
      </c>
      <c r="GK78" s="2">
        <v>0</v>
      </c>
      <c r="GL78" s="2">
        <f t="shared" si="59"/>
        <v>0</v>
      </c>
      <c r="GM78" s="2">
        <f t="shared" si="60"/>
        <v>7636.51</v>
      </c>
      <c r="GN78" s="2">
        <f t="shared" si="61"/>
        <v>7636.51</v>
      </c>
      <c r="GO78" s="2">
        <f t="shared" si="62"/>
        <v>0</v>
      </c>
      <c r="GP78" s="2">
        <f t="shared" si="63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64"/>
        <v>0</v>
      </c>
      <c r="GW78" s="2">
        <v>1</v>
      </c>
      <c r="GX78" s="2">
        <f t="shared" si="65"/>
        <v>0</v>
      </c>
      <c r="GY78" s="2"/>
      <c r="GZ78" s="2"/>
      <c r="HA78" s="2">
        <v>0</v>
      </c>
      <c r="HB78" s="2">
        <v>0</v>
      </c>
      <c r="HC78" s="2">
        <f t="shared" si="66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3</v>
      </c>
      <c r="HO78" s="2" t="s">
        <v>3</v>
      </c>
      <c r="HP78" s="2" t="s">
        <v>3</v>
      </c>
      <c r="HQ78" s="2" t="s">
        <v>3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17</v>
      </c>
      <c r="B79" s="2">
        <v>1</v>
      </c>
      <c r="C79" s="2">
        <f>ROW(SmtRes!A61)</f>
        <v>61</v>
      </c>
      <c r="D79" s="2">
        <f>ROW(EtalonRes!A69)</f>
        <v>69</v>
      </c>
      <c r="E79" s="2" t="s">
        <v>160</v>
      </c>
      <c r="F79" s="2" t="s">
        <v>161</v>
      </c>
      <c r="G79" s="2" t="s">
        <v>162</v>
      </c>
      <c r="H79" s="2" t="s">
        <v>163</v>
      </c>
      <c r="I79" s="2">
        <v>1</v>
      </c>
      <c r="J79" s="2">
        <v>0</v>
      </c>
      <c r="K79" s="2">
        <v>1</v>
      </c>
      <c r="L79" s="2"/>
      <c r="M79" s="2"/>
      <c r="N79" s="2"/>
      <c r="O79" s="2">
        <f t="shared" si="48"/>
        <v>148.06</v>
      </c>
      <c r="P79" s="2">
        <f>SUMIF(SmtRes!AQ56:'SmtRes'!AQ61,"=1",SmtRes!DF56:'SmtRes'!DF61)</f>
        <v>20.23</v>
      </c>
      <c r="Q79" s="2">
        <f>SUMIF(SmtRes!AQ56:'SmtRes'!AQ61,"=1",SmtRes!DG56:'SmtRes'!DG61)</f>
        <v>4.05</v>
      </c>
      <c r="R79" s="2">
        <f>SUMIF(SmtRes!AQ56:'SmtRes'!AQ61,"=1",SmtRes!DH56:'SmtRes'!DH61)</f>
        <v>0</v>
      </c>
      <c r="S79" s="2">
        <f>SUMIF(SmtRes!AQ56:'SmtRes'!AQ61,"=1",SmtRes!DI56:'SmtRes'!DI61)</f>
        <v>123.78</v>
      </c>
      <c r="T79" s="2">
        <f t="shared" si="49"/>
        <v>0</v>
      </c>
      <c r="U79" s="2">
        <f>SUMIF(SmtRes!AQ56:'SmtRes'!AQ61,"=1",SmtRes!CV56:'SmtRes'!CV61)</f>
        <v>0.32</v>
      </c>
      <c r="V79" s="2">
        <f>SUMIF(SmtRes!AQ56:'SmtRes'!AQ61,"=1",SmtRes!CW56:'SmtRes'!CW61)</f>
        <v>0</v>
      </c>
      <c r="W79" s="2">
        <f t="shared" si="50"/>
        <v>0</v>
      </c>
      <c r="X79" s="2">
        <f t="shared" si="51"/>
        <v>144.82</v>
      </c>
      <c r="Y79" s="2">
        <f t="shared" si="52"/>
        <v>91.6</v>
      </c>
      <c r="Z79" s="2"/>
      <c r="AA79" s="2">
        <v>74014550</v>
      </c>
      <c r="AB79" s="2">
        <f t="shared" si="53"/>
        <v>138.56631999999999</v>
      </c>
      <c r="AC79" s="2">
        <f>ROUND((SUM(SmtRes!BQ56:'SmtRes'!BQ61)),6)</f>
        <v>12.04842</v>
      </c>
      <c r="AD79" s="2">
        <f>ROUND((((SUM(SmtRes!BR56:'SmtRes'!BR61))-(0))+AE79),6)</f>
        <v>2.7418999999999998</v>
      </c>
      <c r="AE79" s="2">
        <f>ROUND((0),6)</f>
        <v>0</v>
      </c>
      <c r="AF79" s="2">
        <f>ROUND((SUM(SmtRes!BT56:'SmtRes'!BT61)),6)</f>
        <v>123.776</v>
      </c>
      <c r="AG79" s="2">
        <f t="shared" si="54"/>
        <v>0</v>
      </c>
      <c r="AH79" s="2">
        <f>(SUM(SmtRes!BU56:'SmtRes'!BU61))</f>
        <v>0.32</v>
      </c>
      <c r="AI79" s="2">
        <f>(0)</f>
        <v>0</v>
      </c>
      <c r="AJ79" s="2">
        <f t="shared" si="55"/>
        <v>0</v>
      </c>
      <c r="AK79" s="2">
        <v>138.56632000000002</v>
      </c>
      <c r="AL79" s="2">
        <v>12.04842</v>
      </c>
      <c r="AM79" s="2">
        <v>2.7419000000000002</v>
      </c>
      <c r="AN79" s="2">
        <v>0</v>
      </c>
      <c r="AO79" s="2">
        <v>123.77600000000001</v>
      </c>
      <c r="AP79" s="2">
        <v>0</v>
      </c>
      <c r="AQ79" s="2">
        <v>0.32</v>
      </c>
      <c r="AR79" s="2">
        <v>0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0</v>
      </c>
      <c r="BI79" s="2">
        <v>1</v>
      </c>
      <c r="BJ79" s="2" t="s">
        <v>164</v>
      </c>
      <c r="BK79" s="2"/>
      <c r="BL79" s="2"/>
      <c r="BM79" s="2">
        <v>24001</v>
      </c>
      <c r="BN79" s="2">
        <v>0</v>
      </c>
      <c r="BO79" s="2" t="s">
        <v>3</v>
      </c>
      <c r="BP79" s="2">
        <v>0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56"/>
        <v>148.06</v>
      </c>
      <c r="CQ79" s="2">
        <f>SUMIF(SmtRes!AQ56:'SmtRes'!AQ61,"=1",SmtRes!AA56:'SmtRes'!AA61)</f>
        <v>1094.0999999999999</v>
      </c>
      <c r="CR79" s="2">
        <f>SUMIF(SmtRes!AQ56:'SmtRes'!AQ61,"=1",SmtRes!AB56:'SmtRes'!AB61)</f>
        <v>18.149999999999999</v>
      </c>
      <c r="CS79" s="2">
        <f>SUMIF(SmtRes!AQ56:'SmtRes'!AQ61,"=1",SmtRes!AC56:'SmtRes'!AC61)</f>
        <v>0</v>
      </c>
      <c r="CT79" s="2">
        <f>SUMIF(SmtRes!AQ56:'SmtRes'!AQ61,"=1",SmtRes!AD56:'SmtRes'!AD61)</f>
        <v>386.8</v>
      </c>
      <c r="CU79" s="2">
        <f t="shared" si="57"/>
        <v>0</v>
      </c>
      <c r="CV79" s="2">
        <f>SUMIF(SmtRes!AQ56:'SmtRes'!AQ61,"=1",SmtRes!BU56:'SmtRes'!BU61)</f>
        <v>0.32</v>
      </c>
      <c r="CW79" s="2">
        <f>SUMIF(SmtRes!AQ56:'SmtRes'!AQ61,"=1",SmtRes!BV56:'SmtRes'!BV61)</f>
        <v>0</v>
      </c>
      <c r="CX79" s="2">
        <f t="shared" si="58"/>
        <v>0</v>
      </c>
      <c r="CY79" s="2">
        <f>(((S79+R79)*AT79)/100)</f>
        <v>144.82259999999999</v>
      </c>
      <c r="CZ79" s="2">
        <f>(((S79+R79)*AU79)/100)</f>
        <v>91.597199999999987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1013</v>
      </c>
      <c r="DV79" s="2" t="s">
        <v>163</v>
      </c>
      <c r="DW79" s="2" t="s">
        <v>163</v>
      </c>
      <c r="DX79" s="2">
        <v>1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72340632</v>
      </c>
      <c r="EF79" s="2">
        <v>2</v>
      </c>
      <c r="EG79" s="2" t="s">
        <v>23</v>
      </c>
      <c r="EH79" s="2">
        <v>18</v>
      </c>
      <c r="EI79" s="2" t="s">
        <v>41</v>
      </c>
      <c r="EJ79" s="2">
        <v>1</v>
      </c>
      <c r="EK79" s="2">
        <v>24001</v>
      </c>
      <c r="EL79" s="2" t="s">
        <v>41</v>
      </c>
      <c r="EM79" s="2" t="s">
        <v>121</v>
      </c>
      <c r="EN79" s="2"/>
      <c r="EO79" s="2" t="s">
        <v>3</v>
      </c>
      <c r="EP79" s="2"/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0.32</v>
      </c>
      <c r="EX79" s="2">
        <v>0</v>
      </c>
      <c r="EY79" s="2">
        <v>0</v>
      </c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-1363492276</v>
      </c>
      <c r="GG79" s="2">
        <v>2</v>
      </c>
      <c r="GH79" s="2">
        <v>1</v>
      </c>
      <c r="GI79" s="2">
        <v>-2</v>
      </c>
      <c r="GJ79" s="2">
        <v>0</v>
      </c>
      <c r="GK79" s="2">
        <v>0</v>
      </c>
      <c r="GL79" s="2">
        <f t="shared" si="59"/>
        <v>0</v>
      </c>
      <c r="GM79" s="2">
        <f t="shared" si="60"/>
        <v>384.48</v>
      </c>
      <c r="GN79" s="2">
        <f t="shared" si="61"/>
        <v>384.48</v>
      </c>
      <c r="GO79" s="2">
        <f t="shared" si="62"/>
        <v>0</v>
      </c>
      <c r="GP79" s="2">
        <f t="shared" si="63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64"/>
        <v>0</v>
      </c>
      <c r="GW79" s="2">
        <v>1</v>
      </c>
      <c r="GX79" s="2">
        <f t="shared" si="65"/>
        <v>0</v>
      </c>
      <c r="GY79" s="2"/>
      <c r="GZ79" s="2"/>
      <c r="HA79" s="2">
        <v>0</v>
      </c>
      <c r="HB79" s="2">
        <v>0</v>
      </c>
      <c r="HC79" s="2">
        <f t="shared" si="66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43</v>
      </c>
      <c r="HO79" s="2" t="s">
        <v>44</v>
      </c>
      <c r="HP79" s="2" t="s">
        <v>41</v>
      </c>
      <c r="HQ79" s="2" t="s">
        <v>41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18</v>
      </c>
      <c r="B80" s="2">
        <v>1</v>
      </c>
      <c r="C80" s="2">
        <v>61</v>
      </c>
      <c r="D80" s="2"/>
      <c r="E80" s="2" t="s">
        <v>165</v>
      </c>
      <c r="F80" s="2" t="s">
        <v>166</v>
      </c>
      <c r="G80" s="2" t="s">
        <v>167</v>
      </c>
      <c r="H80" s="2" t="s">
        <v>130</v>
      </c>
      <c r="I80" s="2">
        <f>I79*J80</f>
        <v>1</v>
      </c>
      <c r="J80" s="2">
        <v>1</v>
      </c>
      <c r="K80" s="2">
        <v>1</v>
      </c>
      <c r="L80" s="2"/>
      <c r="M80" s="2"/>
      <c r="N80" s="2"/>
      <c r="O80" s="2">
        <f t="shared" si="48"/>
        <v>262.69</v>
      </c>
      <c r="P80" s="2">
        <f>ROUND(CQ80*I80,2)</f>
        <v>262.69</v>
      </c>
      <c r="Q80" s="2">
        <f>ROUND(CR80*I80,2)</f>
        <v>0</v>
      </c>
      <c r="R80" s="2">
        <f>ROUND(CS80*I80,2)</f>
        <v>0</v>
      </c>
      <c r="S80" s="2">
        <f>ROUND(CT80*I80,2)</f>
        <v>0</v>
      </c>
      <c r="T80" s="2">
        <f t="shared" si="49"/>
        <v>0</v>
      </c>
      <c r="U80" s="2">
        <f>ROUND(CV80*I80,7)</f>
        <v>0</v>
      </c>
      <c r="V80" s="2">
        <f>ROUND(CW80*I80,7)</f>
        <v>0</v>
      </c>
      <c r="W80" s="2">
        <f t="shared" si="50"/>
        <v>0</v>
      </c>
      <c r="X80" s="2">
        <f t="shared" si="51"/>
        <v>0</v>
      </c>
      <c r="Y80" s="2">
        <f t="shared" si="52"/>
        <v>0</v>
      </c>
      <c r="Z80" s="2"/>
      <c r="AA80" s="2">
        <v>74014550</v>
      </c>
      <c r="AB80" s="2">
        <f t="shared" si="53"/>
        <v>206.84</v>
      </c>
      <c r="AC80" s="2">
        <f>ROUND((ES80),6)</f>
        <v>206.84</v>
      </c>
      <c r="AD80" s="2">
        <f>ROUND((((ET80)-(EU80))+AE80),6)</f>
        <v>0</v>
      </c>
      <c r="AE80" s="2">
        <f>ROUND((EU80),6)</f>
        <v>0</v>
      </c>
      <c r="AF80" s="2">
        <f>ROUND((EV80),6)</f>
        <v>0</v>
      </c>
      <c r="AG80" s="2">
        <f t="shared" si="54"/>
        <v>0</v>
      </c>
      <c r="AH80" s="2">
        <f>(EW80)</f>
        <v>0</v>
      </c>
      <c r="AI80" s="2">
        <f>(EX80)</f>
        <v>0</v>
      </c>
      <c r="AJ80" s="2">
        <f t="shared" si="55"/>
        <v>0</v>
      </c>
      <c r="AK80" s="2">
        <v>206.84</v>
      </c>
      <c r="AL80" s="2">
        <v>206.84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117</v>
      </c>
      <c r="AU80" s="2">
        <v>74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1.27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168</v>
      </c>
      <c r="BK80" s="2"/>
      <c r="BL80" s="2"/>
      <c r="BM80" s="2">
        <v>24001</v>
      </c>
      <c r="BN80" s="2">
        <v>0</v>
      </c>
      <c r="BO80" s="2" t="s">
        <v>166</v>
      </c>
      <c r="BP80" s="2">
        <v>1</v>
      </c>
      <c r="BQ80" s="2">
        <v>2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117</v>
      </c>
      <c r="CA80" s="2">
        <v>74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56"/>
        <v>262.69</v>
      </c>
      <c r="CQ80" s="2">
        <f>ROUND(AL80*BC80,2)</f>
        <v>262.69</v>
      </c>
      <c r="CR80" s="2">
        <f>ROUND(AM80*BB80,2)</f>
        <v>0</v>
      </c>
      <c r="CS80" s="2">
        <f>ROUND(AN80*BS80,2)</f>
        <v>0</v>
      </c>
      <c r="CT80" s="2">
        <f>ROUND(AO80*BA80,2)</f>
        <v>0</v>
      </c>
      <c r="CU80" s="2">
        <f t="shared" si="57"/>
        <v>0</v>
      </c>
      <c r="CV80" s="2">
        <f>AH80</f>
        <v>0</v>
      </c>
      <c r="CW80" s="2">
        <f>AI80</f>
        <v>0</v>
      </c>
      <c r="CX80" s="2">
        <f t="shared" si="58"/>
        <v>0</v>
      </c>
      <c r="CY80" s="2">
        <f>(((S80+R80)*AT80)/100)</f>
        <v>0</v>
      </c>
      <c r="CZ80" s="2">
        <f>(((S80+R80)*AU80)/100)</f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130</v>
      </c>
      <c r="DW80" s="2" t="s">
        <v>130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72340632</v>
      </c>
      <c r="EF80" s="2">
        <v>2</v>
      </c>
      <c r="EG80" s="2" t="s">
        <v>23</v>
      </c>
      <c r="EH80" s="2">
        <v>18</v>
      </c>
      <c r="EI80" s="2" t="s">
        <v>41</v>
      </c>
      <c r="EJ80" s="2">
        <v>1</v>
      </c>
      <c r="EK80" s="2">
        <v>24001</v>
      </c>
      <c r="EL80" s="2" t="s">
        <v>41</v>
      </c>
      <c r="EM80" s="2" t="s">
        <v>121</v>
      </c>
      <c r="EN80" s="2"/>
      <c r="EO80" s="2" t="s">
        <v>3</v>
      </c>
      <c r="EP80" s="2"/>
      <c r="EQ80" s="2">
        <v>0</v>
      </c>
      <c r="ER80" s="2">
        <v>206.84</v>
      </c>
      <c r="ES80" s="2">
        <v>206.84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117</v>
      </c>
      <c r="FY80" s="2">
        <v>74</v>
      </c>
      <c r="FZ80" s="2"/>
      <c r="GA80" s="2" t="s">
        <v>3</v>
      </c>
      <c r="GB80" s="2"/>
      <c r="GC80" s="2"/>
      <c r="GD80" s="2">
        <v>1</v>
      </c>
      <c r="GE80" s="2"/>
      <c r="GF80" s="2">
        <v>-669902663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59"/>
        <v>0</v>
      </c>
      <c r="GM80" s="2">
        <f t="shared" si="60"/>
        <v>262.69</v>
      </c>
      <c r="GN80" s="2">
        <f t="shared" si="61"/>
        <v>262.69</v>
      </c>
      <c r="GO80" s="2">
        <f t="shared" si="62"/>
        <v>0</v>
      </c>
      <c r="GP80" s="2">
        <f t="shared" si="63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64"/>
        <v>0</v>
      </c>
      <c r="GW80" s="2">
        <v>1</v>
      </c>
      <c r="GX80" s="2">
        <f t="shared" si="65"/>
        <v>0</v>
      </c>
      <c r="GY80" s="2"/>
      <c r="GZ80" s="2"/>
      <c r="HA80" s="2">
        <v>0</v>
      </c>
      <c r="HB80" s="2">
        <v>0</v>
      </c>
      <c r="HC80" s="2">
        <f t="shared" si="66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43</v>
      </c>
      <c r="HO80" s="2" t="s">
        <v>44</v>
      </c>
      <c r="HP80" s="2" t="s">
        <v>41</v>
      </c>
      <c r="HQ80" s="2" t="s">
        <v>41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>
        <f>ROW(SmtRes!A66)</f>
        <v>66</v>
      </c>
      <c r="D81" s="2">
        <f>ROW(EtalonRes!A76)</f>
        <v>76</v>
      </c>
      <c r="E81" s="2" t="s">
        <v>169</v>
      </c>
      <c r="F81" s="2" t="s">
        <v>170</v>
      </c>
      <c r="G81" s="2" t="s">
        <v>171</v>
      </c>
      <c r="H81" s="2" t="s">
        <v>130</v>
      </c>
      <c r="I81" s="2">
        <v>3</v>
      </c>
      <c r="J81" s="2">
        <v>0</v>
      </c>
      <c r="K81" s="2">
        <v>3</v>
      </c>
      <c r="L81" s="2"/>
      <c r="M81" s="2"/>
      <c r="N81" s="2"/>
      <c r="O81" s="2">
        <f t="shared" si="48"/>
        <v>876.41</v>
      </c>
      <c r="P81" s="2">
        <f>SUMIF(SmtRes!AQ62:'SmtRes'!AQ66,"=1",SmtRes!DF62:'SmtRes'!DF66)</f>
        <v>121.41999999999999</v>
      </c>
      <c r="Q81" s="2">
        <f>SUMIF(SmtRes!AQ62:'SmtRes'!AQ66,"=1",SmtRes!DG62:'SmtRes'!DG66)</f>
        <v>23.939999999999998</v>
      </c>
      <c r="R81" s="2">
        <f>SUMIF(SmtRes!AQ62:'SmtRes'!AQ66,"=1",SmtRes!DH62:'SmtRes'!DH66)</f>
        <v>0</v>
      </c>
      <c r="S81" s="2">
        <f>SUMIF(SmtRes!AQ62:'SmtRes'!AQ66,"=1",SmtRes!DI62:'SmtRes'!DI66)</f>
        <v>731.05</v>
      </c>
      <c r="T81" s="2">
        <f t="shared" si="49"/>
        <v>0</v>
      </c>
      <c r="U81" s="2">
        <f>SUMIF(SmtRes!AQ62:'SmtRes'!AQ66,"=1",SmtRes!CV62:'SmtRes'!CV66)</f>
        <v>1.89</v>
      </c>
      <c r="V81" s="2">
        <f>SUMIF(SmtRes!AQ62:'SmtRes'!AQ66,"=1",SmtRes!CW62:'SmtRes'!CW66)</f>
        <v>0</v>
      </c>
      <c r="W81" s="2">
        <f t="shared" si="50"/>
        <v>0</v>
      </c>
      <c r="X81" s="2">
        <f t="shared" si="51"/>
        <v>855.33</v>
      </c>
      <c r="Y81" s="2">
        <f t="shared" si="52"/>
        <v>540.98</v>
      </c>
      <c r="Z81" s="2"/>
      <c r="AA81" s="2">
        <v>74014550</v>
      </c>
      <c r="AB81" s="2">
        <f t="shared" si="53"/>
        <v>273.16444000000001</v>
      </c>
      <c r="AC81" s="2">
        <f>ROUND((SUM(SmtRes!BQ62:'SmtRes'!BQ66)),6)</f>
        <v>24.09684</v>
      </c>
      <c r="AD81" s="2">
        <f>ROUND((((SUM(SmtRes!BR62:'SmtRes'!BR66))-(0))+AE81),6)</f>
        <v>5.3836000000000004</v>
      </c>
      <c r="AE81" s="2">
        <f>ROUND((0),6)</f>
        <v>0</v>
      </c>
      <c r="AF81" s="2">
        <f>ROUND((SUM(SmtRes!BT62:'SmtRes'!BT66)),6)</f>
        <v>243.684</v>
      </c>
      <c r="AG81" s="2">
        <f t="shared" si="54"/>
        <v>0</v>
      </c>
      <c r="AH81" s="2">
        <f>(SUM(SmtRes!BU62:'SmtRes'!BU66))</f>
        <v>0.63</v>
      </c>
      <c r="AI81" s="2">
        <f>(0)</f>
        <v>0</v>
      </c>
      <c r="AJ81" s="2">
        <f t="shared" si="55"/>
        <v>0</v>
      </c>
      <c r="AK81" s="2">
        <v>273.16444000000001</v>
      </c>
      <c r="AL81" s="2">
        <v>24.09684</v>
      </c>
      <c r="AM81" s="2">
        <v>5.3836000000000004</v>
      </c>
      <c r="AN81" s="2">
        <v>0</v>
      </c>
      <c r="AO81" s="2">
        <v>243.684</v>
      </c>
      <c r="AP81" s="2">
        <v>0</v>
      </c>
      <c r="AQ81" s="2">
        <v>0.63</v>
      </c>
      <c r="AR81" s="2">
        <v>0</v>
      </c>
      <c r="AS81" s="2">
        <v>0</v>
      </c>
      <c r="AT81" s="2">
        <v>117</v>
      </c>
      <c r="AU81" s="2">
        <v>74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1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0</v>
      </c>
      <c r="BI81" s="2">
        <v>1</v>
      </c>
      <c r="BJ81" s="2" t="s">
        <v>172</v>
      </c>
      <c r="BK81" s="2"/>
      <c r="BL81" s="2"/>
      <c r="BM81" s="2">
        <v>24001</v>
      </c>
      <c r="BN81" s="2">
        <v>0</v>
      </c>
      <c r="BO81" s="2" t="s">
        <v>3</v>
      </c>
      <c r="BP81" s="2">
        <v>0</v>
      </c>
      <c r="BQ81" s="2">
        <v>2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117</v>
      </c>
      <c r="CA81" s="2">
        <v>74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56"/>
        <v>876.41</v>
      </c>
      <c r="CQ81" s="2">
        <f>SUMIF(SmtRes!AQ62:'SmtRes'!AQ66,"=1",SmtRes!AA62:'SmtRes'!AA66)</f>
        <v>1094.0999999999999</v>
      </c>
      <c r="CR81" s="2">
        <f>SUMIF(SmtRes!AQ62:'SmtRes'!AQ66,"=1",SmtRes!AB62:'SmtRes'!AB66)</f>
        <v>18.149999999999999</v>
      </c>
      <c r="CS81" s="2">
        <f>SUMIF(SmtRes!AQ62:'SmtRes'!AQ66,"=1",SmtRes!AC62:'SmtRes'!AC66)</f>
        <v>0</v>
      </c>
      <c r="CT81" s="2">
        <f>SUMIF(SmtRes!AQ62:'SmtRes'!AQ66,"=1",SmtRes!AD62:'SmtRes'!AD66)</f>
        <v>386.8</v>
      </c>
      <c r="CU81" s="2">
        <f t="shared" si="57"/>
        <v>0</v>
      </c>
      <c r="CV81" s="2">
        <f>SUMIF(SmtRes!AQ62:'SmtRes'!AQ66,"=1",SmtRes!BU62:'SmtRes'!BU66)</f>
        <v>0.63</v>
      </c>
      <c r="CW81" s="2">
        <f>SUMIF(SmtRes!AQ62:'SmtRes'!AQ66,"=1",SmtRes!BV62:'SmtRes'!BV66)</f>
        <v>0</v>
      </c>
      <c r="CX81" s="2">
        <f t="shared" si="58"/>
        <v>0</v>
      </c>
      <c r="CY81" s="2">
        <f>(((S81+R81)*AT81)/100)</f>
        <v>855.32849999999996</v>
      </c>
      <c r="CZ81" s="2">
        <f>(((S81+R81)*AU81)/100)</f>
        <v>540.97699999999998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130</v>
      </c>
      <c r="DW81" s="2" t="s">
        <v>130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72340632</v>
      </c>
      <c r="EF81" s="2">
        <v>2</v>
      </c>
      <c r="EG81" s="2" t="s">
        <v>23</v>
      </c>
      <c r="EH81" s="2">
        <v>18</v>
      </c>
      <c r="EI81" s="2" t="s">
        <v>41</v>
      </c>
      <c r="EJ81" s="2">
        <v>1</v>
      </c>
      <c r="EK81" s="2">
        <v>24001</v>
      </c>
      <c r="EL81" s="2" t="s">
        <v>41</v>
      </c>
      <c r="EM81" s="2" t="s">
        <v>121</v>
      </c>
      <c r="EN81" s="2"/>
      <c r="EO81" s="2" t="s">
        <v>3</v>
      </c>
      <c r="EP81" s="2"/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0.63</v>
      </c>
      <c r="EX81" s="2">
        <v>0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117</v>
      </c>
      <c r="FY81" s="2">
        <v>74</v>
      </c>
      <c r="FZ81" s="2"/>
      <c r="GA81" s="2" t="s">
        <v>3</v>
      </c>
      <c r="GB81" s="2"/>
      <c r="GC81" s="2"/>
      <c r="GD81" s="2">
        <v>1</v>
      </c>
      <c r="GE81" s="2"/>
      <c r="GF81" s="2">
        <v>1453429285</v>
      </c>
      <c r="GG81" s="2">
        <v>2</v>
      </c>
      <c r="GH81" s="2">
        <v>1</v>
      </c>
      <c r="GI81" s="2">
        <v>-2</v>
      </c>
      <c r="GJ81" s="2">
        <v>0</v>
      </c>
      <c r="GK81" s="2">
        <v>0</v>
      </c>
      <c r="GL81" s="2">
        <f t="shared" si="59"/>
        <v>0</v>
      </c>
      <c r="GM81" s="2">
        <f t="shared" si="60"/>
        <v>2272.7199999999998</v>
      </c>
      <c r="GN81" s="2">
        <f t="shared" si="61"/>
        <v>2272.7199999999998</v>
      </c>
      <c r="GO81" s="2">
        <f t="shared" si="62"/>
        <v>0</v>
      </c>
      <c r="GP81" s="2">
        <f t="shared" si="63"/>
        <v>0</v>
      </c>
      <c r="GQ81" s="2"/>
      <c r="GR81" s="2">
        <v>0</v>
      </c>
      <c r="GS81" s="2">
        <v>3</v>
      </c>
      <c r="GT81" s="2">
        <v>0</v>
      </c>
      <c r="GU81" s="2" t="s">
        <v>3</v>
      </c>
      <c r="GV81" s="2">
        <f t="shared" si="64"/>
        <v>0</v>
      </c>
      <c r="GW81" s="2">
        <v>1</v>
      </c>
      <c r="GX81" s="2">
        <f t="shared" si="65"/>
        <v>0</v>
      </c>
      <c r="GY81" s="2"/>
      <c r="GZ81" s="2"/>
      <c r="HA81" s="2">
        <v>0</v>
      </c>
      <c r="HB81" s="2">
        <v>0</v>
      </c>
      <c r="HC81" s="2">
        <f t="shared" si="66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43</v>
      </c>
      <c r="HO81" s="2" t="s">
        <v>44</v>
      </c>
      <c r="HP81" s="2" t="s">
        <v>41</v>
      </c>
      <c r="HQ81" s="2" t="s">
        <v>41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17</v>
      </c>
      <c r="B82" s="2">
        <v>1</v>
      </c>
      <c r="C82" s="2"/>
      <c r="D82" s="2"/>
      <c r="E82" s="2" t="s">
        <v>173</v>
      </c>
      <c r="F82" s="2" t="s">
        <v>174</v>
      </c>
      <c r="G82" s="2" t="s">
        <v>175</v>
      </c>
      <c r="H82" s="2" t="s">
        <v>130</v>
      </c>
      <c r="I82" s="2">
        <v>1</v>
      </c>
      <c r="J82" s="2">
        <v>0</v>
      </c>
      <c r="K82" s="2">
        <v>1</v>
      </c>
      <c r="L82" s="2"/>
      <c r="M82" s="2"/>
      <c r="N82" s="2"/>
      <c r="O82" s="2">
        <f t="shared" si="48"/>
        <v>999.81</v>
      </c>
      <c r="P82" s="2">
        <f>ROUND(CQ82*I82,2)</f>
        <v>999.81</v>
      </c>
      <c r="Q82" s="2">
        <f>ROUND(CR82*I82,2)</f>
        <v>0</v>
      </c>
      <c r="R82" s="2">
        <f>ROUND(CS82*I82,2)</f>
        <v>0</v>
      </c>
      <c r="S82" s="2">
        <f>ROUND(CT82*I82,2)</f>
        <v>0</v>
      </c>
      <c r="T82" s="2">
        <f t="shared" si="49"/>
        <v>0</v>
      </c>
      <c r="U82" s="2">
        <f>ROUND(CV82*I82,7)</f>
        <v>0</v>
      </c>
      <c r="V82" s="2">
        <f>ROUND(CW82*I82,7)</f>
        <v>0</v>
      </c>
      <c r="W82" s="2">
        <f t="shared" si="50"/>
        <v>0</v>
      </c>
      <c r="X82" s="2">
        <f t="shared" si="51"/>
        <v>0</v>
      </c>
      <c r="Y82" s="2">
        <f t="shared" si="52"/>
        <v>0</v>
      </c>
      <c r="Z82" s="2"/>
      <c r="AA82" s="2">
        <v>74014550</v>
      </c>
      <c r="AB82" s="2">
        <f t="shared" si="53"/>
        <v>1009.91</v>
      </c>
      <c r="AC82" s="2">
        <f>ROUND((ES82),6)</f>
        <v>1009.91</v>
      </c>
      <c r="AD82" s="2">
        <f>ROUND((((ET82)-(EU82))+AE82),6)</f>
        <v>0</v>
      </c>
      <c r="AE82" s="2">
        <f>ROUND((EU82),6)</f>
        <v>0</v>
      </c>
      <c r="AF82" s="2">
        <f>ROUND((EV82),6)</f>
        <v>0</v>
      </c>
      <c r="AG82" s="2">
        <f t="shared" si="54"/>
        <v>0</v>
      </c>
      <c r="AH82" s="2">
        <f>(EW82)</f>
        <v>0</v>
      </c>
      <c r="AI82" s="2">
        <f>(EX82)</f>
        <v>0</v>
      </c>
      <c r="AJ82" s="2">
        <f t="shared" si="55"/>
        <v>0</v>
      </c>
      <c r="AK82" s="2">
        <v>1009.91</v>
      </c>
      <c r="AL82" s="2">
        <v>1009.91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0.99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176</v>
      </c>
      <c r="BK82" s="2"/>
      <c r="BL82" s="2"/>
      <c r="BM82" s="2">
        <v>500001</v>
      </c>
      <c r="BN82" s="2">
        <v>0</v>
      </c>
      <c r="BO82" s="2" t="s">
        <v>174</v>
      </c>
      <c r="BP82" s="2">
        <v>1</v>
      </c>
      <c r="BQ82" s="2">
        <v>8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0</v>
      </c>
      <c r="CA82" s="2">
        <v>0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56"/>
        <v>999.81</v>
      </c>
      <c r="CQ82" s="2">
        <f>ROUND(AL82*BC82,2)</f>
        <v>999.81</v>
      </c>
      <c r="CR82" s="2">
        <f>ROUND(AM82*BB82,2)</f>
        <v>0</v>
      </c>
      <c r="CS82" s="2">
        <f>ROUND(AN82*BS82,2)</f>
        <v>0</v>
      </c>
      <c r="CT82" s="2">
        <f>ROUND(AO82*BA82,2)</f>
        <v>0</v>
      </c>
      <c r="CU82" s="2">
        <f t="shared" si="57"/>
        <v>0</v>
      </c>
      <c r="CV82" s="2">
        <f>AH82</f>
        <v>0</v>
      </c>
      <c r="CW82" s="2">
        <f>AI82</f>
        <v>0</v>
      </c>
      <c r="CX82" s="2">
        <f t="shared" si="58"/>
        <v>0</v>
      </c>
      <c r="CY82" s="2">
        <f>0</f>
        <v>0</v>
      </c>
      <c r="CZ82" s="2">
        <f>0</f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130</v>
      </c>
      <c r="DW82" s="2" t="s">
        <v>130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72340530</v>
      </c>
      <c r="EF82" s="2">
        <v>8</v>
      </c>
      <c r="EG82" s="2" t="s">
        <v>50</v>
      </c>
      <c r="EH82" s="2">
        <v>0</v>
      </c>
      <c r="EI82" s="2" t="s">
        <v>3</v>
      </c>
      <c r="EJ82" s="2">
        <v>1</v>
      </c>
      <c r="EK82" s="2">
        <v>500001</v>
      </c>
      <c r="EL82" s="2" t="s">
        <v>51</v>
      </c>
      <c r="EM82" s="2" t="s">
        <v>52</v>
      </c>
      <c r="EN82" s="2"/>
      <c r="EO82" s="2" t="s">
        <v>3</v>
      </c>
      <c r="EP82" s="2"/>
      <c r="EQ82" s="2">
        <v>0</v>
      </c>
      <c r="ER82" s="2">
        <v>1009.91</v>
      </c>
      <c r="ES82" s="2">
        <v>1009.91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0</v>
      </c>
      <c r="FY82" s="2">
        <v>0</v>
      </c>
      <c r="FZ82" s="2"/>
      <c r="GA82" s="2" t="s">
        <v>3</v>
      </c>
      <c r="GB82" s="2"/>
      <c r="GC82" s="2"/>
      <c r="GD82" s="2">
        <v>1</v>
      </c>
      <c r="GE82" s="2"/>
      <c r="GF82" s="2">
        <v>1182841706</v>
      </c>
      <c r="GG82" s="2">
        <v>2</v>
      </c>
      <c r="GH82" s="2">
        <v>1</v>
      </c>
      <c r="GI82" s="2">
        <v>2</v>
      </c>
      <c r="GJ82" s="2">
        <v>0</v>
      </c>
      <c r="GK82" s="2">
        <v>0</v>
      </c>
      <c r="GL82" s="2">
        <f t="shared" si="59"/>
        <v>0</v>
      </c>
      <c r="GM82" s="2">
        <f t="shared" si="60"/>
        <v>999.81</v>
      </c>
      <c r="GN82" s="2">
        <f t="shared" si="61"/>
        <v>999.81</v>
      </c>
      <c r="GO82" s="2">
        <f t="shared" si="62"/>
        <v>0</v>
      </c>
      <c r="GP82" s="2">
        <f t="shared" si="63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64"/>
        <v>0</v>
      </c>
      <c r="GW82" s="2">
        <v>1</v>
      </c>
      <c r="GX82" s="2">
        <f t="shared" si="65"/>
        <v>0</v>
      </c>
      <c r="GY82" s="2"/>
      <c r="GZ82" s="2"/>
      <c r="HA82" s="2">
        <v>0</v>
      </c>
      <c r="HB82" s="2">
        <v>0</v>
      </c>
      <c r="HC82" s="2">
        <f t="shared" si="66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3</v>
      </c>
      <c r="HO82" s="2" t="s">
        <v>3</v>
      </c>
      <c r="HP82" s="2" t="s">
        <v>3</v>
      </c>
      <c r="HQ82" s="2" t="s">
        <v>3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17</v>
      </c>
      <c r="B83" s="2">
        <v>1</v>
      </c>
      <c r="C83" s="2"/>
      <c r="D83" s="2"/>
      <c r="E83" s="2" t="s">
        <v>177</v>
      </c>
      <c r="F83" s="2" t="s">
        <v>178</v>
      </c>
      <c r="G83" s="2" t="s">
        <v>179</v>
      </c>
      <c r="H83" s="2" t="s">
        <v>130</v>
      </c>
      <c r="I83" s="2">
        <v>2</v>
      </c>
      <c r="J83" s="2">
        <v>0</v>
      </c>
      <c r="K83" s="2">
        <v>2</v>
      </c>
      <c r="L83" s="2"/>
      <c r="M83" s="2"/>
      <c r="N83" s="2"/>
      <c r="O83" s="2">
        <f t="shared" si="48"/>
        <v>1999.62</v>
      </c>
      <c r="P83" s="2">
        <f>ROUND(CQ83*I83,2)</f>
        <v>1999.62</v>
      </c>
      <c r="Q83" s="2">
        <f>ROUND(CR83*I83,2)</f>
        <v>0</v>
      </c>
      <c r="R83" s="2">
        <f>ROUND(CS83*I83,2)</f>
        <v>0</v>
      </c>
      <c r="S83" s="2">
        <f>ROUND(CT83*I83,2)</f>
        <v>0</v>
      </c>
      <c r="T83" s="2">
        <f t="shared" si="49"/>
        <v>0</v>
      </c>
      <c r="U83" s="2">
        <f>ROUND(CV83*I83,7)</f>
        <v>0</v>
      </c>
      <c r="V83" s="2">
        <f>ROUND(CW83*I83,7)</f>
        <v>0</v>
      </c>
      <c r="W83" s="2">
        <f t="shared" si="50"/>
        <v>0</v>
      </c>
      <c r="X83" s="2">
        <f t="shared" si="51"/>
        <v>0</v>
      </c>
      <c r="Y83" s="2">
        <f t="shared" si="52"/>
        <v>0</v>
      </c>
      <c r="Z83" s="2"/>
      <c r="AA83" s="2">
        <v>74014550</v>
      </c>
      <c r="AB83" s="2">
        <f t="shared" si="53"/>
        <v>1009.91</v>
      </c>
      <c r="AC83" s="2">
        <f>ROUND((ES83),6)</f>
        <v>1009.91</v>
      </c>
      <c r="AD83" s="2">
        <f>ROUND((((ET83)-(EU83))+AE83),6)</f>
        <v>0</v>
      </c>
      <c r="AE83" s="2">
        <f>ROUND((EU83),6)</f>
        <v>0</v>
      </c>
      <c r="AF83" s="2">
        <f>ROUND((EV83),6)</f>
        <v>0</v>
      </c>
      <c r="AG83" s="2">
        <f t="shared" si="54"/>
        <v>0</v>
      </c>
      <c r="AH83" s="2">
        <f>(EW83)</f>
        <v>0</v>
      </c>
      <c r="AI83" s="2">
        <f>(EX83)</f>
        <v>0</v>
      </c>
      <c r="AJ83" s="2">
        <f t="shared" si="55"/>
        <v>0</v>
      </c>
      <c r="AK83" s="2">
        <v>1009.91</v>
      </c>
      <c r="AL83" s="2">
        <v>1009.91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0.99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3</v>
      </c>
      <c r="BI83" s="2">
        <v>1</v>
      </c>
      <c r="BJ83" s="2" t="s">
        <v>180</v>
      </c>
      <c r="BK83" s="2"/>
      <c r="BL83" s="2"/>
      <c r="BM83" s="2">
        <v>500001</v>
      </c>
      <c r="BN83" s="2">
        <v>0</v>
      </c>
      <c r="BO83" s="2" t="s">
        <v>178</v>
      </c>
      <c r="BP83" s="2">
        <v>1</v>
      </c>
      <c r="BQ83" s="2">
        <v>8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0</v>
      </c>
      <c r="CA83" s="2">
        <v>0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56"/>
        <v>1999.62</v>
      </c>
      <c r="CQ83" s="2">
        <f>ROUND(AL83*BC83,2)</f>
        <v>999.81</v>
      </c>
      <c r="CR83" s="2">
        <f>ROUND(AM83*BB83,2)</f>
        <v>0</v>
      </c>
      <c r="CS83" s="2">
        <f>ROUND(AN83*BS83,2)</f>
        <v>0</v>
      </c>
      <c r="CT83" s="2">
        <f>ROUND(AO83*BA83,2)</f>
        <v>0</v>
      </c>
      <c r="CU83" s="2">
        <f t="shared" si="57"/>
        <v>0</v>
      </c>
      <c r="CV83" s="2">
        <f>AH83</f>
        <v>0</v>
      </c>
      <c r="CW83" s="2">
        <f>AI83</f>
        <v>0</v>
      </c>
      <c r="CX83" s="2">
        <f t="shared" si="58"/>
        <v>0</v>
      </c>
      <c r="CY83" s="2">
        <f>0</f>
        <v>0</v>
      </c>
      <c r="CZ83" s="2">
        <f>0</f>
        <v>0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1013</v>
      </c>
      <c r="DV83" s="2" t="s">
        <v>130</v>
      </c>
      <c r="DW83" s="2" t="s">
        <v>130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72340530</v>
      </c>
      <c r="EF83" s="2">
        <v>8</v>
      </c>
      <c r="EG83" s="2" t="s">
        <v>50</v>
      </c>
      <c r="EH83" s="2">
        <v>0</v>
      </c>
      <c r="EI83" s="2" t="s">
        <v>3</v>
      </c>
      <c r="EJ83" s="2">
        <v>1</v>
      </c>
      <c r="EK83" s="2">
        <v>500001</v>
      </c>
      <c r="EL83" s="2" t="s">
        <v>51</v>
      </c>
      <c r="EM83" s="2" t="s">
        <v>52</v>
      </c>
      <c r="EN83" s="2"/>
      <c r="EO83" s="2" t="s">
        <v>3</v>
      </c>
      <c r="EP83" s="2"/>
      <c r="EQ83" s="2">
        <v>0</v>
      </c>
      <c r="ER83" s="2">
        <v>1009.91</v>
      </c>
      <c r="ES83" s="2">
        <v>1009.91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0</v>
      </c>
      <c r="FY83" s="2">
        <v>0</v>
      </c>
      <c r="FZ83" s="2"/>
      <c r="GA83" s="2" t="s">
        <v>3</v>
      </c>
      <c r="GB83" s="2"/>
      <c r="GC83" s="2"/>
      <c r="GD83" s="2">
        <v>1</v>
      </c>
      <c r="GE83" s="2"/>
      <c r="GF83" s="2">
        <v>1057113513</v>
      </c>
      <c r="GG83" s="2">
        <v>2</v>
      </c>
      <c r="GH83" s="2">
        <v>1</v>
      </c>
      <c r="GI83" s="2">
        <v>2</v>
      </c>
      <c r="GJ83" s="2">
        <v>0</v>
      </c>
      <c r="GK83" s="2">
        <v>0</v>
      </c>
      <c r="GL83" s="2">
        <f t="shared" si="59"/>
        <v>0</v>
      </c>
      <c r="GM83" s="2">
        <f t="shared" si="60"/>
        <v>1999.62</v>
      </c>
      <c r="GN83" s="2">
        <f t="shared" si="61"/>
        <v>1999.62</v>
      </c>
      <c r="GO83" s="2">
        <f t="shared" si="62"/>
        <v>0</v>
      </c>
      <c r="GP83" s="2">
        <f t="shared" si="63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64"/>
        <v>0</v>
      </c>
      <c r="GW83" s="2">
        <v>1</v>
      </c>
      <c r="GX83" s="2">
        <f t="shared" si="65"/>
        <v>0</v>
      </c>
      <c r="GY83" s="2"/>
      <c r="GZ83" s="2"/>
      <c r="HA83" s="2">
        <v>0</v>
      </c>
      <c r="HB83" s="2">
        <v>0</v>
      </c>
      <c r="HC83" s="2">
        <f t="shared" si="66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3</v>
      </c>
      <c r="HO83" s="2" t="s">
        <v>3</v>
      </c>
      <c r="HP83" s="2" t="s">
        <v>3</v>
      </c>
      <c r="HQ83" s="2" t="s">
        <v>3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17</v>
      </c>
      <c r="B84" s="2">
        <v>1</v>
      </c>
      <c r="C84" s="2">
        <f>ROW(SmtRes!A71)</f>
        <v>71</v>
      </c>
      <c r="D84" s="2">
        <f>ROW(EtalonRes!A81)</f>
        <v>81</v>
      </c>
      <c r="E84" s="2" t="s">
        <v>181</v>
      </c>
      <c r="F84" s="2" t="s">
        <v>182</v>
      </c>
      <c r="G84" s="2" t="s">
        <v>183</v>
      </c>
      <c r="H84" s="2" t="s">
        <v>184</v>
      </c>
      <c r="I84" s="2">
        <v>8.1000000000000003E-2</v>
      </c>
      <c r="J84" s="2">
        <v>0</v>
      </c>
      <c r="K84" s="2">
        <v>8.1000000000000003E-2</v>
      </c>
      <c r="L84" s="2"/>
      <c r="M84" s="2"/>
      <c r="N84" s="2"/>
      <c r="O84" s="2">
        <f t="shared" si="48"/>
        <v>1947.14</v>
      </c>
      <c r="P84" s="2">
        <f>SUMIF(SmtRes!AQ67:'SmtRes'!AQ71,"=1",SmtRes!DF67:'SmtRes'!DF71)</f>
        <v>0</v>
      </c>
      <c r="Q84" s="2">
        <f>SUMIF(SmtRes!AQ67:'SmtRes'!AQ71,"=1",SmtRes!DG67:'SmtRes'!DG71)</f>
        <v>844.34</v>
      </c>
      <c r="R84" s="2">
        <f>SUMIF(SmtRes!AQ67:'SmtRes'!AQ71,"=1",SmtRes!DH67:'SmtRes'!DH71)</f>
        <v>276.45999999999998</v>
      </c>
      <c r="S84" s="2">
        <f>SUMIF(SmtRes!AQ67:'SmtRes'!AQ71,"=1",SmtRes!DI67:'SmtRes'!DI71)</f>
        <v>826.34</v>
      </c>
      <c r="T84" s="2">
        <f t="shared" si="49"/>
        <v>0</v>
      </c>
      <c r="U84" s="2">
        <f>SUMIF(SmtRes!AQ67:'SmtRes'!AQ71,"=1",SmtRes!CV67:'SmtRes'!CV71)</f>
        <v>2.1869999999999998</v>
      </c>
      <c r="V84" s="2">
        <f>SUMIF(SmtRes!AQ67:'SmtRes'!AQ71,"=1",SmtRes!CW67:'SmtRes'!CW71)</f>
        <v>0.60102</v>
      </c>
      <c r="W84" s="2">
        <f t="shared" si="50"/>
        <v>0</v>
      </c>
      <c r="X84" s="2">
        <f t="shared" si="51"/>
        <v>1224.1099999999999</v>
      </c>
      <c r="Y84" s="2">
        <f t="shared" si="52"/>
        <v>573.46</v>
      </c>
      <c r="Z84" s="2"/>
      <c r="AA84" s="2">
        <v>74014550</v>
      </c>
      <c r="AB84" s="2">
        <f t="shared" si="53"/>
        <v>17843.686399999999</v>
      </c>
      <c r="AC84" s="2">
        <f>ROUND((0),6)</f>
        <v>0</v>
      </c>
      <c r="AD84" s="2">
        <f>ROUND((((SUM(SmtRes!BR67:'SmtRes'!BR71))-(SUM(SmtRes!BS67:'SmtRes'!BS71)))+AE84),6)</f>
        <v>7642.0064000000002</v>
      </c>
      <c r="AE84" s="2">
        <f>ROUND((SUM(SmtRes!BS67:'SmtRes'!BS71)),6)</f>
        <v>3413.0515999999998</v>
      </c>
      <c r="AF84" s="2">
        <f>ROUND((SUM(SmtRes!BT67:'SmtRes'!BT71)),6)</f>
        <v>10201.68</v>
      </c>
      <c r="AG84" s="2">
        <f t="shared" si="54"/>
        <v>0</v>
      </c>
      <c r="AH84" s="2">
        <f>(SUM(SmtRes!BU67:'SmtRes'!BU71))</f>
        <v>27</v>
      </c>
      <c r="AI84" s="2">
        <f>(SUM(SmtRes!BV67:'SmtRes'!BV71))</f>
        <v>7.42</v>
      </c>
      <c r="AJ84" s="2">
        <f t="shared" si="55"/>
        <v>0</v>
      </c>
      <c r="AK84" s="2">
        <v>21256.737999999998</v>
      </c>
      <c r="AL84" s="2">
        <v>0</v>
      </c>
      <c r="AM84" s="2">
        <v>7642.0063999999993</v>
      </c>
      <c r="AN84" s="2">
        <v>3413.0516000000002</v>
      </c>
      <c r="AO84" s="2">
        <v>10201.679999999998</v>
      </c>
      <c r="AP84" s="2">
        <v>0</v>
      </c>
      <c r="AQ84" s="2">
        <v>27</v>
      </c>
      <c r="AR84" s="2">
        <v>7.42</v>
      </c>
      <c r="AS84" s="2">
        <v>0</v>
      </c>
      <c r="AT84" s="2">
        <v>111</v>
      </c>
      <c r="AU84" s="2">
        <v>52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0</v>
      </c>
      <c r="BI84" s="2">
        <v>2</v>
      </c>
      <c r="BJ84" s="2" t="s">
        <v>185</v>
      </c>
      <c r="BK84" s="2"/>
      <c r="BL84" s="2"/>
      <c r="BM84" s="2">
        <v>110005</v>
      </c>
      <c r="BN84" s="2">
        <v>0</v>
      </c>
      <c r="BO84" s="2" t="s">
        <v>3</v>
      </c>
      <c r="BP84" s="2">
        <v>0</v>
      </c>
      <c r="BQ84" s="2">
        <v>3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111</v>
      </c>
      <c r="CA84" s="2">
        <v>52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56"/>
        <v>1947.14</v>
      </c>
      <c r="CQ84" s="2">
        <f>SUMIF(SmtRes!AQ67:'SmtRes'!AQ71,"=1",SmtRes!AA67:'SmtRes'!AA71)</f>
        <v>0</v>
      </c>
      <c r="CR84" s="2">
        <f>SUMIF(SmtRes!AQ67:'SmtRes'!AQ71,"=1",SmtRes!AB67:'SmtRes'!AB71)</f>
        <v>1404.8500000000001</v>
      </c>
      <c r="CS84" s="2">
        <f>SUMIF(SmtRes!AQ67:'SmtRes'!AQ71,"=1",SmtRes!AC67:'SmtRes'!AC71)</f>
        <v>459.98</v>
      </c>
      <c r="CT84" s="2">
        <f>SUMIF(SmtRes!AQ67:'SmtRes'!AQ71,"=1",SmtRes!AD67:'SmtRes'!AD71)</f>
        <v>377.84</v>
      </c>
      <c r="CU84" s="2">
        <f t="shared" si="57"/>
        <v>0</v>
      </c>
      <c r="CV84" s="2">
        <f>SUMIF(SmtRes!AQ67:'SmtRes'!AQ71,"=1",SmtRes!BU67:'SmtRes'!BU71)</f>
        <v>27</v>
      </c>
      <c r="CW84" s="2">
        <f>SUMIF(SmtRes!AQ67:'SmtRes'!AQ71,"=1",SmtRes!BV67:'SmtRes'!BV71)</f>
        <v>7.42</v>
      </c>
      <c r="CX84" s="2">
        <f t="shared" si="58"/>
        <v>0</v>
      </c>
      <c r="CY84" s="2">
        <f>(((S84+R84)*AT84)/100)</f>
        <v>1224.1079999999999</v>
      </c>
      <c r="CZ84" s="2">
        <f>(((S84+R84)*AU84)/100)</f>
        <v>573.45600000000002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30717392</v>
      </c>
      <c r="DV84" s="2" t="s">
        <v>184</v>
      </c>
      <c r="DW84" s="2" t="s">
        <v>184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72340517</v>
      </c>
      <c r="EF84" s="2">
        <v>3</v>
      </c>
      <c r="EG84" s="2" t="s">
        <v>186</v>
      </c>
      <c r="EH84" s="2">
        <v>0</v>
      </c>
      <c r="EI84" s="2" t="s">
        <v>3</v>
      </c>
      <c r="EJ84" s="2">
        <v>2</v>
      </c>
      <c r="EK84" s="2">
        <v>110005</v>
      </c>
      <c r="EL84" s="2" t="s">
        <v>187</v>
      </c>
      <c r="EM84" s="2" t="s">
        <v>188</v>
      </c>
      <c r="EN84" s="2"/>
      <c r="EO84" s="2" t="s">
        <v>3</v>
      </c>
      <c r="EP84" s="2"/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27</v>
      </c>
      <c r="EX84" s="2">
        <v>7.42</v>
      </c>
      <c r="EY84" s="2">
        <v>0</v>
      </c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111</v>
      </c>
      <c r="FY84" s="2">
        <v>52</v>
      </c>
      <c r="FZ84" s="2"/>
      <c r="GA84" s="2" t="s">
        <v>3</v>
      </c>
      <c r="GB84" s="2"/>
      <c r="GC84" s="2"/>
      <c r="GD84" s="2">
        <v>1</v>
      </c>
      <c r="GE84" s="2"/>
      <c r="GF84" s="2">
        <v>1356055473</v>
      </c>
      <c r="GG84" s="2">
        <v>2</v>
      </c>
      <c r="GH84" s="2">
        <v>1</v>
      </c>
      <c r="GI84" s="2">
        <v>-2</v>
      </c>
      <c r="GJ84" s="2">
        <v>0</v>
      </c>
      <c r="GK84" s="2">
        <v>0</v>
      </c>
      <c r="GL84" s="2">
        <f t="shared" si="59"/>
        <v>0</v>
      </c>
      <c r="GM84" s="2">
        <f t="shared" si="60"/>
        <v>3744.71</v>
      </c>
      <c r="GN84" s="2">
        <f t="shared" si="61"/>
        <v>0</v>
      </c>
      <c r="GO84" s="2">
        <f t="shared" si="62"/>
        <v>3744.71</v>
      </c>
      <c r="GP84" s="2">
        <f t="shared" si="63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64"/>
        <v>0</v>
      </c>
      <c r="GW84" s="2">
        <v>1</v>
      </c>
      <c r="GX84" s="2">
        <f t="shared" si="65"/>
        <v>0</v>
      </c>
      <c r="GY84" s="2"/>
      <c r="GZ84" s="2"/>
      <c r="HA84" s="2">
        <v>0</v>
      </c>
      <c r="HB84" s="2">
        <v>0</v>
      </c>
      <c r="HC84" s="2">
        <f t="shared" si="66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189</v>
      </c>
      <c r="HO84" s="2" t="s">
        <v>190</v>
      </c>
      <c r="HP84" s="2" t="s">
        <v>187</v>
      </c>
      <c r="HQ84" s="2" t="s">
        <v>187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18</v>
      </c>
      <c r="B85" s="2">
        <v>1</v>
      </c>
      <c r="C85" s="2">
        <v>71</v>
      </c>
      <c r="D85" s="2"/>
      <c r="E85" s="2" t="s">
        <v>191</v>
      </c>
      <c r="F85" s="2" t="s">
        <v>192</v>
      </c>
      <c r="G85" s="2" t="s">
        <v>193</v>
      </c>
      <c r="H85" s="2" t="s">
        <v>194</v>
      </c>
      <c r="I85" s="2">
        <f>J85</f>
        <v>2</v>
      </c>
      <c r="J85" s="2">
        <v>2</v>
      </c>
      <c r="K85" s="2">
        <v>2</v>
      </c>
      <c r="L85" s="2"/>
      <c r="M85" s="2"/>
      <c r="N85" s="2"/>
      <c r="O85" s="2">
        <f>ROUND(P85,2)</f>
        <v>16.53</v>
      </c>
      <c r="P85" s="2">
        <f>ROUND(ROUND(ROUND(SUMIF(SmtRes!AQ67:'SmtRes'!AQ71,"=1",SmtRes!CU67:'SmtRes'!CU71),2),2)*I85/100,2)</f>
        <v>16.53</v>
      </c>
      <c r="Q85" s="2">
        <f>ROUND(CR85*I85,2)</f>
        <v>0</v>
      </c>
      <c r="R85" s="2">
        <f>ROUND(CS85*I85,2)</f>
        <v>0</v>
      </c>
      <c r="S85" s="2">
        <f>ROUND(CT85*I85,2)</f>
        <v>0</v>
      </c>
      <c r="T85" s="2">
        <f t="shared" si="49"/>
        <v>0</v>
      </c>
      <c r="U85" s="2">
        <f>ROUND(CV85*I85,7)</f>
        <v>0</v>
      </c>
      <c r="V85" s="2">
        <f>ROUND(CW85*I85,7)</f>
        <v>0</v>
      </c>
      <c r="W85" s="2">
        <f t="shared" si="50"/>
        <v>0</v>
      </c>
      <c r="X85" s="2">
        <f t="shared" si="51"/>
        <v>0</v>
      </c>
      <c r="Y85" s="2">
        <f t="shared" si="52"/>
        <v>0</v>
      </c>
      <c r="Z85" s="2"/>
      <c r="AA85" s="2">
        <v>74014550</v>
      </c>
      <c r="AB85" s="2">
        <f t="shared" si="53"/>
        <v>0</v>
      </c>
      <c r="AC85" s="2">
        <f>ROUND((ES85),6)</f>
        <v>0</v>
      </c>
      <c r="AD85" s="2">
        <f>ROUND((((ET85)-(EU85))+AE85),6)</f>
        <v>0</v>
      </c>
      <c r="AE85" s="2">
        <f>ROUND((EU85),6)</f>
        <v>0</v>
      </c>
      <c r="AF85" s="2">
        <f>ROUND((EV85),6)</f>
        <v>0</v>
      </c>
      <c r="AG85" s="2">
        <f t="shared" si="54"/>
        <v>0</v>
      </c>
      <c r="AH85" s="2">
        <f>(EW85)</f>
        <v>0</v>
      </c>
      <c r="AI85" s="2">
        <f>(EX85)</f>
        <v>0</v>
      </c>
      <c r="AJ85" s="2">
        <f t="shared" si="55"/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111</v>
      </c>
      <c r="AU85" s="2">
        <v>52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1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3</v>
      </c>
      <c r="BI85" s="2">
        <v>2</v>
      </c>
      <c r="BJ85" s="2" t="s">
        <v>3</v>
      </c>
      <c r="BK85" s="2"/>
      <c r="BL85" s="2"/>
      <c r="BM85" s="2">
        <v>110005</v>
      </c>
      <c r="BN85" s="2">
        <v>0</v>
      </c>
      <c r="BO85" s="2" t="s">
        <v>3</v>
      </c>
      <c r="BP85" s="2">
        <v>0</v>
      </c>
      <c r="BQ85" s="2">
        <v>3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111</v>
      </c>
      <c r="CA85" s="2">
        <v>52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>0</f>
        <v>0</v>
      </c>
      <c r="CQ85" s="2">
        <f>0</f>
        <v>0</v>
      </c>
      <c r="CR85" s="2">
        <f>0</f>
        <v>0</v>
      </c>
      <c r="CS85" s="2">
        <f>0</f>
        <v>0</v>
      </c>
      <c r="CT85" s="2">
        <f>0</f>
        <v>0</v>
      </c>
      <c r="CU85" s="2">
        <f>0</f>
        <v>0</v>
      </c>
      <c r="CV85" s="2">
        <f>0</f>
        <v>0</v>
      </c>
      <c r="CW85" s="2">
        <f>0</f>
        <v>0</v>
      </c>
      <c r="CX85" s="2">
        <f>0</f>
        <v>0</v>
      </c>
      <c r="CY85" s="2">
        <f>0</f>
        <v>0</v>
      </c>
      <c r="CZ85" s="2">
        <f>0</f>
        <v>0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1013</v>
      </c>
      <c r="DV85" s="2" t="s">
        <v>194</v>
      </c>
      <c r="DW85" s="2" t="s">
        <v>194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72340517</v>
      </c>
      <c r="EF85" s="2">
        <v>3</v>
      </c>
      <c r="EG85" s="2" t="s">
        <v>186</v>
      </c>
      <c r="EH85" s="2">
        <v>0</v>
      </c>
      <c r="EI85" s="2" t="s">
        <v>3</v>
      </c>
      <c r="EJ85" s="2">
        <v>2</v>
      </c>
      <c r="EK85" s="2">
        <v>110005</v>
      </c>
      <c r="EL85" s="2" t="s">
        <v>187</v>
      </c>
      <c r="EM85" s="2" t="s">
        <v>188</v>
      </c>
      <c r="EN85" s="2"/>
      <c r="EO85" s="2" t="s">
        <v>3</v>
      </c>
      <c r="EP85" s="2"/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111</v>
      </c>
      <c r="FY85" s="2">
        <v>52</v>
      </c>
      <c r="FZ85" s="2"/>
      <c r="GA85" s="2" t="s">
        <v>3</v>
      </c>
      <c r="GB85" s="2"/>
      <c r="GC85" s="2"/>
      <c r="GD85" s="2">
        <v>1</v>
      </c>
      <c r="GE85" s="2"/>
      <c r="GF85" s="2">
        <v>274903907</v>
      </c>
      <c r="GG85" s="2">
        <v>2</v>
      </c>
      <c r="GH85" s="2">
        <v>1</v>
      </c>
      <c r="GI85" s="2">
        <v>-2</v>
      </c>
      <c r="GJ85" s="2">
        <v>0</v>
      </c>
      <c r="GK85" s="2">
        <v>0</v>
      </c>
      <c r="GL85" s="2">
        <f t="shared" si="59"/>
        <v>0</v>
      </c>
      <c r="GM85" s="2">
        <f t="shared" si="60"/>
        <v>16.53</v>
      </c>
      <c r="GN85" s="2">
        <f t="shared" si="61"/>
        <v>0</v>
      </c>
      <c r="GO85" s="2">
        <f t="shared" si="62"/>
        <v>16.53</v>
      </c>
      <c r="GP85" s="2">
        <f t="shared" si="63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64"/>
        <v>0</v>
      </c>
      <c r="GW85" s="2">
        <v>1</v>
      </c>
      <c r="GX85" s="2">
        <f t="shared" si="65"/>
        <v>0</v>
      </c>
      <c r="GY85" s="2"/>
      <c r="GZ85" s="2"/>
      <c r="HA85" s="2">
        <v>0</v>
      </c>
      <c r="HB85" s="2">
        <v>0</v>
      </c>
      <c r="HC85" s="2">
        <f>0</f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189</v>
      </c>
      <c r="HO85" s="2" t="s">
        <v>190</v>
      </c>
      <c r="HP85" s="2" t="s">
        <v>187</v>
      </c>
      <c r="HQ85" s="2" t="s">
        <v>187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17</v>
      </c>
      <c r="B86" s="2">
        <v>1</v>
      </c>
      <c r="C86" s="2"/>
      <c r="D86" s="2"/>
      <c r="E86" s="2" t="s">
        <v>195</v>
      </c>
      <c r="F86" s="2" t="s">
        <v>196</v>
      </c>
      <c r="G86" s="2" t="s">
        <v>197</v>
      </c>
      <c r="H86" s="2" t="s">
        <v>198</v>
      </c>
      <c r="I86" s="2">
        <f>ROUND(81/1000,7)</f>
        <v>8.1000000000000003E-2</v>
      </c>
      <c r="J86" s="2">
        <v>0</v>
      </c>
      <c r="K86" s="2">
        <f>ROUND(81/1000,7)</f>
        <v>8.1000000000000003E-2</v>
      </c>
      <c r="L86" s="2"/>
      <c r="M86" s="2"/>
      <c r="N86" s="2"/>
      <c r="O86" s="2">
        <f>ROUND(CP86,2)</f>
        <v>314.39999999999998</v>
      </c>
      <c r="P86" s="2">
        <f>ROUND(CQ86*I86,2)</f>
        <v>314.39999999999998</v>
      </c>
      <c r="Q86" s="2">
        <f>ROUND(CR86*I86,2)</f>
        <v>0</v>
      </c>
      <c r="R86" s="2">
        <f>ROUND(CS86*I86,2)</f>
        <v>0</v>
      </c>
      <c r="S86" s="2">
        <f>ROUND(CT86*I86,2)</f>
        <v>0</v>
      </c>
      <c r="T86" s="2">
        <f t="shared" si="49"/>
        <v>0</v>
      </c>
      <c r="U86" s="2">
        <f>ROUND(CV86*I86,7)</f>
        <v>0</v>
      </c>
      <c r="V86" s="2">
        <f>ROUND(CW86*I86,7)</f>
        <v>0</v>
      </c>
      <c r="W86" s="2">
        <f t="shared" si="50"/>
        <v>0</v>
      </c>
      <c r="X86" s="2">
        <f t="shared" si="51"/>
        <v>0</v>
      </c>
      <c r="Y86" s="2">
        <f t="shared" si="52"/>
        <v>0</v>
      </c>
      <c r="Z86" s="2"/>
      <c r="AA86" s="2">
        <v>74014550</v>
      </c>
      <c r="AB86" s="2">
        <f t="shared" si="53"/>
        <v>3080.58</v>
      </c>
      <c r="AC86" s="2">
        <f>ROUND((ES86),6)</f>
        <v>3080.58</v>
      </c>
      <c r="AD86" s="2">
        <f>ROUND((((ET86)-(EU86))+AE86),6)</f>
        <v>0</v>
      </c>
      <c r="AE86" s="2">
        <f>ROUND((EU86),6)</f>
        <v>0</v>
      </c>
      <c r="AF86" s="2">
        <f>ROUND((EV86),6)</f>
        <v>0</v>
      </c>
      <c r="AG86" s="2">
        <f t="shared" si="54"/>
        <v>0</v>
      </c>
      <c r="AH86" s="2">
        <f>(EW86)</f>
        <v>0</v>
      </c>
      <c r="AI86" s="2">
        <f>(EX86)</f>
        <v>0</v>
      </c>
      <c r="AJ86" s="2">
        <f t="shared" si="55"/>
        <v>0</v>
      </c>
      <c r="AK86" s="2">
        <v>3080.58</v>
      </c>
      <c r="AL86" s="2">
        <v>3080.58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1.26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3</v>
      </c>
      <c r="BI86" s="2">
        <v>2</v>
      </c>
      <c r="BJ86" s="2" t="s">
        <v>199</v>
      </c>
      <c r="BK86" s="2"/>
      <c r="BL86" s="2"/>
      <c r="BM86" s="2">
        <v>500002</v>
      </c>
      <c r="BN86" s="2">
        <v>0</v>
      </c>
      <c r="BO86" s="2" t="s">
        <v>196</v>
      </c>
      <c r="BP86" s="2">
        <v>1</v>
      </c>
      <c r="BQ86" s="2">
        <v>12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0</v>
      </c>
      <c r="CA86" s="2">
        <v>0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>(P86+Q86+S86+R86)</f>
        <v>314.39999999999998</v>
      </c>
      <c r="CQ86" s="2">
        <f>ROUND(AL86*BC86,2)</f>
        <v>3881.53</v>
      </c>
      <c r="CR86" s="2">
        <f>ROUND(AM86*BB86,2)</f>
        <v>0</v>
      </c>
      <c r="CS86" s="2">
        <f>ROUND(AN86*BS86,2)</f>
        <v>0</v>
      </c>
      <c r="CT86" s="2">
        <f>ROUND(AO86*BA86,2)</f>
        <v>0</v>
      </c>
      <c r="CU86" s="2">
        <f>AG86</f>
        <v>0</v>
      </c>
      <c r="CV86" s="2">
        <f>AH86</f>
        <v>0</v>
      </c>
      <c r="CW86" s="2">
        <f>AI86</f>
        <v>0</v>
      </c>
      <c r="CX86" s="2">
        <f>AJ86</f>
        <v>0</v>
      </c>
      <c r="CY86" s="2">
        <f>0</f>
        <v>0</v>
      </c>
      <c r="CZ86" s="2">
        <f>0</f>
        <v>0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1013</v>
      </c>
      <c r="DV86" s="2" t="s">
        <v>198</v>
      </c>
      <c r="DW86" s="2" t="s">
        <v>200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72340531</v>
      </c>
      <c r="EF86" s="2">
        <v>12</v>
      </c>
      <c r="EG86" s="2" t="s">
        <v>201</v>
      </c>
      <c r="EH86" s="2">
        <v>0</v>
      </c>
      <c r="EI86" s="2" t="s">
        <v>3</v>
      </c>
      <c r="EJ86" s="2">
        <v>2</v>
      </c>
      <c r="EK86" s="2">
        <v>500002</v>
      </c>
      <c r="EL86" s="2" t="s">
        <v>202</v>
      </c>
      <c r="EM86" s="2" t="s">
        <v>203</v>
      </c>
      <c r="EN86" s="2"/>
      <c r="EO86" s="2" t="s">
        <v>3</v>
      </c>
      <c r="EP86" s="2"/>
      <c r="EQ86" s="2">
        <v>0</v>
      </c>
      <c r="ER86" s="2">
        <v>3080.58</v>
      </c>
      <c r="ES86" s="2">
        <v>3080.58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0</v>
      </c>
      <c r="FY86" s="2">
        <v>0</v>
      </c>
      <c r="FZ86" s="2"/>
      <c r="GA86" s="2" t="s">
        <v>3</v>
      </c>
      <c r="GB86" s="2"/>
      <c r="GC86" s="2"/>
      <c r="GD86" s="2">
        <v>1</v>
      </c>
      <c r="GE86" s="2"/>
      <c r="GF86" s="2">
        <v>1575156864</v>
      </c>
      <c r="GG86" s="2">
        <v>2</v>
      </c>
      <c r="GH86" s="2">
        <v>1</v>
      </c>
      <c r="GI86" s="2">
        <v>2</v>
      </c>
      <c r="GJ86" s="2">
        <v>0</v>
      </c>
      <c r="GK86" s="2">
        <v>0</v>
      </c>
      <c r="GL86" s="2">
        <f t="shared" si="59"/>
        <v>0</v>
      </c>
      <c r="GM86" s="2">
        <f t="shared" si="60"/>
        <v>314.39999999999998</v>
      </c>
      <c r="GN86" s="2">
        <f t="shared" si="61"/>
        <v>0</v>
      </c>
      <c r="GO86" s="2">
        <f t="shared" si="62"/>
        <v>314.39999999999998</v>
      </c>
      <c r="GP86" s="2">
        <f t="shared" si="63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64"/>
        <v>0</v>
      </c>
      <c r="GW86" s="2">
        <v>1</v>
      </c>
      <c r="GX86" s="2">
        <f t="shared" si="65"/>
        <v>0</v>
      </c>
      <c r="GY86" s="2"/>
      <c r="GZ86" s="2"/>
      <c r="HA86" s="2">
        <v>0</v>
      </c>
      <c r="HB86" s="2">
        <v>0</v>
      </c>
      <c r="HC86" s="2">
        <f>GV86*GW86</f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3</v>
      </c>
      <c r="HO86" s="2" t="s">
        <v>3</v>
      </c>
      <c r="HP86" s="2" t="s">
        <v>3</v>
      </c>
      <c r="HQ86" s="2" t="s">
        <v>3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17</v>
      </c>
      <c r="B87" s="2">
        <v>1</v>
      </c>
      <c r="C87" s="2">
        <f>ROW(SmtRes!A76)</f>
        <v>76</v>
      </c>
      <c r="D87" s="2">
        <f>ROW(EtalonRes!A86)</f>
        <v>86</v>
      </c>
      <c r="E87" s="2" t="s">
        <v>204</v>
      </c>
      <c r="F87" s="2" t="s">
        <v>182</v>
      </c>
      <c r="G87" s="2" t="s">
        <v>205</v>
      </c>
      <c r="H87" s="2" t="s">
        <v>184</v>
      </c>
      <c r="I87" s="2">
        <v>0.09</v>
      </c>
      <c r="J87" s="2">
        <v>0</v>
      </c>
      <c r="K87" s="2">
        <v>0.09</v>
      </c>
      <c r="L87" s="2"/>
      <c r="M87" s="2"/>
      <c r="N87" s="2"/>
      <c r="O87" s="2">
        <f>ROUND(CP87,2)</f>
        <v>2163.48</v>
      </c>
      <c r="P87" s="2">
        <f>SUMIF(SmtRes!AQ72:'SmtRes'!AQ76,"=1",SmtRes!DF72:'SmtRes'!DF76)</f>
        <v>0</v>
      </c>
      <c r="Q87" s="2">
        <f>SUMIF(SmtRes!AQ72:'SmtRes'!AQ76,"=1",SmtRes!DG72:'SmtRes'!DG76)</f>
        <v>938.16</v>
      </c>
      <c r="R87" s="2">
        <f>SUMIF(SmtRes!AQ72:'SmtRes'!AQ76,"=1",SmtRes!DH72:'SmtRes'!DH76)</f>
        <v>307.17</v>
      </c>
      <c r="S87" s="2">
        <f>SUMIF(SmtRes!AQ72:'SmtRes'!AQ76,"=1",SmtRes!DI72:'SmtRes'!DI76)</f>
        <v>918.15</v>
      </c>
      <c r="T87" s="2">
        <f t="shared" si="49"/>
        <v>0</v>
      </c>
      <c r="U87" s="2">
        <f>SUMIF(SmtRes!AQ72:'SmtRes'!AQ76,"=1",SmtRes!CV72:'SmtRes'!CV76)</f>
        <v>2.4300000000000002</v>
      </c>
      <c r="V87" s="2">
        <f>SUMIF(SmtRes!AQ72:'SmtRes'!AQ76,"=1",SmtRes!CW72:'SmtRes'!CW76)</f>
        <v>0.66779999999999995</v>
      </c>
      <c r="W87" s="2">
        <f t="shared" si="50"/>
        <v>0</v>
      </c>
      <c r="X87" s="2">
        <f t="shared" si="51"/>
        <v>1360.11</v>
      </c>
      <c r="Y87" s="2">
        <f t="shared" si="52"/>
        <v>637.16999999999996</v>
      </c>
      <c r="Z87" s="2"/>
      <c r="AA87" s="2">
        <v>74014550</v>
      </c>
      <c r="AB87" s="2">
        <f t="shared" si="53"/>
        <v>17843.686399999999</v>
      </c>
      <c r="AC87" s="2">
        <f>ROUND((0),6)</f>
        <v>0</v>
      </c>
      <c r="AD87" s="2">
        <f>ROUND((((SUM(SmtRes!BR72:'SmtRes'!BR76))-(SUM(SmtRes!BS72:'SmtRes'!BS76)))+AE87),6)</f>
        <v>7642.0064000000002</v>
      </c>
      <c r="AE87" s="2">
        <f>ROUND((SUM(SmtRes!BS72:'SmtRes'!BS76)),6)</f>
        <v>3413.0515999999998</v>
      </c>
      <c r="AF87" s="2">
        <f>ROUND((SUM(SmtRes!BT72:'SmtRes'!BT76)),6)</f>
        <v>10201.68</v>
      </c>
      <c r="AG87" s="2">
        <f t="shared" si="54"/>
        <v>0</v>
      </c>
      <c r="AH87" s="2">
        <f>(SUM(SmtRes!BU72:'SmtRes'!BU76))</f>
        <v>27</v>
      </c>
      <c r="AI87" s="2">
        <f>(SUM(SmtRes!BV72:'SmtRes'!BV76))</f>
        <v>7.42</v>
      </c>
      <c r="AJ87" s="2">
        <f t="shared" si="55"/>
        <v>0</v>
      </c>
      <c r="AK87" s="2">
        <v>21256.737999999998</v>
      </c>
      <c r="AL87" s="2">
        <v>0</v>
      </c>
      <c r="AM87" s="2">
        <v>7642.0063999999993</v>
      </c>
      <c r="AN87" s="2">
        <v>3413.0516000000002</v>
      </c>
      <c r="AO87" s="2">
        <v>10201.679999999998</v>
      </c>
      <c r="AP87" s="2">
        <v>0</v>
      </c>
      <c r="AQ87" s="2">
        <v>27</v>
      </c>
      <c r="AR87" s="2">
        <v>7.42</v>
      </c>
      <c r="AS87" s="2">
        <v>0</v>
      </c>
      <c r="AT87" s="2">
        <v>111</v>
      </c>
      <c r="AU87" s="2">
        <v>52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0</v>
      </c>
      <c r="BI87" s="2">
        <v>2</v>
      </c>
      <c r="BJ87" s="2" t="s">
        <v>185</v>
      </c>
      <c r="BK87" s="2"/>
      <c r="BL87" s="2"/>
      <c r="BM87" s="2">
        <v>110005</v>
      </c>
      <c r="BN87" s="2">
        <v>0</v>
      </c>
      <c r="BO87" s="2" t="s">
        <v>3</v>
      </c>
      <c r="BP87" s="2">
        <v>0</v>
      </c>
      <c r="BQ87" s="2">
        <v>3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111</v>
      </c>
      <c r="CA87" s="2">
        <v>52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>(P87+Q87+S87+R87)</f>
        <v>2163.48</v>
      </c>
      <c r="CQ87" s="2">
        <f>SUMIF(SmtRes!AQ72:'SmtRes'!AQ76,"=1",SmtRes!AA72:'SmtRes'!AA76)</f>
        <v>0</v>
      </c>
      <c r="CR87" s="2">
        <f>SUMIF(SmtRes!AQ72:'SmtRes'!AQ76,"=1",SmtRes!AB72:'SmtRes'!AB76)</f>
        <v>1404.8500000000001</v>
      </c>
      <c r="CS87" s="2">
        <f>SUMIF(SmtRes!AQ72:'SmtRes'!AQ76,"=1",SmtRes!AC72:'SmtRes'!AC76)</f>
        <v>459.98</v>
      </c>
      <c r="CT87" s="2">
        <f>SUMIF(SmtRes!AQ72:'SmtRes'!AQ76,"=1",SmtRes!AD72:'SmtRes'!AD76)</f>
        <v>377.84</v>
      </c>
      <c r="CU87" s="2">
        <f>AG87</f>
        <v>0</v>
      </c>
      <c r="CV87" s="2">
        <f>SUMIF(SmtRes!AQ72:'SmtRes'!AQ76,"=1",SmtRes!BU72:'SmtRes'!BU76)</f>
        <v>27</v>
      </c>
      <c r="CW87" s="2">
        <f>SUMIF(SmtRes!AQ72:'SmtRes'!AQ76,"=1",SmtRes!BV72:'SmtRes'!BV76)</f>
        <v>7.42</v>
      </c>
      <c r="CX87" s="2">
        <f>AJ87</f>
        <v>0</v>
      </c>
      <c r="CY87" s="2">
        <f>(((S87+R87)*AT87)/100)</f>
        <v>1360.1052</v>
      </c>
      <c r="CZ87" s="2">
        <f>(((S87+R87)*AU87)/100)</f>
        <v>637.16639999999995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30717392</v>
      </c>
      <c r="DV87" s="2" t="s">
        <v>184</v>
      </c>
      <c r="DW87" s="2" t="s">
        <v>184</v>
      </c>
      <c r="DX87" s="2">
        <v>1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72340517</v>
      </c>
      <c r="EF87" s="2">
        <v>3</v>
      </c>
      <c r="EG87" s="2" t="s">
        <v>186</v>
      </c>
      <c r="EH87" s="2">
        <v>0</v>
      </c>
      <c r="EI87" s="2" t="s">
        <v>3</v>
      </c>
      <c r="EJ87" s="2">
        <v>2</v>
      </c>
      <c r="EK87" s="2">
        <v>110005</v>
      </c>
      <c r="EL87" s="2" t="s">
        <v>187</v>
      </c>
      <c r="EM87" s="2" t="s">
        <v>188</v>
      </c>
      <c r="EN87" s="2"/>
      <c r="EO87" s="2" t="s">
        <v>3</v>
      </c>
      <c r="EP87" s="2"/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27</v>
      </c>
      <c r="EX87" s="2">
        <v>7.42</v>
      </c>
      <c r="EY87" s="2">
        <v>0</v>
      </c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111</v>
      </c>
      <c r="FY87" s="2">
        <v>52</v>
      </c>
      <c r="FZ87" s="2"/>
      <c r="GA87" s="2" t="s">
        <v>3</v>
      </c>
      <c r="GB87" s="2"/>
      <c r="GC87" s="2"/>
      <c r="GD87" s="2">
        <v>1</v>
      </c>
      <c r="GE87" s="2"/>
      <c r="GF87" s="2">
        <v>-359692194</v>
      </c>
      <c r="GG87" s="2">
        <v>2</v>
      </c>
      <c r="GH87" s="2">
        <v>1</v>
      </c>
      <c r="GI87" s="2">
        <v>-2</v>
      </c>
      <c r="GJ87" s="2">
        <v>0</v>
      </c>
      <c r="GK87" s="2">
        <v>0</v>
      </c>
      <c r="GL87" s="2">
        <f t="shared" si="59"/>
        <v>0</v>
      </c>
      <c r="GM87" s="2">
        <f t="shared" si="60"/>
        <v>4160.76</v>
      </c>
      <c r="GN87" s="2">
        <f t="shared" si="61"/>
        <v>0</v>
      </c>
      <c r="GO87" s="2">
        <f t="shared" si="62"/>
        <v>4160.76</v>
      </c>
      <c r="GP87" s="2">
        <f t="shared" si="63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64"/>
        <v>0</v>
      </c>
      <c r="GW87" s="2">
        <v>1</v>
      </c>
      <c r="GX87" s="2">
        <f t="shared" si="65"/>
        <v>0</v>
      </c>
      <c r="GY87" s="2"/>
      <c r="GZ87" s="2"/>
      <c r="HA87" s="2">
        <v>0</v>
      </c>
      <c r="HB87" s="2">
        <v>0</v>
      </c>
      <c r="HC87" s="2">
        <f>GV87*GW87</f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189</v>
      </c>
      <c r="HO87" s="2" t="s">
        <v>190</v>
      </c>
      <c r="HP87" s="2" t="s">
        <v>187</v>
      </c>
      <c r="HQ87" s="2" t="s">
        <v>187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18</v>
      </c>
      <c r="B88" s="2">
        <v>1</v>
      </c>
      <c r="C88" s="2">
        <v>76</v>
      </c>
      <c r="D88" s="2"/>
      <c r="E88" s="2" t="s">
        <v>206</v>
      </c>
      <c r="F88" s="2" t="s">
        <v>192</v>
      </c>
      <c r="G88" s="2" t="s">
        <v>193</v>
      </c>
      <c r="H88" s="2" t="s">
        <v>194</v>
      </c>
      <c r="I88" s="2">
        <f>J88</f>
        <v>2</v>
      </c>
      <c r="J88" s="2">
        <v>2</v>
      </c>
      <c r="K88" s="2">
        <v>2</v>
      </c>
      <c r="L88" s="2"/>
      <c r="M88" s="2"/>
      <c r="N88" s="2"/>
      <c r="O88" s="2">
        <f>ROUND(P88,2)</f>
        <v>18.36</v>
      </c>
      <c r="P88" s="2">
        <f>ROUND(ROUND(ROUND(SUMIF(SmtRes!AQ72:'SmtRes'!AQ76,"=1",SmtRes!CU72:'SmtRes'!CU76),2),2)*I88/100,2)</f>
        <v>18.36</v>
      </c>
      <c r="Q88" s="2">
        <f>ROUND(CR88*I88,2)</f>
        <v>0</v>
      </c>
      <c r="R88" s="2">
        <f>ROUND(CS88*I88,2)</f>
        <v>0</v>
      </c>
      <c r="S88" s="2">
        <f>ROUND(CT88*I88,2)</f>
        <v>0</v>
      </c>
      <c r="T88" s="2">
        <f t="shared" si="49"/>
        <v>0</v>
      </c>
      <c r="U88" s="2">
        <f>ROUND(CV88*I88,7)</f>
        <v>0</v>
      </c>
      <c r="V88" s="2">
        <f>ROUND(CW88*I88,7)</f>
        <v>0</v>
      </c>
      <c r="W88" s="2">
        <f t="shared" si="50"/>
        <v>0</v>
      </c>
      <c r="X88" s="2">
        <f t="shared" si="51"/>
        <v>0</v>
      </c>
      <c r="Y88" s="2">
        <f t="shared" si="52"/>
        <v>0</v>
      </c>
      <c r="Z88" s="2"/>
      <c r="AA88" s="2">
        <v>74014550</v>
      </c>
      <c r="AB88" s="2">
        <f t="shared" si="53"/>
        <v>0</v>
      </c>
      <c r="AC88" s="2">
        <f>ROUND((ES88),6)</f>
        <v>0</v>
      </c>
      <c r="AD88" s="2">
        <f>ROUND((((ET88)-(EU88))+AE88),6)</f>
        <v>0</v>
      </c>
      <c r="AE88" s="2">
        <f>ROUND((EU88),6)</f>
        <v>0</v>
      </c>
      <c r="AF88" s="2">
        <f>ROUND((EV88),6)</f>
        <v>0</v>
      </c>
      <c r="AG88" s="2">
        <f t="shared" si="54"/>
        <v>0</v>
      </c>
      <c r="AH88" s="2">
        <f>(EW88)</f>
        <v>0</v>
      </c>
      <c r="AI88" s="2">
        <f>(EX88)</f>
        <v>0</v>
      </c>
      <c r="AJ88" s="2">
        <f t="shared" si="55"/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111</v>
      </c>
      <c r="AU88" s="2">
        <v>52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3</v>
      </c>
      <c r="BI88" s="2">
        <v>2</v>
      </c>
      <c r="BJ88" s="2" t="s">
        <v>3</v>
      </c>
      <c r="BK88" s="2"/>
      <c r="BL88" s="2"/>
      <c r="BM88" s="2">
        <v>110005</v>
      </c>
      <c r="BN88" s="2">
        <v>0</v>
      </c>
      <c r="BO88" s="2" t="s">
        <v>3</v>
      </c>
      <c r="BP88" s="2">
        <v>0</v>
      </c>
      <c r="BQ88" s="2">
        <v>3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111</v>
      </c>
      <c r="CA88" s="2">
        <v>52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>0</f>
        <v>0</v>
      </c>
      <c r="CQ88" s="2">
        <f>0</f>
        <v>0</v>
      </c>
      <c r="CR88" s="2">
        <f>0</f>
        <v>0</v>
      </c>
      <c r="CS88" s="2">
        <f>0</f>
        <v>0</v>
      </c>
      <c r="CT88" s="2">
        <f>0</f>
        <v>0</v>
      </c>
      <c r="CU88" s="2">
        <f>0</f>
        <v>0</v>
      </c>
      <c r="CV88" s="2">
        <f>0</f>
        <v>0</v>
      </c>
      <c r="CW88" s="2">
        <f>0</f>
        <v>0</v>
      </c>
      <c r="CX88" s="2">
        <f>0</f>
        <v>0</v>
      </c>
      <c r="CY88" s="2">
        <f>0</f>
        <v>0</v>
      </c>
      <c r="CZ88" s="2">
        <f>0</f>
        <v>0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1013</v>
      </c>
      <c r="DV88" s="2" t="s">
        <v>194</v>
      </c>
      <c r="DW88" s="2" t="s">
        <v>194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72340517</v>
      </c>
      <c r="EF88" s="2">
        <v>3</v>
      </c>
      <c r="EG88" s="2" t="s">
        <v>186</v>
      </c>
      <c r="EH88" s="2">
        <v>0</v>
      </c>
      <c r="EI88" s="2" t="s">
        <v>3</v>
      </c>
      <c r="EJ88" s="2">
        <v>2</v>
      </c>
      <c r="EK88" s="2">
        <v>110005</v>
      </c>
      <c r="EL88" s="2" t="s">
        <v>187</v>
      </c>
      <c r="EM88" s="2" t="s">
        <v>188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111</v>
      </c>
      <c r="FY88" s="2">
        <v>52</v>
      </c>
      <c r="FZ88" s="2"/>
      <c r="GA88" s="2" t="s">
        <v>3</v>
      </c>
      <c r="GB88" s="2"/>
      <c r="GC88" s="2"/>
      <c r="GD88" s="2">
        <v>1</v>
      </c>
      <c r="GE88" s="2"/>
      <c r="GF88" s="2">
        <v>274903907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si="59"/>
        <v>0</v>
      </c>
      <c r="GM88" s="2">
        <f t="shared" si="60"/>
        <v>18.36</v>
      </c>
      <c r="GN88" s="2">
        <f t="shared" si="61"/>
        <v>0</v>
      </c>
      <c r="GO88" s="2">
        <f t="shared" si="62"/>
        <v>18.36</v>
      </c>
      <c r="GP88" s="2">
        <f t="shared" si="63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64"/>
        <v>0</v>
      </c>
      <c r="GW88" s="2">
        <v>1</v>
      </c>
      <c r="GX88" s="2">
        <f t="shared" si="65"/>
        <v>0</v>
      </c>
      <c r="GY88" s="2"/>
      <c r="GZ88" s="2"/>
      <c r="HA88" s="2">
        <v>0</v>
      </c>
      <c r="HB88" s="2">
        <v>0</v>
      </c>
      <c r="HC88" s="2">
        <f>0</f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189</v>
      </c>
      <c r="HO88" s="2" t="s">
        <v>190</v>
      </c>
      <c r="HP88" s="2" t="s">
        <v>187</v>
      </c>
      <c r="HQ88" s="2" t="s">
        <v>187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17</v>
      </c>
      <c r="B89" s="2">
        <v>1</v>
      </c>
      <c r="C89" s="2"/>
      <c r="D89" s="2"/>
      <c r="E89" s="2" t="s">
        <v>207</v>
      </c>
      <c r="F89" s="2" t="s">
        <v>208</v>
      </c>
      <c r="G89" s="2" t="s">
        <v>209</v>
      </c>
      <c r="H89" s="2" t="s">
        <v>119</v>
      </c>
      <c r="I89" s="2">
        <f>ROUND(90/100,7)</f>
        <v>0.9</v>
      </c>
      <c r="J89" s="2">
        <v>0</v>
      </c>
      <c r="K89" s="2">
        <f>ROUND(90/100,7)</f>
        <v>0.9</v>
      </c>
      <c r="L89" s="2"/>
      <c r="M89" s="2"/>
      <c r="N89" s="2"/>
      <c r="O89" s="2">
        <f t="shared" ref="O89:O100" si="70">ROUND(CP89,2)</f>
        <v>210</v>
      </c>
      <c r="P89" s="2">
        <f>ROUND(CQ89*I89,2)</f>
        <v>210</v>
      </c>
      <c r="Q89" s="2">
        <f>ROUND(CR89*I89,2)</f>
        <v>0</v>
      </c>
      <c r="R89" s="2">
        <f>ROUND(CS89*I89,2)</f>
        <v>0</v>
      </c>
      <c r="S89" s="2">
        <f>ROUND(CT89*I89,2)</f>
        <v>0</v>
      </c>
      <c r="T89" s="2">
        <f t="shared" si="49"/>
        <v>0</v>
      </c>
      <c r="U89" s="2">
        <f>ROUND(CV89*I89,7)</f>
        <v>0</v>
      </c>
      <c r="V89" s="2">
        <f>ROUND(CW89*I89,7)</f>
        <v>0</v>
      </c>
      <c r="W89" s="2">
        <f t="shared" si="50"/>
        <v>0</v>
      </c>
      <c r="X89" s="2">
        <f t="shared" si="51"/>
        <v>0</v>
      </c>
      <c r="Y89" s="2">
        <f t="shared" si="52"/>
        <v>0</v>
      </c>
      <c r="Z89" s="2"/>
      <c r="AA89" s="2">
        <v>74014550</v>
      </c>
      <c r="AB89" s="2">
        <f t="shared" si="53"/>
        <v>151.51</v>
      </c>
      <c r="AC89" s="2">
        <f>ROUND((ES89),6)</f>
        <v>151.51</v>
      </c>
      <c r="AD89" s="2">
        <f>ROUND((((ET89)-(EU89))+AE89),6)</f>
        <v>0</v>
      </c>
      <c r="AE89" s="2">
        <f>ROUND((EU89),6)</f>
        <v>0</v>
      </c>
      <c r="AF89" s="2">
        <f>ROUND((EV89),6)</f>
        <v>0</v>
      </c>
      <c r="AG89" s="2">
        <f t="shared" si="54"/>
        <v>0</v>
      </c>
      <c r="AH89" s="2">
        <f>(EW89)</f>
        <v>0</v>
      </c>
      <c r="AI89" s="2">
        <f>(EX89)</f>
        <v>0</v>
      </c>
      <c r="AJ89" s="2">
        <f t="shared" si="55"/>
        <v>0</v>
      </c>
      <c r="AK89" s="2">
        <v>151.51</v>
      </c>
      <c r="AL89" s="2">
        <v>151.51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1.54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3</v>
      </c>
      <c r="BI89" s="2">
        <v>1</v>
      </c>
      <c r="BJ89" s="2" t="s">
        <v>210</v>
      </c>
      <c r="BK89" s="2"/>
      <c r="BL89" s="2"/>
      <c r="BM89" s="2">
        <v>500001</v>
      </c>
      <c r="BN89" s="2">
        <v>0</v>
      </c>
      <c r="BO89" s="2" t="s">
        <v>208</v>
      </c>
      <c r="BP89" s="2">
        <v>1</v>
      </c>
      <c r="BQ89" s="2">
        <v>8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0</v>
      </c>
      <c r="CA89" s="2">
        <v>0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 t="shared" ref="CP89:CP100" si="71">(P89+Q89+S89+R89)</f>
        <v>210</v>
      </c>
      <c r="CQ89" s="2">
        <f>ROUND(AL89*BC89,2)</f>
        <v>233.33</v>
      </c>
      <c r="CR89" s="2">
        <f>ROUND(AM89*BB89,2)</f>
        <v>0</v>
      </c>
      <c r="CS89" s="2">
        <f>ROUND(AN89*BS89,2)</f>
        <v>0</v>
      </c>
      <c r="CT89" s="2">
        <f>ROUND(AO89*BA89,2)</f>
        <v>0</v>
      </c>
      <c r="CU89" s="2">
        <f>AG89</f>
        <v>0</v>
      </c>
      <c r="CV89" s="2">
        <f>AH89</f>
        <v>0</v>
      </c>
      <c r="CW89" s="2">
        <f>AI89</f>
        <v>0</v>
      </c>
      <c r="CX89" s="2">
        <f>AJ89</f>
        <v>0</v>
      </c>
      <c r="CY89" s="2">
        <f>0</f>
        <v>0</v>
      </c>
      <c r="CZ89" s="2">
        <f>0</f>
        <v>0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1003</v>
      </c>
      <c r="DV89" s="2" t="s">
        <v>119</v>
      </c>
      <c r="DW89" s="2" t="s">
        <v>119</v>
      </c>
      <c r="DX89" s="2">
        <v>100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72340530</v>
      </c>
      <c r="EF89" s="2">
        <v>8</v>
      </c>
      <c r="EG89" s="2" t="s">
        <v>50</v>
      </c>
      <c r="EH89" s="2">
        <v>0</v>
      </c>
      <c r="EI89" s="2" t="s">
        <v>3</v>
      </c>
      <c r="EJ89" s="2">
        <v>1</v>
      </c>
      <c r="EK89" s="2">
        <v>500001</v>
      </c>
      <c r="EL89" s="2" t="s">
        <v>51</v>
      </c>
      <c r="EM89" s="2" t="s">
        <v>52</v>
      </c>
      <c r="EN89" s="2"/>
      <c r="EO89" s="2" t="s">
        <v>3</v>
      </c>
      <c r="EP89" s="2"/>
      <c r="EQ89" s="2">
        <v>0</v>
      </c>
      <c r="ER89" s="2">
        <v>151.51</v>
      </c>
      <c r="ES89" s="2">
        <v>151.51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0</v>
      </c>
      <c r="FY89" s="2">
        <v>0</v>
      </c>
      <c r="FZ89" s="2"/>
      <c r="GA89" s="2" t="s">
        <v>3</v>
      </c>
      <c r="GB89" s="2"/>
      <c r="GC89" s="2"/>
      <c r="GD89" s="2">
        <v>1</v>
      </c>
      <c r="GE89" s="2"/>
      <c r="GF89" s="2">
        <v>465333347</v>
      </c>
      <c r="GG89" s="2">
        <v>2</v>
      </c>
      <c r="GH89" s="2">
        <v>1</v>
      </c>
      <c r="GI89" s="2">
        <v>2</v>
      </c>
      <c r="GJ89" s="2">
        <v>0</v>
      </c>
      <c r="GK89" s="2">
        <v>0</v>
      </c>
      <c r="GL89" s="2">
        <f t="shared" si="59"/>
        <v>0</v>
      </c>
      <c r="GM89" s="2">
        <f t="shared" si="60"/>
        <v>210</v>
      </c>
      <c r="GN89" s="2">
        <f t="shared" si="61"/>
        <v>210</v>
      </c>
      <c r="GO89" s="2">
        <f t="shared" si="62"/>
        <v>0</v>
      </c>
      <c r="GP89" s="2">
        <f t="shared" si="63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64"/>
        <v>0</v>
      </c>
      <c r="GW89" s="2">
        <v>1</v>
      </c>
      <c r="GX89" s="2">
        <f t="shared" si="65"/>
        <v>0</v>
      </c>
      <c r="GY89" s="2"/>
      <c r="GZ89" s="2"/>
      <c r="HA89" s="2">
        <v>0</v>
      </c>
      <c r="HB89" s="2">
        <v>0</v>
      </c>
      <c r="HC89" s="2">
        <f t="shared" ref="HC89:HC100" si="72">GV89*GW89</f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3</v>
      </c>
      <c r="HO89" s="2" t="s">
        <v>3</v>
      </c>
      <c r="HP89" s="2" t="s">
        <v>3</v>
      </c>
      <c r="HQ89" s="2" t="s">
        <v>3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17</v>
      </c>
      <c r="B90" s="2">
        <v>1</v>
      </c>
      <c r="C90" s="2">
        <f>ROW(SmtRes!A80)</f>
        <v>80</v>
      </c>
      <c r="D90" s="2">
        <f>ROW(EtalonRes!A91)</f>
        <v>91</v>
      </c>
      <c r="E90" s="2" t="s">
        <v>211</v>
      </c>
      <c r="F90" s="2" t="s">
        <v>212</v>
      </c>
      <c r="G90" s="2" t="s">
        <v>213</v>
      </c>
      <c r="H90" s="2" t="s">
        <v>214</v>
      </c>
      <c r="I90" s="2">
        <f>ROUND(2/100,7)</f>
        <v>0.02</v>
      </c>
      <c r="J90" s="2">
        <v>0</v>
      </c>
      <c r="K90" s="2">
        <f>ROUND(2/100,7)</f>
        <v>0.02</v>
      </c>
      <c r="L90" s="2"/>
      <c r="M90" s="2"/>
      <c r="N90" s="2"/>
      <c r="O90" s="2">
        <f t="shared" si="70"/>
        <v>109.34</v>
      </c>
      <c r="P90" s="2">
        <f>SUMIF(SmtRes!AQ77:'SmtRes'!AQ80,"=1",SmtRes!DF77:'SmtRes'!DF80)</f>
        <v>0</v>
      </c>
      <c r="Q90" s="2">
        <f>SUMIF(SmtRes!AQ77:'SmtRes'!AQ80,"=1",SmtRes!DG77:'SmtRes'!DG80)</f>
        <v>25.200000000000003</v>
      </c>
      <c r="R90" s="2">
        <f>SUMIF(SmtRes!AQ77:'SmtRes'!AQ80,"=1",SmtRes!DH77:'SmtRes'!DH80)</f>
        <v>7.52</v>
      </c>
      <c r="S90" s="2">
        <f>SUMIF(SmtRes!AQ77:'SmtRes'!AQ80,"=1",SmtRes!DI77:'SmtRes'!DI80)</f>
        <v>76.62</v>
      </c>
      <c r="T90" s="2">
        <f t="shared" si="49"/>
        <v>0</v>
      </c>
      <c r="U90" s="2">
        <f>SUMIF(SmtRes!AQ77:'SmtRes'!AQ80,"=1",SmtRes!CV77:'SmtRes'!CV80)</f>
        <v>0.22700000000000001</v>
      </c>
      <c r="V90" s="2">
        <f>SUMIF(SmtRes!AQ77:'SmtRes'!AQ80,"=1",SmtRes!CW77:'SmtRes'!CW80)</f>
        <v>1.8800000000000001E-2</v>
      </c>
      <c r="W90" s="2">
        <f t="shared" si="50"/>
        <v>0</v>
      </c>
      <c r="X90" s="2">
        <f t="shared" si="51"/>
        <v>123.69</v>
      </c>
      <c r="Y90" s="2">
        <f t="shared" si="52"/>
        <v>112.75</v>
      </c>
      <c r="Z90" s="2"/>
      <c r="AA90" s="2">
        <v>74014550</v>
      </c>
      <c r="AB90" s="2">
        <f t="shared" si="53"/>
        <v>4773.1531999999997</v>
      </c>
      <c r="AC90" s="2">
        <f>ROUND((0),6)</f>
        <v>0</v>
      </c>
      <c r="AD90" s="2">
        <f>ROUND((((SUM(SmtRes!BR77:'SmtRes'!BR80))-(SUM(SmtRes!BS77:'SmtRes'!BS80)))+AE90),6)</f>
        <v>942.30119999999999</v>
      </c>
      <c r="AE90" s="2">
        <f>ROUND((SUM(SmtRes!BS77:'SmtRes'!BS80)),6)</f>
        <v>376.22559999999999</v>
      </c>
      <c r="AF90" s="2">
        <f>ROUND((SUM(SmtRes!BT77:'SmtRes'!BT80)),6)</f>
        <v>3830.8519999999999</v>
      </c>
      <c r="AG90" s="2">
        <f t="shared" si="54"/>
        <v>0</v>
      </c>
      <c r="AH90" s="2">
        <f>(SUM(SmtRes!BU77:'SmtRes'!BU80))</f>
        <v>11.35</v>
      </c>
      <c r="AI90" s="2">
        <f>(SUM(SmtRes!BV77:'SmtRes'!BV80))</f>
        <v>0.94</v>
      </c>
      <c r="AJ90" s="2">
        <f t="shared" si="55"/>
        <v>0</v>
      </c>
      <c r="AK90" s="2">
        <v>5149.3787999999995</v>
      </c>
      <c r="AL90" s="2">
        <v>0</v>
      </c>
      <c r="AM90" s="2">
        <v>942.30119999999988</v>
      </c>
      <c r="AN90" s="2">
        <v>376.22559999999999</v>
      </c>
      <c r="AO90" s="2">
        <v>3830.8519999999999</v>
      </c>
      <c r="AP90" s="2">
        <v>0</v>
      </c>
      <c r="AQ90" s="2">
        <v>11.35</v>
      </c>
      <c r="AR90" s="2">
        <v>0.94</v>
      </c>
      <c r="AS90" s="2">
        <v>0</v>
      </c>
      <c r="AT90" s="2">
        <v>147</v>
      </c>
      <c r="AU90" s="2">
        <v>134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1</v>
      </c>
      <c r="BJ90" s="2" t="s">
        <v>215</v>
      </c>
      <c r="BK90" s="2"/>
      <c r="BL90" s="2"/>
      <c r="BM90" s="2">
        <v>27001</v>
      </c>
      <c r="BN90" s="2">
        <v>0</v>
      </c>
      <c r="BO90" s="2" t="s">
        <v>3</v>
      </c>
      <c r="BP90" s="2">
        <v>0</v>
      </c>
      <c r="BQ90" s="2">
        <v>2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147</v>
      </c>
      <c r="CA90" s="2">
        <v>134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si="71"/>
        <v>109.34</v>
      </c>
      <c r="CQ90" s="2">
        <f>SUMIF(SmtRes!AQ77:'SmtRes'!AQ80,"=1",SmtRes!AA77:'SmtRes'!AA80)</f>
        <v>0</v>
      </c>
      <c r="CR90" s="2">
        <f>SUMIF(SmtRes!AQ77:'SmtRes'!AQ80,"=1",SmtRes!AB77:'SmtRes'!AB80)</f>
        <v>1233.3599999999999</v>
      </c>
      <c r="CS90" s="2">
        <f>SUMIF(SmtRes!AQ77:'SmtRes'!AQ80,"=1",SmtRes!AC77:'SmtRes'!AC80)</f>
        <v>400.24</v>
      </c>
      <c r="CT90" s="2">
        <f>SUMIF(SmtRes!AQ77:'SmtRes'!AQ80,"=1",SmtRes!AD77:'SmtRes'!AD80)</f>
        <v>337.52</v>
      </c>
      <c r="CU90" s="2">
        <f t="shared" ref="CU90:CU100" si="73">AG90</f>
        <v>0</v>
      </c>
      <c r="CV90" s="2">
        <f>SUMIF(SmtRes!AQ77:'SmtRes'!AQ80,"=1",SmtRes!BU77:'SmtRes'!BU80)</f>
        <v>11.35</v>
      </c>
      <c r="CW90" s="2">
        <f>SUMIF(SmtRes!AQ77:'SmtRes'!AQ80,"=1",SmtRes!BV77:'SmtRes'!BV80)</f>
        <v>0.94</v>
      </c>
      <c r="CX90" s="2">
        <f t="shared" ref="CX90:CX100" si="74">AJ90</f>
        <v>0</v>
      </c>
      <c r="CY90" s="2">
        <f>(((S90+R90)*AT90)/100)</f>
        <v>123.6858</v>
      </c>
      <c r="CZ90" s="2">
        <f>(((S90+R90)*AU90)/100)</f>
        <v>112.74760000000001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1013</v>
      </c>
      <c r="DV90" s="2" t="s">
        <v>214</v>
      </c>
      <c r="DW90" s="2" t="s">
        <v>214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72340638</v>
      </c>
      <c r="EF90" s="2">
        <v>2</v>
      </c>
      <c r="EG90" s="2" t="s">
        <v>23</v>
      </c>
      <c r="EH90" s="2">
        <v>21</v>
      </c>
      <c r="EI90" s="2" t="s">
        <v>216</v>
      </c>
      <c r="EJ90" s="2">
        <v>1</v>
      </c>
      <c r="EK90" s="2">
        <v>27001</v>
      </c>
      <c r="EL90" s="2" t="s">
        <v>216</v>
      </c>
      <c r="EM90" s="2" t="s">
        <v>217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11.35</v>
      </c>
      <c r="EX90" s="2">
        <v>0.94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147</v>
      </c>
      <c r="FY90" s="2">
        <v>134</v>
      </c>
      <c r="FZ90" s="2"/>
      <c r="GA90" s="2" t="s">
        <v>3</v>
      </c>
      <c r="GB90" s="2"/>
      <c r="GC90" s="2"/>
      <c r="GD90" s="2">
        <v>1</v>
      </c>
      <c r="GE90" s="2"/>
      <c r="GF90" s="2">
        <v>690619105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59"/>
        <v>0</v>
      </c>
      <c r="GM90" s="2">
        <f t="shared" si="60"/>
        <v>345.78</v>
      </c>
      <c r="GN90" s="2">
        <f t="shared" si="61"/>
        <v>345.78</v>
      </c>
      <c r="GO90" s="2">
        <f t="shared" si="62"/>
        <v>0</v>
      </c>
      <c r="GP90" s="2">
        <f t="shared" si="63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64"/>
        <v>0</v>
      </c>
      <c r="GW90" s="2">
        <v>1</v>
      </c>
      <c r="GX90" s="2">
        <f t="shared" si="65"/>
        <v>0</v>
      </c>
      <c r="GY90" s="2"/>
      <c r="GZ90" s="2"/>
      <c r="HA90" s="2">
        <v>0</v>
      </c>
      <c r="HB90" s="2">
        <v>0</v>
      </c>
      <c r="HC90" s="2">
        <f t="shared" si="72"/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218</v>
      </c>
      <c r="HO90" s="2" t="s">
        <v>219</v>
      </c>
      <c r="HP90" s="2" t="s">
        <v>216</v>
      </c>
      <c r="HQ90" s="2" t="s">
        <v>216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17</v>
      </c>
      <c r="B91" s="2">
        <v>1</v>
      </c>
      <c r="C91" s="2"/>
      <c r="D91" s="2"/>
      <c r="E91" s="2" t="s">
        <v>220</v>
      </c>
      <c r="F91" s="2" t="s">
        <v>221</v>
      </c>
      <c r="G91" s="2" t="s">
        <v>222</v>
      </c>
      <c r="H91" s="2" t="s">
        <v>130</v>
      </c>
      <c r="I91" s="2">
        <v>2</v>
      </c>
      <c r="J91" s="2">
        <v>0</v>
      </c>
      <c r="K91" s="2">
        <v>2</v>
      </c>
      <c r="L91" s="2"/>
      <c r="M91" s="2"/>
      <c r="N91" s="2"/>
      <c r="O91" s="2">
        <f t="shared" si="70"/>
        <v>1982.84</v>
      </c>
      <c r="P91" s="2">
        <f>ROUND(CQ91*I91,2)</f>
        <v>1982.84</v>
      </c>
      <c r="Q91" s="2">
        <f>ROUND(CR91*I91,2)</f>
        <v>0</v>
      </c>
      <c r="R91" s="2">
        <f>ROUND(CS91*I91,2)</f>
        <v>0</v>
      </c>
      <c r="S91" s="2">
        <f>ROUND(CT91*I91,2)</f>
        <v>0</v>
      </c>
      <c r="T91" s="2">
        <f t="shared" si="49"/>
        <v>0</v>
      </c>
      <c r="U91" s="2">
        <f>ROUND(CV91*I91,7)</f>
        <v>0</v>
      </c>
      <c r="V91" s="2">
        <f>ROUND(CW91*I91,7)</f>
        <v>0</v>
      </c>
      <c r="W91" s="2">
        <f t="shared" si="50"/>
        <v>0</v>
      </c>
      <c r="X91" s="2">
        <f t="shared" si="51"/>
        <v>0</v>
      </c>
      <c r="Y91" s="2">
        <f t="shared" si="52"/>
        <v>0</v>
      </c>
      <c r="Z91" s="2"/>
      <c r="AA91" s="2">
        <v>74014550</v>
      </c>
      <c r="AB91" s="2">
        <f t="shared" si="53"/>
        <v>713.25</v>
      </c>
      <c r="AC91" s="2">
        <f>ROUND((ES91),6)</f>
        <v>713.25</v>
      </c>
      <c r="AD91" s="2">
        <f>ROUND((((ET91)-(EU91))+AE91),6)</f>
        <v>0</v>
      </c>
      <c r="AE91" s="2">
        <f>ROUND((EU91),6)</f>
        <v>0</v>
      </c>
      <c r="AF91" s="2">
        <f>ROUND((EV91),6)</f>
        <v>0</v>
      </c>
      <c r="AG91" s="2">
        <f t="shared" si="54"/>
        <v>0</v>
      </c>
      <c r="AH91" s="2">
        <f>(EW91)</f>
        <v>0</v>
      </c>
      <c r="AI91" s="2">
        <f>(EX91)</f>
        <v>0</v>
      </c>
      <c r="AJ91" s="2">
        <f t="shared" si="55"/>
        <v>0</v>
      </c>
      <c r="AK91" s="2">
        <v>713.25</v>
      </c>
      <c r="AL91" s="2">
        <v>713.25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1.39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3</v>
      </c>
      <c r="BI91" s="2">
        <v>2</v>
      </c>
      <c r="BJ91" s="2" t="s">
        <v>223</v>
      </c>
      <c r="BK91" s="2"/>
      <c r="BL91" s="2"/>
      <c r="BM91" s="2">
        <v>500002</v>
      </c>
      <c r="BN91" s="2">
        <v>0</v>
      </c>
      <c r="BO91" s="2" t="s">
        <v>221</v>
      </c>
      <c r="BP91" s="2">
        <v>1</v>
      </c>
      <c r="BQ91" s="2">
        <v>12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0</v>
      </c>
      <c r="CA91" s="2">
        <v>0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 t="shared" si="71"/>
        <v>1982.84</v>
      </c>
      <c r="CQ91" s="2">
        <f>ROUND(AL91*BC91,2)</f>
        <v>991.42</v>
      </c>
      <c r="CR91" s="2">
        <f>ROUND(AM91*BB91,2)</f>
        <v>0</v>
      </c>
      <c r="CS91" s="2">
        <f>ROUND(AN91*BS91,2)</f>
        <v>0</v>
      </c>
      <c r="CT91" s="2">
        <f>ROUND(AO91*BA91,2)</f>
        <v>0</v>
      </c>
      <c r="CU91" s="2">
        <f t="shared" si="73"/>
        <v>0</v>
      </c>
      <c r="CV91" s="2">
        <f>AH91</f>
        <v>0</v>
      </c>
      <c r="CW91" s="2">
        <f>AI91</f>
        <v>0</v>
      </c>
      <c r="CX91" s="2">
        <f t="shared" si="74"/>
        <v>0</v>
      </c>
      <c r="CY91" s="2">
        <f>0</f>
        <v>0</v>
      </c>
      <c r="CZ91" s="2">
        <f>0</f>
        <v>0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1013</v>
      </c>
      <c r="DV91" s="2" t="s">
        <v>130</v>
      </c>
      <c r="DW91" s="2" t="s">
        <v>130</v>
      </c>
      <c r="DX91" s="2">
        <v>1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72340531</v>
      </c>
      <c r="EF91" s="2">
        <v>12</v>
      </c>
      <c r="EG91" s="2" t="s">
        <v>201</v>
      </c>
      <c r="EH91" s="2">
        <v>0</v>
      </c>
      <c r="EI91" s="2" t="s">
        <v>3</v>
      </c>
      <c r="EJ91" s="2">
        <v>2</v>
      </c>
      <c r="EK91" s="2">
        <v>500002</v>
      </c>
      <c r="EL91" s="2" t="s">
        <v>202</v>
      </c>
      <c r="EM91" s="2" t="s">
        <v>203</v>
      </c>
      <c r="EN91" s="2"/>
      <c r="EO91" s="2" t="s">
        <v>3</v>
      </c>
      <c r="EP91" s="2"/>
      <c r="EQ91" s="2">
        <v>0</v>
      </c>
      <c r="ER91" s="2">
        <v>713.25</v>
      </c>
      <c r="ES91" s="2">
        <v>713.25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0</v>
      </c>
      <c r="FY91" s="2">
        <v>0</v>
      </c>
      <c r="FZ91" s="2"/>
      <c r="GA91" s="2" t="s">
        <v>3</v>
      </c>
      <c r="GB91" s="2"/>
      <c r="GC91" s="2"/>
      <c r="GD91" s="2">
        <v>1</v>
      </c>
      <c r="GE91" s="2"/>
      <c r="GF91" s="2">
        <v>-10111022</v>
      </c>
      <c r="GG91" s="2">
        <v>2</v>
      </c>
      <c r="GH91" s="2">
        <v>1</v>
      </c>
      <c r="GI91" s="2">
        <v>2</v>
      </c>
      <c r="GJ91" s="2">
        <v>0</v>
      </c>
      <c r="GK91" s="2">
        <v>0</v>
      </c>
      <c r="GL91" s="2">
        <f t="shared" si="59"/>
        <v>0</v>
      </c>
      <c r="GM91" s="2">
        <f t="shared" si="60"/>
        <v>1982.84</v>
      </c>
      <c r="GN91" s="2">
        <f t="shared" si="61"/>
        <v>0</v>
      </c>
      <c r="GO91" s="2">
        <f t="shared" si="62"/>
        <v>1982.84</v>
      </c>
      <c r="GP91" s="2">
        <f t="shared" si="63"/>
        <v>0</v>
      </c>
      <c r="GQ91" s="2"/>
      <c r="GR91" s="2">
        <v>0</v>
      </c>
      <c r="GS91" s="2">
        <v>3</v>
      </c>
      <c r="GT91" s="2">
        <v>0</v>
      </c>
      <c r="GU91" s="2" t="s">
        <v>3</v>
      </c>
      <c r="GV91" s="2">
        <f t="shared" si="64"/>
        <v>0</v>
      </c>
      <c r="GW91" s="2">
        <v>1</v>
      </c>
      <c r="GX91" s="2">
        <f t="shared" si="65"/>
        <v>0</v>
      </c>
      <c r="GY91" s="2"/>
      <c r="GZ91" s="2"/>
      <c r="HA91" s="2">
        <v>0</v>
      </c>
      <c r="HB91" s="2">
        <v>0</v>
      </c>
      <c r="HC91" s="2">
        <f t="shared" si="72"/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3</v>
      </c>
      <c r="HO91" s="2" t="s">
        <v>3</v>
      </c>
      <c r="HP91" s="2" t="s">
        <v>3</v>
      </c>
      <c r="HQ91" s="2" t="s">
        <v>3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/>
      <c r="D92" s="2"/>
      <c r="E92" s="2" t="s">
        <v>224</v>
      </c>
      <c r="F92" s="2" t="s">
        <v>225</v>
      </c>
      <c r="G92" s="2" t="s">
        <v>226</v>
      </c>
      <c r="H92" s="2" t="s">
        <v>214</v>
      </c>
      <c r="I92" s="2">
        <f>ROUND(3/100,7)</f>
        <v>0.03</v>
      </c>
      <c r="J92" s="2">
        <v>0</v>
      </c>
      <c r="K92" s="2">
        <f>ROUND(3/100,7)</f>
        <v>0.03</v>
      </c>
      <c r="L92" s="2"/>
      <c r="M92" s="2"/>
      <c r="N92" s="2"/>
      <c r="O92" s="2">
        <f t="shared" si="70"/>
        <v>2886.7</v>
      </c>
      <c r="P92" s="2">
        <f>ROUND(CQ92*I92,2)</f>
        <v>2886.7</v>
      </c>
      <c r="Q92" s="2">
        <f>ROUND(CR92*I92,2)</f>
        <v>0</v>
      </c>
      <c r="R92" s="2">
        <f>ROUND(CS92*I92,2)</f>
        <v>0</v>
      </c>
      <c r="S92" s="2">
        <f>ROUND(CT92*I92,2)</f>
        <v>0</v>
      </c>
      <c r="T92" s="2">
        <f t="shared" si="49"/>
        <v>0</v>
      </c>
      <c r="U92" s="2">
        <f>ROUND(CV92*I92,7)</f>
        <v>0</v>
      </c>
      <c r="V92" s="2">
        <f>ROUND(CW92*I92,7)</f>
        <v>0</v>
      </c>
      <c r="W92" s="2">
        <f t="shared" si="50"/>
        <v>0</v>
      </c>
      <c r="X92" s="2">
        <f t="shared" si="51"/>
        <v>0</v>
      </c>
      <c r="Y92" s="2">
        <f t="shared" si="52"/>
        <v>0</v>
      </c>
      <c r="Z92" s="2"/>
      <c r="AA92" s="2">
        <v>74014550</v>
      </c>
      <c r="AB92" s="2">
        <f t="shared" si="53"/>
        <v>69225.399999999994</v>
      </c>
      <c r="AC92" s="2">
        <f>ROUND((ES92),6)</f>
        <v>69225.399999999994</v>
      </c>
      <c r="AD92" s="2">
        <f>ROUND((((ET92)-(EU92))+AE92),6)</f>
        <v>0</v>
      </c>
      <c r="AE92" s="2">
        <f>ROUND((EU92),6)</f>
        <v>0</v>
      </c>
      <c r="AF92" s="2">
        <f>ROUND((EV92),6)</f>
        <v>0</v>
      </c>
      <c r="AG92" s="2">
        <f t="shared" si="54"/>
        <v>0</v>
      </c>
      <c r="AH92" s="2">
        <f>(EW92)</f>
        <v>0</v>
      </c>
      <c r="AI92" s="2">
        <f>(EX92)</f>
        <v>0</v>
      </c>
      <c r="AJ92" s="2">
        <f t="shared" si="55"/>
        <v>0</v>
      </c>
      <c r="AK92" s="2">
        <v>69225.399999999994</v>
      </c>
      <c r="AL92" s="2">
        <v>69225.399999999994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1.39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3</v>
      </c>
      <c r="BI92" s="2">
        <v>2</v>
      </c>
      <c r="BJ92" s="2" t="s">
        <v>227</v>
      </c>
      <c r="BK92" s="2"/>
      <c r="BL92" s="2"/>
      <c r="BM92" s="2">
        <v>500002</v>
      </c>
      <c r="BN92" s="2">
        <v>0</v>
      </c>
      <c r="BO92" s="2" t="s">
        <v>225</v>
      </c>
      <c r="BP92" s="2">
        <v>1</v>
      </c>
      <c r="BQ92" s="2">
        <v>12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0</v>
      </c>
      <c r="CA92" s="2">
        <v>0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71"/>
        <v>2886.7</v>
      </c>
      <c r="CQ92" s="2">
        <f>ROUND(AL92*BC92,2)</f>
        <v>96223.31</v>
      </c>
      <c r="CR92" s="2">
        <f>ROUND(AM92*BB92,2)</f>
        <v>0</v>
      </c>
      <c r="CS92" s="2">
        <f>ROUND(AN92*BS92,2)</f>
        <v>0</v>
      </c>
      <c r="CT92" s="2">
        <f>ROUND(AO92*BA92,2)</f>
        <v>0</v>
      </c>
      <c r="CU92" s="2">
        <f t="shared" si="73"/>
        <v>0</v>
      </c>
      <c r="CV92" s="2">
        <f>AH92</f>
        <v>0</v>
      </c>
      <c r="CW92" s="2">
        <f>AI92</f>
        <v>0</v>
      </c>
      <c r="CX92" s="2">
        <f t="shared" si="74"/>
        <v>0</v>
      </c>
      <c r="CY92" s="2">
        <f>0</f>
        <v>0</v>
      </c>
      <c r="CZ92" s="2">
        <f>0</f>
        <v>0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214</v>
      </c>
      <c r="DW92" s="2" t="s">
        <v>214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72340531</v>
      </c>
      <c r="EF92" s="2">
        <v>12</v>
      </c>
      <c r="EG92" s="2" t="s">
        <v>201</v>
      </c>
      <c r="EH92" s="2">
        <v>0</v>
      </c>
      <c r="EI92" s="2" t="s">
        <v>3</v>
      </c>
      <c r="EJ92" s="2">
        <v>2</v>
      </c>
      <c r="EK92" s="2">
        <v>500002</v>
      </c>
      <c r="EL92" s="2" t="s">
        <v>202</v>
      </c>
      <c r="EM92" s="2" t="s">
        <v>203</v>
      </c>
      <c r="EN92" s="2"/>
      <c r="EO92" s="2" t="s">
        <v>3</v>
      </c>
      <c r="EP92" s="2"/>
      <c r="EQ92" s="2">
        <v>0</v>
      </c>
      <c r="ER92" s="2">
        <v>69225.399999999994</v>
      </c>
      <c r="ES92" s="2">
        <v>69225.399999999994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0</v>
      </c>
      <c r="FY92" s="2">
        <v>0</v>
      </c>
      <c r="FZ92" s="2"/>
      <c r="GA92" s="2" t="s">
        <v>3</v>
      </c>
      <c r="GB92" s="2"/>
      <c r="GC92" s="2"/>
      <c r="GD92" s="2">
        <v>1</v>
      </c>
      <c r="GE92" s="2"/>
      <c r="GF92" s="2">
        <v>1134049418</v>
      </c>
      <c r="GG92" s="2">
        <v>2</v>
      </c>
      <c r="GH92" s="2">
        <v>1</v>
      </c>
      <c r="GI92" s="2">
        <v>2</v>
      </c>
      <c r="GJ92" s="2">
        <v>0</v>
      </c>
      <c r="GK92" s="2">
        <v>0</v>
      </c>
      <c r="GL92" s="2">
        <f t="shared" si="59"/>
        <v>0</v>
      </c>
      <c r="GM92" s="2">
        <f t="shared" si="60"/>
        <v>2886.7</v>
      </c>
      <c r="GN92" s="2">
        <f t="shared" si="61"/>
        <v>0</v>
      </c>
      <c r="GO92" s="2">
        <f t="shared" si="62"/>
        <v>2886.7</v>
      </c>
      <c r="GP92" s="2">
        <f t="shared" si="63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64"/>
        <v>0</v>
      </c>
      <c r="GW92" s="2">
        <v>1</v>
      </c>
      <c r="GX92" s="2">
        <f t="shared" si="65"/>
        <v>0</v>
      </c>
      <c r="GY92" s="2"/>
      <c r="GZ92" s="2"/>
      <c r="HA92" s="2">
        <v>0</v>
      </c>
      <c r="HB92" s="2">
        <v>0</v>
      </c>
      <c r="HC92" s="2">
        <f t="shared" si="72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3</v>
      </c>
      <c r="HO92" s="2" t="s">
        <v>3</v>
      </c>
      <c r="HP92" s="2" t="s">
        <v>3</v>
      </c>
      <c r="HQ92" s="2" t="s">
        <v>3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>
        <f>ROW(SmtRes!A88)</f>
        <v>88</v>
      </c>
      <c r="D93" s="2">
        <f>ROW(EtalonRes!A99)</f>
        <v>99</v>
      </c>
      <c r="E93" s="2" t="s">
        <v>228</v>
      </c>
      <c r="F93" s="2" t="s">
        <v>229</v>
      </c>
      <c r="G93" s="2" t="s">
        <v>230</v>
      </c>
      <c r="H93" s="2" t="s">
        <v>31</v>
      </c>
      <c r="I93" s="2">
        <f>ROUND(0.546/100,7)</f>
        <v>5.4599999999999996E-3</v>
      </c>
      <c r="J93" s="2">
        <v>0</v>
      </c>
      <c r="K93" s="2">
        <f>ROUND(0.546/100,7)</f>
        <v>5.4599999999999996E-3</v>
      </c>
      <c r="L93" s="2"/>
      <c r="M93" s="2"/>
      <c r="N93" s="2"/>
      <c r="O93" s="2">
        <f t="shared" si="70"/>
        <v>411.33</v>
      </c>
      <c r="P93" s="2">
        <f>SUMIF(SmtRes!AQ81:'SmtRes'!AQ88,"=1",SmtRes!DF81:'SmtRes'!DF88)</f>
        <v>19.38</v>
      </c>
      <c r="Q93" s="2">
        <f>SUMIF(SmtRes!AQ81:'SmtRes'!AQ88,"=1",SmtRes!DG81:'SmtRes'!DG88)</f>
        <v>98.87</v>
      </c>
      <c r="R93" s="2">
        <f>SUMIF(SmtRes!AQ81:'SmtRes'!AQ88,"=1",SmtRes!DH81:'SmtRes'!DH88)</f>
        <v>53.1</v>
      </c>
      <c r="S93" s="2">
        <f>SUMIF(SmtRes!AQ81:'SmtRes'!AQ88,"=1",SmtRes!DI81:'SmtRes'!DI88)</f>
        <v>239.98</v>
      </c>
      <c r="T93" s="2">
        <f t="shared" si="49"/>
        <v>0</v>
      </c>
      <c r="U93" s="2">
        <f>SUMIF(SmtRes!AQ81:'SmtRes'!AQ88,"=1",SmtRes!CV81:'SmtRes'!CV88)</f>
        <v>0.73709999999999998</v>
      </c>
      <c r="V93" s="2">
        <f>SUMIF(SmtRes!AQ81:'SmtRes'!AQ88,"=1",SmtRes!CW81:'SmtRes'!CW88)</f>
        <v>9.8935200000000001E-2</v>
      </c>
      <c r="W93" s="2">
        <f t="shared" si="50"/>
        <v>0</v>
      </c>
      <c r="X93" s="2">
        <f t="shared" si="51"/>
        <v>298.94</v>
      </c>
      <c r="Y93" s="2">
        <f t="shared" si="52"/>
        <v>169.99</v>
      </c>
      <c r="Z93" s="2"/>
      <c r="AA93" s="2">
        <v>74014550</v>
      </c>
      <c r="AB93" s="2">
        <f t="shared" si="53"/>
        <v>58558.458700000003</v>
      </c>
      <c r="AC93" s="2">
        <f>ROUND((SUM(SmtRes!BQ81:'SmtRes'!BQ88)),6)</f>
        <v>3269.9924999999998</v>
      </c>
      <c r="AD93" s="2">
        <f>ROUND((((SUM(SmtRes!BR81:'SmtRes'!BR88))-(SUM(SmtRes!BS81:'SmtRes'!BS88)))+AE93),6)</f>
        <v>11336.5162</v>
      </c>
      <c r="AE93" s="2">
        <f>ROUND((SUM(SmtRes!BS81:'SmtRes'!BS88)),6)</f>
        <v>9725.5488000000005</v>
      </c>
      <c r="AF93" s="2">
        <f>ROUND((SUM(SmtRes!BT81:'SmtRes'!BT88)),6)</f>
        <v>43951.95</v>
      </c>
      <c r="AG93" s="2">
        <f t="shared" si="54"/>
        <v>0</v>
      </c>
      <c r="AH93" s="2">
        <f>(SUM(SmtRes!BU81:'SmtRes'!BU88))</f>
        <v>135</v>
      </c>
      <c r="AI93" s="2">
        <f>(SUM(SmtRes!BV81:'SmtRes'!BV88))</f>
        <v>18.12</v>
      </c>
      <c r="AJ93" s="2">
        <f t="shared" si="55"/>
        <v>0</v>
      </c>
      <c r="AK93" s="2">
        <v>68284.007499999992</v>
      </c>
      <c r="AL93" s="2">
        <v>3269.9924999999998</v>
      </c>
      <c r="AM93" s="2">
        <v>11336.5162</v>
      </c>
      <c r="AN93" s="2">
        <v>9725.5488000000005</v>
      </c>
      <c r="AO93" s="2">
        <v>43951.95</v>
      </c>
      <c r="AP93" s="2">
        <v>0</v>
      </c>
      <c r="AQ93" s="2">
        <v>135</v>
      </c>
      <c r="AR93" s="2">
        <v>18.12</v>
      </c>
      <c r="AS93" s="2">
        <v>0</v>
      </c>
      <c r="AT93" s="2">
        <v>102</v>
      </c>
      <c r="AU93" s="2">
        <v>58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1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0</v>
      </c>
      <c r="BI93" s="2">
        <v>1</v>
      </c>
      <c r="BJ93" s="2" t="s">
        <v>231</v>
      </c>
      <c r="BK93" s="2"/>
      <c r="BL93" s="2"/>
      <c r="BM93" s="2">
        <v>6001</v>
      </c>
      <c r="BN93" s="2">
        <v>0</v>
      </c>
      <c r="BO93" s="2" t="s">
        <v>3</v>
      </c>
      <c r="BP93" s="2">
        <v>0</v>
      </c>
      <c r="BQ93" s="2">
        <v>2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102</v>
      </c>
      <c r="CA93" s="2">
        <v>58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 t="shared" si="71"/>
        <v>411.33000000000004</v>
      </c>
      <c r="CQ93" s="2">
        <f>SUMIF(SmtRes!AQ81:'SmtRes'!AQ88,"=1",SmtRes!AA81:'SmtRes'!AA88)</f>
        <v>45.400000000000006</v>
      </c>
      <c r="CR93" s="2">
        <f>SUMIF(SmtRes!AQ81:'SmtRes'!AQ88,"=1",SmtRes!AB81:'SmtRes'!AB88)</f>
        <v>1668.45</v>
      </c>
      <c r="CS93" s="2">
        <f>SUMIF(SmtRes!AQ81:'SmtRes'!AQ88,"=1",SmtRes!AC81:'SmtRes'!AC88)</f>
        <v>937.88</v>
      </c>
      <c r="CT93" s="2">
        <f>SUMIF(SmtRes!AQ81:'SmtRes'!AQ88,"=1",SmtRes!AD81:'SmtRes'!AD88)</f>
        <v>325.57</v>
      </c>
      <c r="CU93" s="2">
        <f t="shared" si="73"/>
        <v>0</v>
      </c>
      <c r="CV93" s="2">
        <f>SUMIF(SmtRes!AQ81:'SmtRes'!AQ88,"=1",SmtRes!BU81:'SmtRes'!BU88)</f>
        <v>135</v>
      </c>
      <c r="CW93" s="2">
        <f>SUMIF(SmtRes!AQ81:'SmtRes'!AQ88,"=1",SmtRes!BV81:'SmtRes'!BV88)</f>
        <v>18.12</v>
      </c>
      <c r="CX93" s="2">
        <f t="shared" si="74"/>
        <v>0</v>
      </c>
      <c r="CY93" s="2">
        <f t="shared" ref="CY93:CY100" si="75">(((S93+R93)*AT93)/100)</f>
        <v>298.94159999999999</v>
      </c>
      <c r="CZ93" s="2">
        <f t="shared" ref="CZ93:CZ100" si="76">(((S93+R93)*AU93)/100)</f>
        <v>169.9864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1007</v>
      </c>
      <c r="DV93" s="2" t="s">
        <v>31</v>
      </c>
      <c r="DW93" s="2" t="s">
        <v>31</v>
      </c>
      <c r="DX93" s="2">
        <v>100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72340584</v>
      </c>
      <c r="EF93" s="2">
        <v>2</v>
      </c>
      <c r="EG93" s="2" t="s">
        <v>23</v>
      </c>
      <c r="EH93" s="2">
        <v>6</v>
      </c>
      <c r="EI93" s="2" t="s">
        <v>232</v>
      </c>
      <c r="EJ93" s="2">
        <v>1</v>
      </c>
      <c r="EK93" s="2">
        <v>6001</v>
      </c>
      <c r="EL93" s="2" t="s">
        <v>232</v>
      </c>
      <c r="EM93" s="2" t="s">
        <v>233</v>
      </c>
      <c r="EN93" s="2"/>
      <c r="EO93" s="2" t="s">
        <v>3</v>
      </c>
      <c r="EP93" s="2"/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135</v>
      </c>
      <c r="EX93" s="2">
        <v>18.12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102</v>
      </c>
      <c r="FY93" s="2">
        <v>58</v>
      </c>
      <c r="FZ93" s="2"/>
      <c r="GA93" s="2" t="s">
        <v>3</v>
      </c>
      <c r="GB93" s="2"/>
      <c r="GC93" s="2"/>
      <c r="GD93" s="2">
        <v>1</v>
      </c>
      <c r="GE93" s="2"/>
      <c r="GF93" s="2">
        <v>-1561135117</v>
      </c>
      <c r="GG93" s="2">
        <v>2</v>
      </c>
      <c r="GH93" s="2">
        <v>1</v>
      </c>
      <c r="GI93" s="2">
        <v>-2</v>
      </c>
      <c r="GJ93" s="2">
        <v>0</v>
      </c>
      <c r="GK93" s="2">
        <v>0</v>
      </c>
      <c r="GL93" s="2">
        <f t="shared" si="59"/>
        <v>0</v>
      </c>
      <c r="GM93" s="2">
        <f t="shared" si="60"/>
        <v>880.26</v>
      </c>
      <c r="GN93" s="2">
        <f t="shared" si="61"/>
        <v>880.26</v>
      </c>
      <c r="GO93" s="2">
        <f t="shared" si="62"/>
        <v>0</v>
      </c>
      <c r="GP93" s="2">
        <f t="shared" si="63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64"/>
        <v>0</v>
      </c>
      <c r="GW93" s="2">
        <v>1</v>
      </c>
      <c r="GX93" s="2">
        <f t="shared" si="65"/>
        <v>0</v>
      </c>
      <c r="GY93" s="2"/>
      <c r="GZ93" s="2"/>
      <c r="HA93" s="2">
        <v>0</v>
      </c>
      <c r="HB93" s="2">
        <v>0</v>
      </c>
      <c r="HC93" s="2">
        <f t="shared" si="72"/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234</v>
      </c>
      <c r="HO93" s="2" t="s">
        <v>235</v>
      </c>
      <c r="HP93" s="2" t="s">
        <v>232</v>
      </c>
      <c r="HQ93" s="2" t="s">
        <v>232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18</v>
      </c>
      <c r="B94" s="2">
        <v>1</v>
      </c>
      <c r="C94" s="2">
        <v>88</v>
      </c>
      <c r="D94" s="2"/>
      <c r="E94" s="2" t="s">
        <v>236</v>
      </c>
      <c r="F94" s="2" t="s">
        <v>237</v>
      </c>
      <c r="G94" s="2" t="s">
        <v>238</v>
      </c>
      <c r="H94" s="2" t="s">
        <v>48</v>
      </c>
      <c r="I94" s="2">
        <f>I93*J94</f>
        <v>0.55691999999999997</v>
      </c>
      <c r="J94" s="2">
        <v>102</v>
      </c>
      <c r="K94" s="2">
        <v>102</v>
      </c>
      <c r="L94" s="2"/>
      <c r="M94" s="2"/>
      <c r="N94" s="2"/>
      <c r="O94" s="2">
        <f t="shared" si="70"/>
        <v>3850.81</v>
      </c>
      <c r="P94" s="2">
        <f>ROUND(CQ94*I94,2)</f>
        <v>3850.81</v>
      </c>
      <c r="Q94" s="2">
        <f>ROUND(CR94*I94,2)</f>
        <v>0</v>
      </c>
      <c r="R94" s="2">
        <f>ROUND(CS94*I94,2)</f>
        <v>0</v>
      </c>
      <c r="S94" s="2">
        <f>ROUND(CT94*I94,2)</f>
        <v>0</v>
      </c>
      <c r="T94" s="2">
        <f t="shared" si="49"/>
        <v>0</v>
      </c>
      <c r="U94" s="2">
        <f>ROUND(CV94*I94,7)</f>
        <v>0</v>
      </c>
      <c r="V94" s="2">
        <f>ROUND(CW94*I94,7)</f>
        <v>0</v>
      </c>
      <c r="W94" s="2">
        <f t="shared" si="50"/>
        <v>0</v>
      </c>
      <c r="X94" s="2">
        <f t="shared" si="51"/>
        <v>0</v>
      </c>
      <c r="Y94" s="2">
        <f t="shared" si="52"/>
        <v>0</v>
      </c>
      <c r="Z94" s="2"/>
      <c r="AA94" s="2">
        <v>74014550</v>
      </c>
      <c r="AB94" s="2">
        <f t="shared" si="53"/>
        <v>4768.6099999999997</v>
      </c>
      <c r="AC94" s="2">
        <f>ROUND((ES94),6)</f>
        <v>4768.6099999999997</v>
      </c>
      <c r="AD94" s="2">
        <f>ROUND((((ET94)-(EU94))+AE94),6)</f>
        <v>0</v>
      </c>
      <c r="AE94" s="2">
        <f>ROUND((EU94),6)</f>
        <v>0</v>
      </c>
      <c r="AF94" s="2">
        <f>ROUND((EV94),6)</f>
        <v>0</v>
      </c>
      <c r="AG94" s="2">
        <f t="shared" si="54"/>
        <v>0</v>
      </c>
      <c r="AH94" s="2">
        <f>(EW94)</f>
        <v>0</v>
      </c>
      <c r="AI94" s="2">
        <f>(EX94)</f>
        <v>0</v>
      </c>
      <c r="AJ94" s="2">
        <f t="shared" si="55"/>
        <v>0</v>
      </c>
      <c r="AK94" s="2">
        <v>4768.6099999999997</v>
      </c>
      <c r="AL94" s="2">
        <v>4768.6099999999997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102</v>
      </c>
      <c r="AU94" s="2">
        <v>58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1.45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3</v>
      </c>
      <c r="BI94" s="2">
        <v>1</v>
      </c>
      <c r="BJ94" s="2" t="s">
        <v>239</v>
      </c>
      <c r="BK94" s="2"/>
      <c r="BL94" s="2"/>
      <c r="BM94" s="2">
        <v>6001</v>
      </c>
      <c r="BN94" s="2">
        <v>0</v>
      </c>
      <c r="BO94" s="2" t="s">
        <v>237</v>
      </c>
      <c r="BP94" s="2">
        <v>1</v>
      </c>
      <c r="BQ94" s="2">
        <v>2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102</v>
      </c>
      <c r="CA94" s="2">
        <v>58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71"/>
        <v>3850.81</v>
      </c>
      <c r="CQ94" s="2">
        <f>ROUND(AL94*BC94,2)</f>
        <v>6914.48</v>
      </c>
      <c r="CR94" s="2">
        <f>ROUND(AM94*BB94,2)</f>
        <v>0</v>
      </c>
      <c r="CS94" s="2">
        <f>ROUND(AN94*BS94,2)</f>
        <v>0</v>
      </c>
      <c r="CT94" s="2">
        <f>ROUND(AO94*BA94,2)</f>
        <v>0</v>
      </c>
      <c r="CU94" s="2">
        <f t="shared" si="73"/>
        <v>0</v>
      </c>
      <c r="CV94" s="2">
        <f>AH94</f>
        <v>0</v>
      </c>
      <c r="CW94" s="2">
        <f>AI94</f>
        <v>0</v>
      </c>
      <c r="CX94" s="2">
        <f t="shared" si="74"/>
        <v>0</v>
      </c>
      <c r="CY94" s="2">
        <f t="shared" si="75"/>
        <v>0</v>
      </c>
      <c r="CZ94" s="2">
        <f t="shared" si="76"/>
        <v>0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1007</v>
      </c>
      <c r="DV94" s="2" t="s">
        <v>48</v>
      </c>
      <c r="DW94" s="2" t="s">
        <v>48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72340584</v>
      </c>
      <c r="EF94" s="2">
        <v>2</v>
      </c>
      <c r="EG94" s="2" t="s">
        <v>23</v>
      </c>
      <c r="EH94" s="2">
        <v>6</v>
      </c>
      <c r="EI94" s="2" t="s">
        <v>232</v>
      </c>
      <c r="EJ94" s="2">
        <v>1</v>
      </c>
      <c r="EK94" s="2">
        <v>6001</v>
      </c>
      <c r="EL94" s="2" t="s">
        <v>232</v>
      </c>
      <c r="EM94" s="2" t="s">
        <v>233</v>
      </c>
      <c r="EN94" s="2"/>
      <c r="EO94" s="2" t="s">
        <v>3</v>
      </c>
      <c r="EP94" s="2"/>
      <c r="EQ94" s="2">
        <v>0</v>
      </c>
      <c r="ER94" s="2">
        <v>4768.6099999999997</v>
      </c>
      <c r="ES94" s="2">
        <v>4768.6099999999997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102</v>
      </c>
      <c r="FY94" s="2">
        <v>58</v>
      </c>
      <c r="FZ94" s="2"/>
      <c r="GA94" s="2" t="s">
        <v>3</v>
      </c>
      <c r="GB94" s="2"/>
      <c r="GC94" s="2"/>
      <c r="GD94" s="2">
        <v>1</v>
      </c>
      <c r="GE94" s="2"/>
      <c r="GF94" s="2">
        <v>1140672670</v>
      </c>
      <c r="GG94" s="2">
        <v>2</v>
      </c>
      <c r="GH94" s="2">
        <v>1</v>
      </c>
      <c r="GI94" s="2">
        <v>2</v>
      </c>
      <c r="GJ94" s="2">
        <v>0</v>
      </c>
      <c r="GK94" s="2">
        <v>0</v>
      </c>
      <c r="GL94" s="2">
        <f t="shared" si="59"/>
        <v>0</v>
      </c>
      <c r="GM94" s="2">
        <f t="shared" si="60"/>
        <v>3850.81</v>
      </c>
      <c r="GN94" s="2">
        <f t="shared" si="61"/>
        <v>3850.81</v>
      </c>
      <c r="GO94" s="2">
        <f t="shared" si="62"/>
        <v>0</v>
      </c>
      <c r="GP94" s="2">
        <f t="shared" si="63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64"/>
        <v>0</v>
      </c>
      <c r="GW94" s="2">
        <v>1</v>
      </c>
      <c r="GX94" s="2">
        <f t="shared" si="65"/>
        <v>0</v>
      </c>
      <c r="GY94" s="2"/>
      <c r="GZ94" s="2"/>
      <c r="HA94" s="2">
        <v>0</v>
      </c>
      <c r="HB94" s="2">
        <v>0</v>
      </c>
      <c r="HC94" s="2">
        <f t="shared" si="72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234</v>
      </c>
      <c r="HO94" s="2" t="s">
        <v>235</v>
      </c>
      <c r="HP94" s="2" t="s">
        <v>232</v>
      </c>
      <c r="HQ94" s="2" t="s">
        <v>232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17</v>
      </c>
      <c r="B95" s="2">
        <v>1</v>
      </c>
      <c r="C95" s="2">
        <f>ROW(SmtRes!A94)</f>
        <v>94</v>
      </c>
      <c r="D95" s="2">
        <f>ROW(EtalonRes!A105)</f>
        <v>105</v>
      </c>
      <c r="E95" s="2" t="s">
        <v>240</v>
      </c>
      <c r="F95" s="2" t="s">
        <v>241</v>
      </c>
      <c r="G95" s="2" t="s">
        <v>242</v>
      </c>
      <c r="H95" s="2" t="s">
        <v>243</v>
      </c>
      <c r="I95" s="2">
        <v>1E-3</v>
      </c>
      <c r="J95" s="2">
        <v>0</v>
      </c>
      <c r="K95" s="2">
        <v>1E-3</v>
      </c>
      <c r="L95" s="2"/>
      <c r="M95" s="2"/>
      <c r="N95" s="2"/>
      <c r="O95" s="2">
        <f t="shared" si="70"/>
        <v>108.38</v>
      </c>
      <c r="P95" s="2">
        <f>SUMIF(SmtRes!AQ89:'SmtRes'!AQ94,"=1",SmtRes!DF89:'SmtRes'!DF94)</f>
        <v>0.82</v>
      </c>
      <c r="Q95" s="2">
        <f>SUMIF(SmtRes!AQ89:'SmtRes'!AQ94,"=1",SmtRes!DG89:'SmtRes'!DG94)</f>
        <v>0.68</v>
      </c>
      <c r="R95" s="2">
        <f>SUMIF(SmtRes!AQ89:'SmtRes'!AQ94,"=1",SmtRes!DH89:'SmtRes'!DH94)</f>
        <v>0.27</v>
      </c>
      <c r="S95" s="2">
        <f>SUMIF(SmtRes!AQ89:'SmtRes'!AQ94,"=1",SmtRes!DI89:'SmtRes'!DI94)</f>
        <v>106.61</v>
      </c>
      <c r="T95" s="2">
        <f t="shared" si="49"/>
        <v>0</v>
      </c>
      <c r="U95" s="2">
        <f>SUMIF(SmtRes!AQ89:'SmtRes'!AQ94,"=1",SmtRes!CV89:'SmtRes'!CV94)</f>
        <v>0.28899999999999998</v>
      </c>
      <c r="V95" s="2">
        <f>SUMIF(SmtRes!AQ89:'SmtRes'!AQ94,"=1",SmtRes!CW89:'SmtRes'!CW94)</f>
        <v>5.9000000000000003E-4</v>
      </c>
      <c r="W95" s="2">
        <f t="shared" si="50"/>
        <v>0</v>
      </c>
      <c r="X95" s="2">
        <f t="shared" si="51"/>
        <v>109.02</v>
      </c>
      <c r="Y95" s="2">
        <f t="shared" si="52"/>
        <v>61.99</v>
      </c>
      <c r="Z95" s="2"/>
      <c r="AA95" s="2">
        <v>74014550</v>
      </c>
      <c r="AB95" s="2">
        <f t="shared" si="53"/>
        <v>107898.54059999999</v>
      </c>
      <c r="AC95" s="2">
        <f>ROUND((SUM(SmtRes!BQ89:'SmtRes'!BQ94)),6)</f>
        <v>610.1576</v>
      </c>
      <c r="AD95" s="2">
        <f>ROUND((((SUM(SmtRes!BR89:'SmtRes'!BR94))-(SUM(SmtRes!BS89:'SmtRes'!BS94)))+AE95),6)</f>
        <v>682.06299999999999</v>
      </c>
      <c r="AE95" s="2">
        <f>ROUND((SUM(SmtRes!BS89:'SmtRes'!BS94)),6)</f>
        <v>270.49160000000001</v>
      </c>
      <c r="AF95" s="2">
        <f>ROUND((SUM(SmtRes!BT89:'SmtRes'!BT94)),6)</f>
        <v>106606.32</v>
      </c>
      <c r="AG95" s="2">
        <f t="shared" si="54"/>
        <v>0</v>
      </c>
      <c r="AH95" s="2">
        <f>(SUM(SmtRes!BU89:'SmtRes'!BU94))</f>
        <v>289</v>
      </c>
      <c r="AI95" s="2">
        <f>(SUM(SmtRes!BV89:'SmtRes'!BV94))</f>
        <v>0.59000000000000008</v>
      </c>
      <c r="AJ95" s="2">
        <f t="shared" si="55"/>
        <v>0</v>
      </c>
      <c r="AK95" s="2">
        <v>108169.03219999999</v>
      </c>
      <c r="AL95" s="2">
        <v>610.1576</v>
      </c>
      <c r="AM95" s="2">
        <v>682.0630000000001</v>
      </c>
      <c r="AN95" s="2">
        <v>270.49160000000001</v>
      </c>
      <c r="AO95" s="2">
        <v>106606.31999999999</v>
      </c>
      <c r="AP95" s="2">
        <v>0</v>
      </c>
      <c r="AQ95" s="2">
        <v>289</v>
      </c>
      <c r="AR95" s="2">
        <v>0.59000000000000008</v>
      </c>
      <c r="AS95" s="2">
        <v>0</v>
      </c>
      <c r="AT95" s="2">
        <v>102</v>
      </c>
      <c r="AU95" s="2">
        <v>58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0</v>
      </c>
      <c r="BI95" s="2">
        <v>1</v>
      </c>
      <c r="BJ95" s="2" t="s">
        <v>244</v>
      </c>
      <c r="BK95" s="2"/>
      <c r="BL95" s="2"/>
      <c r="BM95" s="2">
        <v>6001</v>
      </c>
      <c r="BN95" s="2">
        <v>0</v>
      </c>
      <c r="BO95" s="2" t="s">
        <v>3</v>
      </c>
      <c r="BP95" s="2">
        <v>0</v>
      </c>
      <c r="BQ95" s="2">
        <v>2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102</v>
      </c>
      <c r="CA95" s="2">
        <v>58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 t="shared" si="71"/>
        <v>108.38</v>
      </c>
      <c r="CQ95" s="2">
        <f>SUMIF(SmtRes!AQ89:'SmtRes'!AQ94,"=1",SmtRes!AA89:'SmtRes'!AA94)</f>
        <v>82371.28</v>
      </c>
      <c r="CR95" s="2">
        <f>SUMIF(SmtRes!AQ89:'SmtRes'!AQ94,"=1",SmtRes!AB89:'SmtRes'!AB94)</f>
        <v>2492.11</v>
      </c>
      <c r="CS95" s="2">
        <f>SUMIF(SmtRes!AQ89:'SmtRes'!AQ94,"=1",SmtRes!AC89:'SmtRes'!AC94)</f>
        <v>937.88</v>
      </c>
      <c r="CT95" s="2">
        <f>SUMIF(SmtRes!AQ89:'SmtRes'!AQ94,"=1",SmtRes!AD89:'SmtRes'!AD94)</f>
        <v>368.88</v>
      </c>
      <c r="CU95" s="2">
        <f t="shared" si="73"/>
        <v>0</v>
      </c>
      <c r="CV95" s="2">
        <f>SUMIF(SmtRes!AQ89:'SmtRes'!AQ94,"=1",SmtRes!BU89:'SmtRes'!BU94)</f>
        <v>289</v>
      </c>
      <c r="CW95" s="2">
        <f>SUMIF(SmtRes!AQ89:'SmtRes'!AQ94,"=1",SmtRes!BV89:'SmtRes'!BV94)</f>
        <v>0.59000000000000008</v>
      </c>
      <c r="CX95" s="2">
        <f t="shared" si="74"/>
        <v>0</v>
      </c>
      <c r="CY95" s="2">
        <f t="shared" si="75"/>
        <v>109.0176</v>
      </c>
      <c r="CZ95" s="2">
        <f t="shared" si="76"/>
        <v>61.990400000000001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1009</v>
      </c>
      <c r="DV95" s="2" t="s">
        <v>243</v>
      </c>
      <c r="DW95" s="2" t="s">
        <v>243</v>
      </c>
      <c r="DX95" s="2">
        <v>1000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72340584</v>
      </c>
      <c r="EF95" s="2">
        <v>2</v>
      </c>
      <c r="EG95" s="2" t="s">
        <v>23</v>
      </c>
      <c r="EH95" s="2">
        <v>6</v>
      </c>
      <c r="EI95" s="2" t="s">
        <v>232</v>
      </c>
      <c r="EJ95" s="2">
        <v>1</v>
      </c>
      <c r="EK95" s="2">
        <v>6001</v>
      </c>
      <c r="EL95" s="2" t="s">
        <v>232</v>
      </c>
      <c r="EM95" s="2" t="s">
        <v>233</v>
      </c>
      <c r="EN95" s="2"/>
      <c r="EO95" s="2" t="s">
        <v>3</v>
      </c>
      <c r="EP95" s="2"/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289</v>
      </c>
      <c r="EX95" s="2">
        <v>0.59</v>
      </c>
      <c r="EY95" s="2">
        <v>0</v>
      </c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102</v>
      </c>
      <c r="FY95" s="2">
        <v>58</v>
      </c>
      <c r="FZ95" s="2"/>
      <c r="GA95" s="2" t="s">
        <v>3</v>
      </c>
      <c r="GB95" s="2"/>
      <c r="GC95" s="2"/>
      <c r="GD95" s="2">
        <v>1</v>
      </c>
      <c r="GE95" s="2"/>
      <c r="GF95" s="2">
        <v>-1181679143</v>
      </c>
      <c r="GG95" s="2">
        <v>2</v>
      </c>
      <c r="GH95" s="2">
        <v>1</v>
      </c>
      <c r="GI95" s="2">
        <v>-2</v>
      </c>
      <c r="GJ95" s="2">
        <v>0</v>
      </c>
      <c r="GK95" s="2">
        <v>0</v>
      </c>
      <c r="GL95" s="2">
        <f t="shared" si="59"/>
        <v>0</v>
      </c>
      <c r="GM95" s="2">
        <f t="shared" si="60"/>
        <v>279.39</v>
      </c>
      <c r="GN95" s="2">
        <f t="shared" si="61"/>
        <v>279.39</v>
      </c>
      <c r="GO95" s="2">
        <f t="shared" si="62"/>
        <v>0</v>
      </c>
      <c r="GP95" s="2">
        <f t="shared" si="63"/>
        <v>0</v>
      </c>
      <c r="GQ95" s="2"/>
      <c r="GR95" s="2">
        <v>0</v>
      </c>
      <c r="GS95" s="2">
        <v>3</v>
      </c>
      <c r="GT95" s="2">
        <v>0</v>
      </c>
      <c r="GU95" s="2" t="s">
        <v>3</v>
      </c>
      <c r="GV95" s="2">
        <f t="shared" si="64"/>
        <v>0</v>
      </c>
      <c r="GW95" s="2">
        <v>1</v>
      </c>
      <c r="GX95" s="2">
        <f t="shared" si="65"/>
        <v>0</v>
      </c>
      <c r="GY95" s="2"/>
      <c r="GZ95" s="2"/>
      <c r="HA95" s="2">
        <v>0</v>
      </c>
      <c r="HB95" s="2">
        <v>0</v>
      </c>
      <c r="HC95" s="2">
        <f t="shared" si="72"/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234</v>
      </c>
      <c r="HO95" s="2" t="s">
        <v>235</v>
      </c>
      <c r="HP95" s="2" t="s">
        <v>232</v>
      </c>
      <c r="HQ95" s="2" t="s">
        <v>232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18</v>
      </c>
      <c r="B96" s="2">
        <v>1</v>
      </c>
      <c r="C96" s="2">
        <v>94</v>
      </c>
      <c r="D96" s="2"/>
      <c r="E96" s="2" t="s">
        <v>245</v>
      </c>
      <c r="F96" s="2" t="s">
        <v>246</v>
      </c>
      <c r="G96" s="2" t="s">
        <v>247</v>
      </c>
      <c r="H96" s="2" t="s">
        <v>243</v>
      </c>
      <c r="I96" s="2">
        <f>I95*J96</f>
        <v>1E-3</v>
      </c>
      <c r="J96" s="2">
        <v>1</v>
      </c>
      <c r="K96" s="2">
        <v>1</v>
      </c>
      <c r="L96" s="2"/>
      <c r="M96" s="2"/>
      <c r="N96" s="2"/>
      <c r="O96" s="2">
        <f t="shared" si="70"/>
        <v>174.24</v>
      </c>
      <c r="P96" s="2">
        <f>ROUND(CQ96*I96,2)</f>
        <v>174.24</v>
      </c>
      <c r="Q96" s="2">
        <f>ROUND(CR96*I96,2)</f>
        <v>0</v>
      </c>
      <c r="R96" s="2">
        <f>ROUND(CS96*I96,2)</f>
        <v>0</v>
      </c>
      <c r="S96" s="2">
        <f>ROUND(CT96*I96,2)</f>
        <v>0</v>
      </c>
      <c r="T96" s="2">
        <f t="shared" si="49"/>
        <v>0</v>
      </c>
      <c r="U96" s="2">
        <f>ROUND(CV96*I96,7)</f>
        <v>0</v>
      </c>
      <c r="V96" s="2">
        <f>ROUND(CW96*I96,7)</f>
        <v>0</v>
      </c>
      <c r="W96" s="2">
        <f t="shared" si="50"/>
        <v>0</v>
      </c>
      <c r="X96" s="2">
        <f t="shared" si="51"/>
        <v>0</v>
      </c>
      <c r="Y96" s="2">
        <f t="shared" si="52"/>
        <v>0</v>
      </c>
      <c r="Z96" s="2"/>
      <c r="AA96" s="2">
        <v>74014550</v>
      </c>
      <c r="AB96" s="2">
        <f t="shared" si="53"/>
        <v>155569.65</v>
      </c>
      <c r="AC96" s="2">
        <f>ROUND((ES96),6)</f>
        <v>155569.65</v>
      </c>
      <c r="AD96" s="2">
        <f>ROUND((((ET96)-(EU96))+AE96),6)</f>
        <v>0</v>
      </c>
      <c r="AE96" s="2">
        <f>ROUND((EU96),6)</f>
        <v>0</v>
      </c>
      <c r="AF96" s="2">
        <f>ROUND((EV96),6)</f>
        <v>0</v>
      </c>
      <c r="AG96" s="2">
        <f t="shared" si="54"/>
        <v>0</v>
      </c>
      <c r="AH96" s="2">
        <f>(EW96)</f>
        <v>0</v>
      </c>
      <c r="AI96" s="2">
        <f>(EX96)</f>
        <v>0</v>
      </c>
      <c r="AJ96" s="2">
        <f t="shared" si="55"/>
        <v>0</v>
      </c>
      <c r="AK96" s="2">
        <v>155569.65</v>
      </c>
      <c r="AL96" s="2">
        <v>155569.65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102</v>
      </c>
      <c r="AU96" s="2">
        <v>58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1.1200000000000001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3</v>
      </c>
      <c r="BI96" s="2">
        <v>1</v>
      </c>
      <c r="BJ96" s="2" t="s">
        <v>248</v>
      </c>
      <c r="BK96" s="2"/>
      <c r="BL96" s="2"/>
      <c r="BM96" s="2">
        <v>6001</v>
      </c>
      <c r="BN96" s="2">
        <v>0</v>
      </c>
      <c r="BO96" s="2" t="s">
        <v>246</v>
      </c>
      <c r="BP96" s="2">
        <v>1</v>
      </c>
      <c r="BQ96" s="2">
        <v>2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102</v>
      </c>
      <c r="CA96" s="2">
        <v>58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si="71"/>
        <v>174.24</v>
      </c>
      <c r="CQ96" s="2">
        <f>ROUND(AL96*BC96,2)</f>
        <v>174238.01</v>
      </c>
      <c r="CR96" s="2">
        <f>ROUND(AM96*BB96,2)</f>
        <v>0</v>
      </c>
      <c r="CS96" s="2">
        <f>ROUND(AN96*BS96,2)</f>
        <v>0</v>
      </c>
      <c r="CT96" s="2">
        <f>ROUND(AO96*BA96,2)</f>
        <v>0</v>
      </c>
      <c r="CU96" s="2">
        <f t="shared" si="73"/>
        <v>0</v>
      </c>
      <c r="CV96" s="2">
        <f>AH96</f>
        <v>0</v>
      </c>
      <c r="CW96" s="2">
        <f>AI96</f>
        <v>0</v>
      </c>
      <c r="CX96" s="2">
        <f t="shared" si="74"/>
        <v>0</v>
      </c>
      <c r="CY96" s="2">
        <f t="shared" si="75"/>
        <v>0</v>
      </c>
      <c r="CZ96" s="2">
        <f t="shared" si="76"/>
        <v>0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1009</v>
      </c>
      <c r="DV96" s="2" t="s">
        <v>243</v>
      </c>
      <c r="DW96" s="2" t="s">
        <v>243</v>
      </c>
      <c r="DX96" s="2">
        <v>1000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72340584</v>
      </c>
      <c r="EF96" s="2">
        <v>2</v>
      </c>
      <c r="EG96" s="2" t="s">
        <v>23</v>
      </c>
      <c r="EH96" s="2">
        <v>6</v>
      </c>
      <c r="EI96" s="2" t="s">
        <v>232</v>
      </c>
      <c r="EJ96" s="2">
        <v>1</v>
      </c>
      <c r="EK96" s="2">
        <v>6001</v>
      </c>
      <c r="EL96" s="2" t="s">
        <v>232</v>
      </c>
      <c r="EM96" s="2" t="s">
        <v>233</v>
      </c>
      <c r="EN96" s="2"/>
      <c r="EO96" s="2" t="s">
        <v>3</v>
      </c>
      <c r="EP96" s="2"/>
      <c r="EQ96" s="2">
        <v>0</v>
      </c>
      <c r="ER96" s="2">
        <v>155569.65</v>
      </c>
      <c r="ES96" s="2">
        <v>155569.65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102</v>
      </c>
      <c r="FY96" s="2">
        <v>58</v>
      </c>
      <c r="FZ96" s="2"/>
      <c r="GA96" s="2" t="s">
        <v>3</v>
      </c>
      <c r="GB96" s="2"/>
      <c r="GC96" s="2"/>
      <c r="GD96" s="2">
        <v>1</v>
      </c>
      <c r="GE96" s="2"/>
      <c r="GF96" s="2">
        <v>717363889</v>
      </c>
      <c r="GG96" s="2">
        <v>2</v>
      </c>
      <c r="GH96" s="2">
        <v>1</v>
      </c>
      <c r="GI96" s="2">
        <v>2</v>
      </c>
      <c r="GJ96" s="2">
        <v>0</v>
      </c>
      <c r="GK96" s="2">
        <v>0</v>
      </c>
      <c r="GL96" s="2">
        <f t="shared" si="59"/>
        <v>0</v>
      </c>
      <c r="GM96" s="2">
        <f t="shared" si="60"/>
        <v>174.24</v>
      </c>
      <c r="GN96" s="2">
        <f t="shared" si="61"/>
        <v>174.24</v>
      </c>
      <c r="GO96" s="2">
        <f t="shared" si="62"/>
        <v>0</v>
      </c>
      <c r="GP96" s="2">
        <f t="shared" si="63"/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si="64"/>
        <v>0</v>
      </c>
      <c r="GW96" s="2">
        <v>1</v>
      </c>
      <c r="GX96" s="2">
        <f t="shared" si="65"/>
        <v>0</v>
      </c>
      <c r="GY96" s="2"/>
      <c r="GZ96" s="2"/>
      <c r="HA96" s="2">
        <v>0</v>
      </c>
      <c r="HB96" s="2">
        <v>0</v>
      </c>
      <c r="HC96" s="2">
        <f t="shared" si="72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234</v>
      </c>
      <c r="HO96" s="2" t="s">
        <v>235</v>
      </c>
      <c r="HP96" s="2" t="s">
        <v>232</v>
      </c>
      <c r="HQ96" s="2" t="s">
        <v>232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17</v>
      </c>
      <c r="B97" s="2">
        <v>1</v>
      </c>
      <c r="C97" s="2">
        <f>ROW(SmtRes!A97)</f>
        <v>97</v>
      </c>
      <c r="D97" s="2">
        <f>ROW(EtalonRes!A108)</f>
        <v>108</v>
      </c>
      <c r="E97" s="2" t="s">
        <v>249</v>
      </c>
      <c r="F97" s="2" t="s">
        <v>250</v>
      </c>
      <c r="G97" s="2" t="s">
        <v>251</v>
      </c>
      <c r="H97" s="2" t="s">
        <v>119</v>
      </c>
      <c r="I97" s="2">
        <f>ROUND(106/100,7)</f>
        <v>1.06</v>
      </c>
      <c r="J97" s="2">
        <v>0</v>
      </c>
      <c r="K97" s="2">
        <f>ROUND(106/100,7)</f>
        <v>1.06</v>
      </c>
      <c r="L97" s="2"/>
      <c r="M97" s="2"/>
      <c r="N97" s="2"/>
      <c r="O97" s="2">
        <f t="shared" si="70"/>
        <v>347.22</v>
      </c>
      <c r="P97" s="2">
        <f>SUMIF(SmtRes!AQ95:'SmtRes'!AQ97,"=1",SmtRes!DF95:'SmtRes'!DF97)</f>
        <v>0</v>
      </c>
      <c r="Q97" s="2">
        <f>SUMIF(SmtRes!AQ95:'SmtRes'!AQ97,"=1",SmtRes!DG95:'SmtRes'!DG97)</f>
        <v>88.43</v>
      </c>
      <c r="R97" s="2">
        <f>SUMIF(SmtRes!AQ95:'SmtRes'!AQ97,"=1",SmtRes!DH95:'SmtRes'!DH97)</f>
        <v>84.85</v>
      </c>
      <c r="S97" s="2">
        <f>SUMIF(SmtRes!AQ95:'SmtRes'!AQ97,"=1",SmtRes!DI95:'SmtRes'!DI97)</f>
        <v>173.94</v>
      </c>
      <c r="T97" s="2">
        <f t="shared" si="49"/>
        <v>0</v>
      </c>
      <c r="U97" s="2">
        <f>SUMIF(SmtRes!AQ95:'SmtRes'!AQ97,"=1",SmtRes!CV95:'SmtRes'!CV97)</f>
        <v>0.43459999999999999</v>
      </c>
      <c r="V97" s="2">
        <f>SUMIF(SmtRes!AQ95:'SmtRes'!AQ97,"=1",SmtRes!CW95:'SmtRes'!CW97)</f>
        <v>0.21199999999999999</v>
      </c>
      <c r="W97" s="2">
        <f t="shared" si="50"/>
        <v>0</v>
      </c>
      <c r="X97" s="2">
        <f t="shared" si="51"/>
        <v>302.77999999999997</v>
      </c>
      <c r="Y97" s="2">
        <f t="shared" si="52"/>
        <v>191.5</v>
      </c>
      <c r="Z97" s="2"/>
      <c r="AA97" s="2">
        <v>74014550</v>
      </c>
      <c r="AB97" s="2">
        <f t="shared" si="53"/>
        <v>247.5224</v>
      </c>
      <c r="AC97" s="2">
        <f>ROUND((0),6)</f>
        <v>0</v>
      </c>
      <c r="AD97" s="2">
        <f>ROUND((((SUM(SmtRes!BR95:'SmtRes'!BR97))-(SUM(SmtRes!BS95:'SmtRes'!BS97)))+AE97),6)</f>
        <v>83.424000000000007</v>
      </c>
      <c r="AE97" s="2">
        <f>ROUND((SUM(SmtRes!BS95:'SmtRes'!BS97)),6)</f>
        <v>80.048000000000002</v>
      </c>
      <c r="AF97" s="2">
        <f>ROUND((SUM(SmtRes!BT95:'SmtRes'!BT97)),6)</f>
        <v>164.0984</v>
      </c>
      <c r="AG97" s="2">
        <f t="shared" si="54"/>
        <v>0</v>
      </c>
      <c r="AH97" s="2">
        <f>(SUM(SmtRes!BU95:'SmtRes'!BU97))</f>
        <v>0.41</v>
      </c>
      <c r="AI97" s="2">
        <f>(SUM(SmtRes!BV95:'SmtRes'!BV97))</f>
        <v>0.2</v>
      </c>
      <c r="AJ97" s="2">
        <f t="shared" si="55"/>
        <v>0</v>
      </c>
      <c r="AK97" s="2">
        <v>327.57040000000001</v>
      </c>
      <c r="AL97" s="2">
        <v>0</v>
      </c>
      <c r="AM97" s="2">
        <v>83.424000000000007</v>
      </c>
      <c r="AN97" s="2">
        <v>80.048000000000002</v>
      </c>
      <c r="AO97" s="2">
        <v>164.0984</v>
      </c>
      <c r="AP97" s="2">
        <v>0</v>
      </c>
      <c r="AQ97" s="2">
        <v>0.41</v>
      </c>
      <c r="AR97" s="2">
        <v>0.2</v>
      </c>
      <c r="AS97" s="2">
        <v>0</v>
      </c>
      <c r="AT97" s="2">
        <v>117</v>
      </c>
      <c r="AU97" s="2">
        <v>74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0</v>
      </c>
      <c r="BI97" s="2">
        <v>1</v>
      </c>
      <c r="BJ97" s="2" t="s">
        <v>252</v>
      </c>
      <c r="BK97" s="2"/>
      <c r="BL97" s="2"/>
      <c r="BM97" s="2">
        <v>24001</v>
      </c>
      <c r="BN97" s="2">
        <v>0</v>
      </c>
      <c r="BO97" s="2" t="s">
        <v>3</v>
      </c>
      <c r="BP97" s="2">
        <v>0</v>
      </c>
      <c r="BQ97" s="2">
        <v>2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117</v>
      </c>
      <c r="CA97" s="2">
        <v>74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 t="shared" si="71"/>
        <v>347.22</v>
      </c>
      <c r="CQ97" s="2">
        <f>SUMIF(SmtRes!AQ95:'SmtRes'!AQ97,"=1",SmtRes!AA95:'SmtRes'!AA97)</f>
        <v>0</v>
      </c>
      <c r="CR97" s="2">
        <f>SUMIF(SmtRes!AQ95:'SmtRes'!AQ97,"=1",SmtRes!AB95:'SmtRes'!AB97)</f>
        <v>417.12</v>
      </c>
      <c r="CS97" s="2">
        <f>SUMIF(SmtRes!AQ95:'SmtRes'!AQ97,"=1",SmtRes!AC95:'SmtRes'!AC97)</f>
        <v>400.24</v>
      </c>
      <c r="CT97" s="2">
        <f>SUMIF(SmtRes!AQ95:'SmtRes'!AQ97,"=1",SmtRes!AD95:'SmtRes'!AD97)</f>
        <v>400.24</v>
      </c>
      <c r="CU97" s="2">
        <f t="shared" si="73"/>
        <v>0</v>
      </c>
      <c r="CV97" s="2">
        <f>SUMIF(SmtRes!AQ95:'SmtRes'!AQ97,"=1",SmtRes!BU95:'SmtRes'!BU97)</f>
        <v>0.41</v>
      </c>
      <c r="CW97" s="2">
        <f>SUMIF(SmtRes!AQ95:'SmtRes'!AQ97,"=1",SmtRes!BV95:'SmtRes'!BV97)</f>
        <v>0.2</v>
      </c>
      <c r="CX97" s="2">
        <f t="shared" si="74"/>
        <v>0</v>
      </c>
      <c r="CY97" s="2">
        <f t="shared" si="75"/>
        <v>302.78429999999997</v>
      </c>
      <c r="CZ97" s="2">
        <f t="shared" si="76"/>
        <v>191.50459999999998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1003</v>
      </c>
      <c r="DV97" s="2" t="s">
        <v>119</v>
      </c>
      <c r="DW97" s="2" t="s">
        <v>119</v>
      </c>
      <c r="DX97" s="2">
        <v>100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72340632</v>
      </c>
      <c r="EF97" s="2">
        <v>2</v>
      </c>
      <c r="EG97" s="2" t="s">
        <v>23</v>
      </c>
      <c r="EH97" s="2">
        <v>18</v>
      </c>
      <c r="EI97" s="2" t="s">
        <v>41</v>
      </c>
      <c r="EJ97" s="2">
        <v>1</v>
      </c>
      <c r="EK97" s="2">
        <v>24001</v>
      </c>
      <c r="EL97" s="2" t="s">
        <v>41</v>
      </c>
      <c r="EM97" s="2" t="s">
        <v>121</v>
      </c>
      <c r="EN97" s="2"/>
      <c r="EO97" s="2" t="s">
        <v>3</v>
      </c>
      <c r="EP97" s="2"/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0.41</v>
      </c>
      <c r="EX97" s="2">
        <v>0.2</v>
      </c>
      <c r="EY97" s="2">
        <v>0</v>
      </c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117</v>
      </c>
      <c r="FY97" s="2">
        <v>74</v>
      </c>
      <c r="FZ97" s="2"/>
      <c r="GA97" s="2" t="s">
        <v>3</v>
      </c>
      <c r="GB97" s="2"/>
      <c r="GC97" s="2"/>
      <c r="GD97" s="2">
        <v>1</v>
      </c>
      <c r="GE97" s="2"/>
      <c r="GF97" s="2">
        <v>-414317655</v>
      </c>
      <c r="GG97" s="2">
        <v>2</v>
      </c>
      <c r="GH97" s="2">
        <v>1</v>
      </c>
      <c r="GI97" s="2">
        <v>-2</v>
      </c>
      <c r="GJ97" s="2">
        <v>0</v>
      </c>
      <c r="GK97" s="2">
        <v>0</v>
      </c>
      <c r="GL97" s="2">
        <f t="shared" si="59"/>
        <v>0</v>
      </c>
      <c r="GM97" s="2">
        <f t="shared" si="60"/>
        <v>841.5</v>
      </c>
      <c r="GN97" s="2">
        <f t="shared" si="61"/>
        <v>841.5</v>
      </c>
      <c r="GO97" s="2">
        <f t="shared" si="62"/>
        <v>0</v>
      </c>
      <c r="GP97" s="2">
        <f t="shared" si="63"/>
        <v>0</v>
      </c>
      <c r="GQ97" s="2"/>
      <c r="GR97" s="2">
        <v>0</v>
      </c>
      <c r="GS97" s="2">
        <v>3</v>
      </c>
      <c r="GT97" s="2">
        <v>0</v>
      </c>
      <c r="GU97" s="2" t="s">
        <v>3</v>
      </c>
      <c r="GV97" s="2">
        <f t="shared" si="64"/>
        <v>0</v>
      </c>
      <c r="GW97" s="2">
        <v>1</v>
      </c>
      <c r="GX97" s="2">
        <f t="shared" si="65"/>
        <v>0</v>
      </c>
      <c r="GY97" s="2"/>
      <c r="GZ97" s="2"/>
      <c r="HA97" s="2">
        <v>0</v>
      </c>
      <c r="HB97" s="2">
        <v>0</v>
      </c>
      <c r="HC97" s="2">
        <f t="shared" si="72"/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43</v>
      </c>
      <c r="HO97" s="2" t="s">
        <v>44</v>
      </c>
      <c r="HP97" s="2" t="s">
        <v>41</v>
      </c>
      <c r="HQ97" s="2" t="s">
        <v>41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17</v>
      </c>
      <c r="B98" s="2">
        <v>1</v>
      </c>
      <c r="C98" s="2">
        <f>ROW(SmtRes!A101)</f>
        <v>101</v>
      </c>
      <c r="D98" s="2">
        <f>ROW(EtalonRes!A112)</f>
        <v>112</v>
      </c>
      <c r="E98" s="2" t="s">
        <v>253</v>
      </c>
      <c r="F98" s="2" t="s">
        <v>254</v>
      </c>
      <c r="G98" s="2" t="s">
        <v>255</v>
      </c>
      <c r="H98" s="2" t="s">
        <v>119</v>
      </c>
      <c r="I98" s="2">
        <f>ROUND(2/100,7)</f>
        <v>0.02</v>
      </c>
      <c r="J98" s="2">
        <v>0</v>
      </c>
      <c r="K98" s="2">
        <f>ROUND(2/100,7)</f>
        <v>0.02</v>
      </c>
      <c r="L98" s="2"/>
      <c r="M98" s="2"/>
      <c r="N98" s="2"/>
      <c r="O98" s="2">
        <f t="shared" si="70"/>
        <v>2.15</v>
      </c>
      <c r="P98" s="2">
        <f>SUMIF(SmtRes!AQ98:'SmtRes'!AQ101,"=1",SmtRes!DF98:'SmtRes'!DF101)</f>
        <v>0</v>
      </c>
      <c r="Q98" s="2">
        <f>SUMIF(SmtRes!AQ98:'SmtRes'!AQ101,"=1",SmtRes!DG98:'SmtRes'!DG101)</f>
        <v>0.97</v>
      </c>
      <c r="R98" s="2">
        <f>SUMIF(SmtRes!AQ98:'SmtRes'!AQ101,"=1",SmtRes!DH98:'SmtRes'!DH101)</f>
        <v>0.54</v>
      </c>
      <c r="S98" s="2">
        <f>SUMIF(SmtRes!AQ98:'SmtRes'!AQ101,"=1",SmtRes!DI98:'SmtRes'!DI101)</f>
        <v>0.64</v>
      </c>
      <c r="T98" s="2">
        <f t="shared" si="49"/>
        <v>0</v>
      </c>
      <c r="U98" s="2">
        <f>SUMIF(SmtRes!AQ98:'SmtRes'!AQ101,"=1",SmtRes!CV98:'SmtRes'!CV101)</f>
        <v>1.6000000000000001E-3</v>
      </c>
      <c r="V98" s="2">
        <f>SUMIF(SmtRes!AQ98:'SmtRes'!AQ101,"=1",SmtRes!CW98:'SmtRes'!CW101)</f>
        <v>1.2000000000000001E-3</v>
      </c>
      <c r="W98" s="2">
        <f t="shared" si="50"/>
        <v>0</v>
      </c>
      <c r="X98" s="2">
        <f t="shared" si="51"/>
        <v>1.38</v>
      </c>
      <c r="Y98" s="2">
        <f t="shared" si="52"/>
        <v>0.87</v>
      </c>
      <c r="Z98" s="2"/>
      <c r="AA98" s="2">
        <v>74014550</v>
      </c>
      <c r="AB98" s="2">
        <f t="shared" si="53"/>
        <v>70.123800000000003</v>
      </c>
      <c r="AC98" s="2">
        <f>ROUND((0),6)</f>
        <v>0</v>
      </c>
      <c r="AD98" s="2">
        <f>ROUND((((SUM(SmtRes!BR98:'SmtRes'!BR101))-(SUM(SmtRes!BS98:'SmtRes'!BS101)))+AE98),6)</f>
        <v>38.104599999999998</v>
      </c>
      <c r="AE98" s="2">
        <f>ROUND((SUM(SmtRes!BS98:'SmtRes'!BS101)),6)</f>
        <v>26.7624</v>
      </c>
      <c r="AF98" s="2">
        <f>ROUND((SUM(SmtRes!BT98:'SmtRes'!BT101)),6)</f>
        <v>32.019199999999998</v>
      </c>
      <c r="AG98" s="2">
        <f t="shared" si="54"/>
        <v>0</v>
      </c>
      <c r="AH98" s="2">
        <f>(SUM(SmtRes!BU98:'SmtRes'!BU101))</f>
        <v>0.08</v>
      </c>
      <c r="AI98" s="2">
        <f>(SUM(SmtRes!BV98:'SmtRes'!BV101))</f>
        <v>0.06</v>
      </c>
      <c r="AJ98" s="2">
        <f t="shared" si="55"/>
        <v>0</v>
      </c>
      <c r="AK98" s="2">
        <v>96.886200000000002</v>
      </c>
      <c r="AL98" s="2">
        <v>0</v>
      </c>
      <c r="AM98" s="2">
        <v>38.104600000000005</v>
      </c>
      <c r="AN98" s="2">
        <v>26.7624</v>
      </c>
      <c r="AO98" s="2">
        <v>32.019199999999998</v>
      </c>
      <c r="AP98" s="2">
        <v>0</v>
      </c>
      <c r="AQ98" s="2">
        <v>0.08</v>
      </c>
      <c r="AR98" s="2">
        <v>0.06</v>
      </c>
      <c r="AS98" s="2">
        <v>0</v>
      </c>
      <c r="AT98" s="2">
        <v>117</v>
      </c>
      <c r="AU98" s="2">
        <v>74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0</v>
      </c>
      <c r="BI98" s="2">
        <v>1</v>
      </c>
      <c r="BJ98" s="2" t="s">
        <v>256</v>
      </c>
      <c r="BK98" s="2"/>
      <c r="BL98" s="2"/>
      <c r="BM98" s="2">
        <v>24001</v>
      </c>
      <c r="BN98" s="2">
        <v>0</v>
      </c>
      <c r="BO98" s="2" t="s">
        <v>3</v>
      </c>
      <c r="BP98" s="2">
        <v>0</v>
      </c>
      <c r="BQ98" s="2">
        <v>2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117</v>
      </c>
      <c r="CA98" s="2">
        <v>74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 t="shared" si="71"/>
        <v>2.15</v>
      </c>
      <c r="CQ98" s="2">
        <f>SUMIF(SmtRes!AQ98:'SmtRes'!AQ101,"=1",SmtRes!AA98:'SmtRes'!AA101)</f>
        <v>0</v>
      </c>
      <c r="CR98" s="2">
        <f>SUMIF(SmtRes!AQ98:'SmtRes'!AQ101,"=1",SmtRes!AB98:'SmtRes'!AB101)</f>
        <v>2012.9</v>
      </c>
      <c r="CS98" s="2">
        <f>SUMIF(SmtRes!AQ98:'SmtRes'!AQ101,"=1",SmtRes!AC98:'SmtRes'!AC101)</f>
        <v>937.88</v>
      </c>
      <c r="CT98" s="2">
        <f>SUMIF(SmtRes!AQ98:'SmtRes'!AQ101,"=1",SmtRes!AD98:'SmtRes'!AD101)</f>
        <v>400.24</v>
      </c>
      <c r="CU98" s="2">
        <f t="shared" si="73"/>
        <v>0</v>
      </c>
      <c r="CV98" s="2">
        <f>SUMIF(SmtRes!AQ98:'SmtRes'!AQ101,"=1",SmtRes!BU98:'SmtRes'!BU101)</f>
        <v>0.08</v>
      </c>
      <c r="CW98" s="2">
        <f>SUMIF(SmtRes!AQ98:'SmtRes'!AQ101,"=1",SmtRes!BV98:'SmtRes'!BV101)</f>
        <v>0.06</v>
      </c>
      <c r="CX98" s="2">
        <f t="shared" si="74"/>
        <v>0</v>
      </c>
      <c r="CY98" s="2">
        <f t="shared" si="75"/>
        <v>1.3806000000000003</v>
      </c>
      <c r="CZ98" s="2">
        <f t="shared" si="76"/>
        <v>0.87320000000000009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1003</v>
      </c>
      <c r="DV98" s="2" t="s">
        <v>119</v>
      </c>
      <c r="DW98" s="2" t="s">
        <v>119</v>
      </c>
      <c r="DX98" s="2">
        <v>100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72340632</v>
      </c>
      <c r="EF98" s="2">
        <v>2</v>
      </c>
      <c r="EG98" s="2" t="s">
        <v>23</v>
      </c>
      <c r="EH98" s="2">
        <v>18</v>
      </c>
      <c r="EI98" s="2" t="s">
        <v>41</v>
      </c>
      <c r="EJ98" s="2">
        <v>1</v>
      </c>
      <c r="EK98" s="2">
        <v>24001</v>
      </c>
      <c r="EL98" s="2" t="s">
        <v>41</v>
      </c>
      <c r="EM98" s="2" t="s">
        <v>121</v>
      </c>
      <c r="EN98" s="2"/>
      <c r="EO98" s="2" t="s">
        <v>3</v>
      </c>
      <c r="EP98" s="2"/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0.08</v>
      </c>
      <c r="EX98" s="2">
        <v>0.06</v>
      </c>
      <c r="EY98" s="2">
        <v>0</v>
      </c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117</v>
      </c>
      <c r="FY98" s="2">
        <v>74</v>
      </c>
      <c r="FZ98" s="2"/>
      <c r="GA98" s="2" t="s">
        <v>3</v>
      </c>
      <c r="GB98" s="2"/>
      <c r="GC98" s="2"/>
      <c r="GD98" s="2">
        <v>1</v>
      </c>
      <c r="GE98" s="2"/>
      <c r="GF98" s="2">
        <v>-2077178056</v>
      </c>
      <c r="GG98" s="2">
        <v>2</v>
      </c>
      <c r="GH98" s="2">
        <v>1</v>
      </c>
      <c r="GI98" s="2">
        <v>-2</v>
      </c>
      <c r="GJ98" s="2">
        <v>0</v>
      </c>
      <c r="GK98" s="2">
        <v>0</v>
      </c>
      <c r="GL98" s="2">
        <f t="shared" si="59"/>
        <v>0</v>
      </c>
      <c r="GM98" s="2">
        <f t="shared" si="60"/>
        <v>4.4000000000000004</v>
      </c>
      <c r="GN98" s="2">
        <f t="shared" si="61"/>
        <v>4.4000000000000004</v>
      </c>
      <c r="GO98" s="2">
        <f t="shared" si="62"/>
        <v>0</v>
      </c>
      <c r="GP98" s="2">
        <f t="shared" si="63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64"/>
        <v>0</v>
      </c>
      <c r="GW98" s="2">
        <v>1</v>
      </c>
      <c r="GX98" s="2">
        <f t="shared" si="65"/>
        <v>0</v>
      </c>
      <c r="GY98" s="2"/>
      <c r="GZ98" s="2"/>
      <c r="HA98" s="2">
        <v>0</v>
      </c>
      <c r="HB98" s="2">
        <v>0</v>
      </c>
      <c r="HC98" s="2">
        <f t="shared" si="72"/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43</v>
      </c>
      <c r="HO98" s="2" t="s">
        <v>44</v>
      </c>
      <c r="HP98" s="2" t="s">
        <v>41</v>
      </c>
      <c r="HQ98" s="2" t="s">
        <v>41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>
        <f>ROW(SmtRes!A107)</f>
        <v>107</v>
      </c>
      <c r="D99" s="2">
        <f>ROW(EtalonRes!A119)</f>
        <v>119</v>
      </c>
      <c r="E99" s="2" t="s">
        <v>257</v>
      </c>
      <c r="F99" s="2" t="s">
        <v>258</v>
      </c>
      <c r="G99" s="2" t="s">
        <v>259</v>
      </c>
      <c r="H99" s="2" t="s">
        <v>260</v>
      </c>
      <c r="I99" s="2">
        <v>0.104</v>
      </c>
      <c r="J99" s="2">
        <v>0</v>
      </c>
      <c r="K99" s="2">
        <v>0.104</v>
      </c>
      <c r="L99" s="2"/>
      <c r="M99" s="2"/>
      <c r="N99" s="2"/>
      <c r="O99" s="2">
        <f t="shared" si="70"/>
        <v>1785.68</v>
      </c>
      <c r="P99" s="2">
        <f>SUMIF(SmtRes!AQ102:'SmtRes'!AQ107,"=1",SmtRes!DF102:'SmtRes'!DF107)</f>
        <v>0.45</v>
      </c>
      <c r="Q99" s="2">
        <f>SUMIF(SmtRes!AQ102:'SmtRes'!AQ107,"=1",SmtRes!DG102:'SmtRes'!DG107)</f>
        <v>4.5</v>
      </c>
      <c r="R99" s="2">
        <f>SUMIF(SmtRes!AQ102:'SmtRes'!AQ107,"=1",SmtRes!DH102:'SmtRes'!DH107)</f>
        <v>0.42</v>
      </c>
      <c r="S99" s="2">
        <f>SUMIF(SmtRes!AQ102:'SmtRes'!AQ107,"=1",SmtRes!DI102:'SmtRes'!DI107)</f>
        <v>1780.31</v>
      </c>
      <c r="T99" s="2">
        <f t="shared" si="49"/>
        <v>0</v>
      </c>
      <c r="U99" s="2">
        <f>SUMIF(SmtRes!AQ102:'SmtRes'!AQ107,"=1",SmtRes!CV102:'SmtRes'!CV107)</f>
        <v>4.1391999999999998</v>
      </c>
      <c r="V99" s="2">
        <f>SUMIF(SmtRes!AQ102:'SmtRes'!AQ107,"=1",SmtRes!CW102:'SmtRes'!CW107)</f>
        <v>1.0399999999999999E-3</v>
      </c>
      <c r="W99" s="2">
        <f t="shared" si="50"/>
        <v>0</v>
      </c>
      <c r="X99" s="2">
        <f t="shared" si="51"/>
        <v>2083.4499999999998</v>
      </c>
      <c r="Y99" s="2">
        <f t="shared" si="52"/>
        <v>1317.74</v>
      </c>
      <c r="Z99" s="2"/>
      <c r="AA99" s="2">
        <v>74014550</v>
      </c>
      <c r="AB99" s="2">
        <f t="shared" si="53"/>
        <v>17147.542000000001</v>
      </c>
      <c r="AC99" s="2">
        <f>ROUND((SUM(SmtRes!BQ102:'SmtRes'!BQ107)),6)</f>
        <v>4.7134999999999998</v>
      </c>
      <c r="AD99" s="2">
        <f>ROUND((((SUM(SmtRes!BR102:'SmtRes'!BR107))-(SUM(SmtRes!BS102:'SmtRes'!BS107)))+AE99),6)</f>
        <v>24.450500000000002</v>
      </c>
      <c r="AE99" s="2">
        <f>ROUND((SUM(SmtRes!BS102:'SmtRes'!BS107)),6)</f>
        <v>4.0023999999999997</v>
      </c>
      <c r="AF99" s="2">
        <f>ROUND((SUM(SmtRes!BT102:'SmtRes'!BT107)),6)</f>
        <v>17118.378000000001</v>
      </c>
      <c r="AG99" s="2">
        <f t="shared" si="54"/>
        <v>0</v>
      </c>
      <c r="AH99" s="2">
        <f>(SUM(SmtRes!BU102:'SmtRes'!BU107))</f>
        <v>39.799999999999997</v>
      </c>
      <c r="AI99" s="2">
        <f>(SUM(SmtRes!BV102:'SmtRes'!BV107))</f>
        <v>0.01</v>
      </c>
      <c r="AJ99" s="2">
        <f t="shared" si="55"/>
        <v>0</v>
      </c>
      <c r="AK99" s="2">
        <v>17151.544399999999</v>
      </c>
      <c r="AL99" s="2">
        <v>4.7134999999999998</v>
      </c>
      <c r="AM99" s="2">
        <v>24.450500000000002</v>
      </c>
      <c r="AN99" s="2">
        <v>4.0023999999999997</v>
      </c>
      <c r="AO99" s="2">
        <v>17118.377999999997</v>
      </c>
      <c r="AP99" s="2">
        <v>0</v>
      </c>
      <c r="AQ99" s="2">
        <v>39.799999999999997</v>
      </c>
      <c r="AR99" s="2">
        <v>0.01</v>
      </c>
      <c r="AS99" s="2">
        <v>0</v>
      </c>
      <c r="AT99" s="2">
        <v>117</v>
      </c>
      <c r="AU99" s="2">
        <v>74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0</v>
      </c>
      <c r="BI99" s="2">
        <v>1</v>
      </c>
      <c r="BJ99" s="2" t="s">
        <v>261</v>
      </c>
      <c r="BK99" s="2"/>
      <c r="BL99" s="2"/>
      <c r="BM99" s="2">
        <v>24001</v>
      </c>
      <c r="BN99" s="2">
        <v>0</v>
      </c>
      <c r="BO99" s="2" t="s">
        <v>3</v>
      </c>
      <c r="BP99" s="2">
        <v>0</v>
      </c>
      <c r="BQ99" s="2">
        <v>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117</v>
      </c>
      <c r="CA99" s="2">
        <v>74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 t="shared" si="71"/>
        <v>1785.68</v>
      </c>
      <c r="CQ99" s="2">
        <f>SUMIF(SmtRes!AQ102:'SmtRes'!AQ107,"=1",SmtRes!AA102:'SmtRes'!AA107)</f>
        <v>145.67000000000002</v>
      </c>
      <c r="CR99" s="2">
        <f>SUMIF(SmtRes!AQ102:'SmtRes'!AQ107,"=1",SmtRes!AB102:'SmtRes'!AB107)</f>
        <v>4327.74</v>
      </c>
      <c r="CS99" s="2">
        <f>SUMIF(SmtRes!AQ102:'SmtRes'!AQ107,"=1",SmtRes!AC102:'SmtRes'!AC107)</f>
        <v>400.24</v>
      </c>
      <c r="CT99" s="2">
        <f>SUMIF(SmtRes!AQ102:'SmtRes'!AQ107,"=1",SmtRes!AD102:'SmtRes'!AD107)</f>
        <v>860.22</v>
      </c>
      <c r="CU99" s="2">
        <f t="shared" si="73"/>
        <v>0</v>
      </c>
      <c r="CV99" s="2">
        <f>SUMIF(SmtRes!AQ102:'SmtRes'!AQ107,"=1",SmtRes!BU102:'SmtRes'!BU107)</f>
        <v>39.799999999999997</v>
      </c>
      <c r="CW99" s="2">
        <f>SUMIF(SmtRes!AQ102:'SmtRes'!AQ107,"=1",SmtRes!BV102:'SmtRes'!BV107)</f>
        <v>0.01</v>
      </c>
      <c r="CX99" s="2">
        <f t="shared" si="74"/>
        <v>0</v>
      </c>
      <c r="CY99" s="2">
        <f t="shared" si="75"/>
        <v>2083.4540999999999</v>
      </c>
      <c r="CZ99" s="2">
        <f t="shared" si="76"/>
        <v>1317.7402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1003</v>
      </c>
      <c r="DV99" s="2" t="s">
        <v>260</v>
      </c>
      <c r="DW99" s="2" t="s">
        <v>260</v>
      </c>
      <c r="DX99" s="2">
        <v>1000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72340632</v>
      </c>
      <c r="EF99" s="2">
        <v>2</v>
      </c>
      <c r="EG99" s="2" t="s">
        <v>23</v>
      </c>
      <c r="EH99" s="2">
        <v>18</v>
      </c>
      <c r="EI99" s="2" t="s">
        <v>41</v>
      </c>
      <c r="EJ99" s="2">
        <v>1</v>
      </c>
      <c r="EK99" s="2">
        <v>24001</v>
      </c>
      <c r="EL99" s="2" t="s">
        <v>41</v>
      </c>
      <c r="EM99" s="2" t="s">
        <v>121</v>
      </c>
      <c r="EN99" s="2"/>
      <c r="EO99" s="2" t="s">
        <v>3</v>
      </c>
      <c r="EP99" s="2"/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39.799999999999997</v>
      </c>
      <c r="EX99" s="2">
        <v>0.01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117</v>
      </c>
      <c r="FY99" s="2">
        <v>74</v>
      </c>
      <c r="FZ99" s="2"/>
      <c r="GA99" s="2" t="s">
        <v>3</v>
      </c>
      <c r="GB99" s="2"/>
      <c r="GC99" s="2"/>
      <c r="GD99" s="2">
        <v>1</v>
      </c>
      <c r="GE99" s="2"/>
      <c r="GF99" s="2">
        <v>-714333159</v>
      </c>
      <c r="GG99" s="2">
        <v>2</v>
      </c>
      <c r="GH99" s="2">
        <v>1</v>
      </c>
      <c r="GI99" s="2">
        <v>-2</v>
      </c>
      <c r="GJ99" s="2">
        <v>0</v>
      </c>
      <c r="GK99" s="2">
        <v>0</v>
      </c>
      <c r="GL99" s="2">
        <f t="shared" si="59"/>
        <v>0</v>
      </c>
      <c r="GM99" s="2">
        <f t="shared" si="60"/>
        <v>5186.87</v>
      </c>
      <c r="GN99" s="2">
        <f t="shared" si="61"/>
        <v>5186.87</v>
      </c>
      <c r="GO99" s="2">
        <f t="shared" si="62"/>
        <v>0</v>
      </c>
      <c r="GP99" s="2">
        <f t="shared" si="63"/>
        <v>0</v>
      </c>
      <c r="GQ99" s="2"/>
      <c r="GR99" s="2">
        <v>0</v>
      </c>
      <c r="GS99" s="2">
        <v>3</v>
      </c>
      <c r="GT99" s="2">
        <v>0</v>
      </c>
      <c r="GU99" s="2" t="s">
        <v>3</v>
      </c>
      <c r="GV99" s="2">
        <f t="shared" si="64"/>
        <v>0</v>
      </c>
      <c r="GW99" s="2">
        <v>1</v>
      </c>
      <c r="GX99" s="2">
        <f t="shared" si="65"/>
        <v>0</v>
      </c>
      <c r="GY99" s="2"/>
      <c r="GZ99" s="2"/>
      <c r="HA99" s="2">
        <v>0</v>
      </c>
      <c r="HB99" s="2">
        <v>0</v>
      </c>
      <c r="HC99" s="2">
        <f t="shared" si="72"/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43</v>
      </c>
      <c r="HO99" s="2" t="s">
        <v>44</v>
      </c>
      <c r="HP99" s="2" t="s">
        <v>41</v>
      </c>
      <c r="HQ99" s="2" t="s">
        <v>41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ROW(SmtRes!A111)</f>
        <v>111</v>
      </c>
      <c r="D100" s="2">
        <f>ROW(EtalonRes!A123)</f>
        <v>123</v>
      </c>
      <c r="E100" s="2" t="s">
        <v>262</v>
      </c>
      <c r="F100" s="2" t="s">
        <v>263</v>
      </c>
      <c r="G100" s="2" t="s">
        <v>264</v>
      </c>
      <c r="H100" s="2" t="s">
        <v>265</v>
      </c>
      <c r="I100" s="2">
        <v>1</v>
      </c>
      <c r="J100" s="2">
        <v>0</v>
      </c>
      <c r="K100" s="2">
        <v>1</v>
      </c>
      <c r="L100" s="2"/>
      <c r="M100" s="2"/>
      <c r="N100" s="2"/>
      <c r="O100" s="2">
        <f t="shared" si="70"/>
        <v>17298.45</v>
      </c>
      <c r="P100" s="2">
        <f>SUMIF(SmtRes!AQ108:'SmtRes'!AQ111,"=1",SmtRes!DF108:'SmtRes'!DF111)</f>
        <v>0</v>
      </c>
      <c r="Q100" s="2">
        <f>SUMIF(SmtRes!AQ108:'SmtRes'!AQ111,"=1",SmtRes!DG108:'SmtRes'!DG111)</f>
        <v>7388.02</v>
      </c>
      <c r="R100" s="2">
        <f>SUMIF(SmtRes!AQ108:'SmtRes'!AQ111,"=1",SmtRes!DH108:'SmtRes'!DH111)</f>
        <v>4307.07</v>
      </c>
      <c r="S100" s="2">
        <f>SUMIF(SmtRes!AQ108:'SmtRes'!AQ111,"=1",SmtRes!DI108:'SmtRes'!DI111)</f>
        <v>5603.36</v>
      </c>
      <c r="T100" s="2">
        <f t="shared" si="49"/>
        <v>0</v>
      </c>
      <c r="U100" s="2">
        <f>SUMIF(SmtRes!AQ108:'SmtRes'!AQ111,"=1",SmtRes!CV108:'SmtRes'!CV111)</f>
        <v>14</v>
      </c>
      <c r="V100" s="2">
        <f>SUMIF(SmtRes!AQ108:'SmtRes'!AQ111,"=1",SmtRes!CW108:'SmtRes'!CW111)</f>
        <v>9.8000000000000007</v>
      </c>
      <c r="W100" s="2">
        <f t="shared" si="50"/>
        <v>0</v>
      </c>
      <c r="X100" s="2">
        <f t="shared" si="51"/>
        <v>11595.2</v>
      </c>
      <c r="Y100" s="2">
        <f t="shared" si="52"/>
        <v>7333.72</v>
      </c>
      <c r="Z100" s="2"/>
      <c r="AA100" s="2">
        <v>74014550</v>
      </c>
      <c r="AB100" s="2">
        <f t="shared" si="53"/>
        <v>11521.972</v>
      </c>
      <c r="AC100" s="2">
        <f>ROUND((0),6)</f>
        <v>0</v>
      </c>
      <c r="AD100" s="2">
        <f>ROUND((((SUM(SmtRes!BR108:'SmtRes'!BR111))-(SUM(SmtRes!BS108:'SmtRes'!BS111)))+AE100),6)</f>
        <v>5918.6120000000001</v>
      </c>
      <c r="AE100" s="2">
        <f>ROUND((SUM(SmtRes!BS108:'SmtRes'!BS111)),6)</f>
        <v>4307.0720000000001</v>
      </c>
      <c r="AF100" s="2">
        <f>ROUND((SUM(SmtRes!BT108:'SmtRes'!BT111)),6)</f>
        <v>5603.36</v>
      </c>
      <c r="AG100" s="2">
        <f t="shared" si="54"/>
        <v>0</v>
      </c>
      <c r="AH100" s="2">
        <f>(SUM(SmtRes!BU108:'SmtRes'!BU111))</f>
        <v>14</v>
      </c>
      <c r="AI100" s="2">
        <f>(SUM(SmtRes!BV108:'SmtRes'!BV111))</f>
        <v>9.8000000000000007</v>
      </c>
      <c r="AJ100" s="2">
        <f t="shared" si="55"/>
        <v>0</v>
      </c>
      <c r="AK100" s="2">
        <v>15829.044000000002</v>
      </c>
      <c r="AL100" s="2">
        <v>0</v>
      </c>
      <c r="AM100" s="2">
        <v>5918.6120000000001</v>
      </c>
      <c r="AN100" s="2">
        <v>4307.0720000000001</v>
      </c>
      <c r="AO100" s="2">
        <v>5603.3600000000006</v>
      </c>
      <c r="AP100" s="2">
        <v>0</v>
      </c>
      <c r="AQ100" s="2">
        <v>14</v>
      </c>
      <c r="AR100" s="2">
        <v>9.8000000000000007</v>
      </c>
      <c r="AS100" s="2">
        <v>0</v>
      </c>
      <c r="AT100" s="2">
        <v>117</v>
      </c>
      <c r="AU100" s="2">
        <v>74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266</v>
      </c>
      <c r="BK100" s="2"/>
      <c r="BL100" s="2"/>
      <c r="BM100" s="2">
        <v>24001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117</v>
      </c>
      <c r="CA100" s="2">
        <v>74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71"/>
        <v>17298.45</v>
      </c>
      <c r="CQ100" s="2">
        <f>SUMIF(SmtRes!AQ108:'SmtRes'!AQ111,"=1",SmtRes!AA108:'SmtRes'!AA111)</f>
        <v>0</v>
      </c>
      <c r="CR100" s="2">
        <f>SUMIF(SmtRes!AQ108:'SmtRes'!AQ111,"=1",SmtRes!AB108:'SmtRes'!AB111)</f>
        <v>2012.9</v>
      </c>
      <c r="CS100" s="2">
        <f>SUMIF(SmtRes!AQ108:'SmtRes'!AQ111,"=1",SmtRes!AC108:'SmtRes'!AC111)</f>
        <v>937.88</v>
      </c>
      <c r="CT100" s="2">
        <f>SUMIF(SmtRes!AQ108:'SmtRes'!AQ111,"=1",SmtRes!AD108:'SmtRes'!AD111)</f>
        <v>400.24</v>
      </c>
      <c r="CU100" s="2">
        <f t="shared" si="73"/>
        <v>0</v>
      </c>
      <c r="CV100" s="2">
        <f>SUMIF(SmtRes!AQ108:'SmtRes'!AQ111,"=1",SmtRes!BU108:'SmtRes'!BU111)</f>
        <v>14</v>
      </c>
      <c r="CW100" s="2">
        <f>SUMIF(SmtRes!AQ108:'SmtRes'!AQ111,"=1",SmtRes!BV108:'SmtRes'!BV111)</f>
        <v>9.8000000000000007</v>
      </c>
      <c r="CX100" s="2">
        <f t="shared" si="74"/>
        <v>0</v>
      </c>
      <c r="CY100" s="2">
        <f t="shared" si="75"/>
        <v>11595.203100000001</v>
      </c>
      <c r="CZ100" s="2">
        <f t="shared" si="76"/>
        <v>7333.7182000000003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1013</v>
      </c>
      <c r="DV100" s="2" t="s">
        <v>265</v>
      </c>
      <c r="DW100" s="2" t="s">
        <v>265</v>
      </c>
      <c r="DX100" s="2">
        <v>1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72340632</v>
      </c>
      <c r="EF100" s="2">
        <v>2</v>
      </c>
      <c r="EG100" s="2" t="s">
        <v>23</v>
      </c>
      <c r="EH100" s="2">
        <v>18</v>
      </c>
      <c r="EI100" s="2" t="s">
        <v>41</v>
      </c>
      <c r="EJ100" s="2">
        <v>1</v>
      </c>
      <c r="EK100" s="2">
        <v>24001</v>
      </c>
      <c r="EL100" s="2" t="s">
        <v>41</v>
      </c>
      <c r="EM100" s="2" t="s">
        <v>121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14</v>
      </c>
      <c r="EX100" s="2">
        <v>9.8000000000000007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117</v>
      </c>
      <c r="FY100" s="2">
        <v>74</v>
      </c>
      <c r="FZ100" s="2"/>
      <c r="GA100" s="2" t="s">
        <v>3</v>
      </c>
      <c r="GB100" s="2"/>
      <c r="GC100" s="2"/>
      <c r="GD100" s="2">
        <v>1</v>
      </c>
      <c r="GE100" s="2"/>
      <c r="GF100" s="2">
        <v>-884602627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59"/>
        <v>0</v>
      </c>
      <c r="GM100" s="2">
        <f t="shared" si="60"/>
        <v>36227.370000000003</v>
      </c>
      <c r="GN100" s="2">
        <f t="shared" si="61"/>
        <v>36227.370000000003</v>
      </c>
      <c r="GO100" s="2">
        <f t="shared" si="62"/>
        <v>0</v>
      </c>
      <c r="GP100" s="2">
        <f t="shared" si="63"/>
        <v>0</v>
      </c>
      <c r="GQ100" s="2"/>
      <c r="GR100" s="2">
        <v>0</v>
      </c>
      <c r="GS100" s="2">
        <v>0</v>
      </c>
      <c r="GT100" s="2">
        <v>0</v>
      </c>
      <c r="GU100" s="2" t="s">
        <v>3</v>
      </c>
      <c r="GV100" s="2">
        <f t="shared" si="64"/>
        <v>0</v>
      </c>
      <c r="GW100" s="2">
        <v>1</v>
      </c>
      <c r="GX100" s="2">
        <f t="shared" si="65"/>
        <v>0</v>
      </c>
      <c r="GY100" s="2"/>
      <c r="GZ100" s="2"/>
      <c r="HA100" s="2">
        <v>0</v>
      </c>
      <c r="HB100" s="2">
        <v>0</v>
      </c>
      <c r="HC100" s="2">
        <f t="shared" si="72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43</v>
      </c>
      <c r="HO100" s="2" t="s">
        <v>44</v>
      </c>
      <c r="HP100" s="2" t="s">
        <v>41</v>
      </c>
      <c r="HQ100" s="2" t="s">
        <v>41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2" spans="1:255" x14ac:dyDescent="0.2">
      <c r="A102" s="3">
        <v>51</v>
      </c>
      <c r="B102" s="3">
        <f>B65</f>
        <v>1</v>
      </c>
      <c r="C102" s="3">
        <f>A65</f>
        <v>4</v>
      </c>
      <c r="D102" s="3">
        <f>ROW(A65)</f>
        <v>65</v>
      </c>
      <c r="E102" s="3"/>
      <c r="F102" s="3" t="str">
        <f>IF(F65&lt;&gt;"",F65,"")</f>
        <v>Новый раздел</v>
      </c>
      <c r="G102" s="3" t="str">
        <f>IF(G65&lt;&gt;"",G65,"")</f>
        <v>Укладка  трубы</v>
      </c>
      <c r="H102" s="3">
        <v>0</v>
      </c>
      <c r="I102" s="3"/>
      <c r="J102" s="3"/>
      <c r="K102" s="3"/>
      <c r="L102" s="3"/>
      <c r="M102" s="3"/>
      <c r="N102" s="3"/>
      <c r="O102" s="3">
        <f t="shared" ref="O102:T102" si="77">ROUND(AB102,2)</f>
        <v>85339.24</v>
      </c>
      <c r="P102" s="3">
        <f t="shared" si="77"/>
        <v>51670.62</v>
      </c>
      <c r="Q102" s="3">
        <f t="shared" si="77"/>
        <v>10296.780000000001</v>
      </c>
      <c r="R102" s="3">
        <f t="shared" si="77"/>
        <v>5206.43</v>
      </c>
      <c r="S102" s="3">
        <f t="shared" si="77"/>
        <v>18165.41</v>
      </c>
      <c r="T102" s="3">
        <f t="shared" si="77"/>
        <v>0</v>
      </c>
      <c r="U102" s="3">
        <f>AH102</f>
        <v>44.699700000000007</v>
      </c>
      <c r="V102" s="3">
        <f>AI102</f>
        <v>11.789585200000001</v>
      </c>
      <c r="W102" s="3">
        <f>ROUND(AJ102,2)</f>
        <v>0</v>
      </c>
      <c r="X102" s="3">
        <f>ROUND(AK102,2)</f>
        <v>27170.62</v>
      </c>
      <c r="Y102" s="3">
        <f>ROUND(AL102,2)</f>
        <v>16769.490000000002</v>
      </c>
      <c r="Z102" s="3"/>
      <c r="AA102" s="3"/>
      <c r="AB102" s="3">
        <f>ROUND(SUMIF(AA69:AA100,"=74014550",O69:O100),2)</f>
        <v>85339.24</v>
      </c>
      <c r="AC102" s="3">
        <f>ROUND(SUMIF(AA69:AA100,"=74014550",P69:P100),2)</f>
        <v>51670.62</v>
      </c>
      <c r="AD102" s="3">
        <f>ROUND(SUMIF(AA69:AA100,"=74014550",Q69:Q100),2)</f>
        <v>10296.780000000001</v>
      </c>
      <c r="AE102" s="3">
        <f>ROUND(SUMIF(AA69:AA100,"=74014550",R69:R100),2)</f>
        <v>5206.43</v>
      </c>
      <c r="AF102" s="3">
        <f>ROUND(SUMIF(AA69:AA100,"=74014550",S69:S100),2)</f>
        <v>18165.41</v>
      </c>
      <c r="AG102" s="3">
        <f>ROUND(SUMIF(AA69:AA100,"=74014550",T69:T100),2)</f>
        <v>0</v>
      </c>
      <c r="AH102" s="3">
        <f>SUMIF(AA69:AA100,"=74014550",U69:U100)</f>
        <v>44.699700000000007</v>
      </c>
      <c r="AI102" s="3">
        <f>SUMIF(AA69:AA100,"=74014550",V69:V100)</f>
        <v>11.789585200000001</v>
      </c>
      <c r="AJ102" s="3">
        <f>ROUND(SUMIF(AA69:AA100,"=74014550",W69:W100),2)</f>
        <v>0</v>
      </c>
      <c r="AK102" s="3">
        <f>ROUND(SUMIF(AA69:AA100,"=74014550",X69:X100),2)</f>
        <v>27170.62</v>
      </c>
      <c r="AL102" s="3">
        <f>ROUND(SUMIF(AA69:AA100,"=74014550",Y69:Y100),2)</f>
        <v>16769.490000000002</v>
      </c>
      <c r="AM102" s="3"/>
      <c r="AN102" s="3"/>
      <c r="AO102" s="3">
        <f t="shared" ref="AO102:BD102" si="78">ROUND(BX102,2)</f>
        <v>0</v>
      </c>
      <c r="AP102" s="3">
        <f t="shared" si="78"/>
        <v>0</v>
      </c>
      <c r="AQ102" s="3">
        <f t="shared" si="78"/>
        <v>0</v>
      </c>
      <c r="AR102" s="3">
        <f t="shared" si="78"/>
        <v>129279.35</v>
      </c>
      <c r="AS102" s="3">
        <f t="shared" si="78"/>
        <v>116155.05</v>
      </c>
      <c r="AT102" s="3">
        <f t="shared" si="78"/>
        <v>13124.3</v>
      </c>
      <c r="AU102" s="3">
        <f t="shared" si="78"/>
        <v>0</v>
      </c>
      <c r="AV102" s="3">
        <f t="shared" si="78"/>
        <v>51670.62</v>
      </c>
      <c r="AW102" s="3">
        <f t="shared" si="78"/>
        <v>51670.62</v>
      </c>
      <c r="AX102" s="3">
        <f t="shared" si="78"/>
        <v>0</v>
      </c>
      <c r="AY102" s="3">
        <f t="shared" si="78"/>
        <v>51670.62</v>
      </c>
      <c r="AZ102" s="3">
        <f t="shared" si="78"/>
        <v>0</v>
      </c>
      <c r="BA102" s="3">
        <f t="shared" si="78"/>
        <v>0</v>
      </c>
      <c r="BB102" s="3">
        <f t="shared" si="78"/>
        <v>0</v>
      </c>
      <c r="BC102" s="3">
        <f t="shared" si="78"/>
        <v>0</v>
      </c>
      <c r="BD102" s="3">
        <f t="shared" si="78"/>
        <v>0</v>
      </c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>
        <f>ROUND(SUMIF(AA69:AA100,"=74014550",FQ69:FQ100),2)</f>
        <v>0</v>
      </c>
      <c r="BY102" s="3">
        <f>ROUND(SUMIF(AA69:AA100,"=74014550",FR69:FR100),2)</f>
        <v>0</v>
      </c>
      <c r="BZ102" s="3">
        <f>ROUND(SUMIF(AA69:AA100,"=74014550",GL69:GL100),2)</f>
        <v>0</v>
      </c>
      <c r="CA102" s="3">
        <f>ROUND(SUMIF(AA69:AA100,"=74014550",GM69:GM100),2)</f>
        <v>129279.35</v>
      </c>
      <c r="CB102" s="3">
        <f>ROUND(SUMIF(AA69:AA100,"=74014550",GN69:GN100),2)</f>
        <v>116155.05</v>
      </c>
      <c r="CC102" s="3">
        <f>ROUND(SUMIF(AA69:AA100,"=74014550",GO69:GO100),2)</f>
        <v>13124.3</v>
      </c>
      <c r="CD102" s="3">
        <f>ROUND(SUMIF(AA69:AA100,"=74014550",GP69:GP100),2)</f>
        <v>0</v>
      </c>
      <c r="CE102" s="3">
        <f>AC102-BX102</f>
        <v>51670.62</v>
      </c>
      <c r="CF102" s="3">
        <f>AC102-BY102</f>
        <v>51670.62</v>
      </c>
      <c r="CG102" s="3">
        <f>BX102-BZ102</f>
        <v>0</v>
      </c>
      <c r="CH102" s="3">
        <f>AC102-BX102-BY102+BZ102</f>
        <v>51670.62</v>
      </c>
      <c r="CI102" s="3">
        <f>BY102-BZ102</f>
        <v>0</v>
      </c>
      <c r="CJ102" s="3">
        <f>ROUND(SUMIF(AA69:AA100,"=74014550",GX69:GX100),2)</f>
        <v>0</v>
      </c>
      <c r="CK102" s="3">
        <f>ROUND(SUMIF(AA69:AA100,"=74014550",GY69:GY100),2)</f>
        <v>0</v>
      </c>
      <c r="CL102" s="3">
        <f>ROUND(SUMIF(AA69:AA100,"=74014550",GZ69:GZ100),2)</f>
        <v>0</v>
      </c>
      <c r="CM102" s="3">
        <f>ROUND(SUMIF(AA69:AA100,"=74014550",HD69:HD100),2)</f>
        <v>0</v>
      </c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>
        <v>0</v>
      </c>
    </row>
    <row r="104" spans="1:255" x14ac:dyDescent="0.2">
      <c r="A104" s="5">
        <v>50</v>
      </c>
      <c r="B104" s="5">
        <v>0</v>
      </c>
      <c r="C104" s="5">
        <v>0</v>
      </c>
      <c r="D104" s="5">
        <v>1</v>
      </c>
      <c r="E104" s="5">
        <v>201</v>
      </c>
      <c r="F104" s="5">
        <f>ROUND(Source!O102,O104)</f>
        <v>85339.24</v>
      </c>
      <c r="G104" s="5" t="s">
        <v>61</v>
      </c>
      <c r="H104" s="5" t="s">
        <v>62</v>
      </c>
      <c r="I104" s="5"/>
      <c r="J104" s="5"/>
      <c r="K104" s="5">
        <v>201</v>
      </c>
      <c r="L104" s="5">
        <v>1</v>
      </c>
      <c r="M104" s="5">
        <v>3</v>
      </c>
      <c r="N104" s="5" t="s">
        <v>3</v>
      </c>
      <c r="O104" s="5">
        <v>2</v>
      </c>
      <c r="P104" s="5"/>
      <c r="Q104" s="5"/>
      <c r="R104" s="5"/>
      <c r="S104" s="5"/>
      <c r="T104" s="5"/>
      <c r="U104" s="5"/>
      <c r="V104" s="5"/>
      <c r="W104" s="5">
        <v>85339.239999999991</v>
      </c>
      <c r="X104" s="5">
        <v>1</v>
      </c>
      <c r="Y104" s="5">
        <v>85339.239999999991</v>
      </c>
      <c r="Z104" s="5"/>
      <c r="AA104" s="5"/>
      <c r="AB104" s="5"/>
    </row>
    <row r="105" spans="1:255" x14ac:dyDescent="0.2">
      <c r="A105" s="5">
        <v>50</v>
      </c>
      <c r="B105" s="5">
        <v>0</v>
      </c>
      <c r="C105" s="5">
        <v>0</v>
      </c>
      <c r="D105" s="5">
        <v>1</v>
      </c>
      <c r="E105" s="5">
        <v>202</v>
      </c>
      <c r="F105" s="5">
        <f>ROUND(Source!P102,O105)</f>
        <v>51670.62</v>
      </c>
      <c r="G105" s="5" t="s">
        <v>63</v>
      </c>
      <c r="H105" s="5" t="s">
        <v>64</v>
      </c>
      <c r="I105" s="5"/>
      <c r="J105" s="5"/>
      <c r="K105" s="5">
        <v>202</v>
      </c>
      <c r="L105" s="5">
        <v>2</v>
      </c>
      <c r="M105" s="5">
        <v>3</v>
      </c>
      <c r="N105" s="5" t="s">
        <v>3</v>
      </c>
      <c r="O105" s="5">
        <v>2</v>
      </c>
      <c r="P105" s="5"/>
      <c r="Q105" s="5"/>
      <c r="R105" s="5"/>
      <c r="S105" s="5"/>
      <c r="T105" s="5"/>
      <c r="U105" s="5"/>
      <c r="V105" s="5"/>
      <c r="W105" s="5">
        <v>51670.62</v>
      </c>
      <c r="X105" s="5">
        <v>1</v>
      </c>
      <c r="Y105" s="5">
        <v>51670.62</v>
      </c>
      <c r="Z105" s="5"/>
      <c r="AA105" s="5"/>
      <c r="AB105" s="5"/>
    </row>
    <row r="106" spans="1:255" x14ac:dyDescent="0.2">
      <c r="A106" s="5">
        <v>50</v>
      </c>
      <c r="B106" s="5">
        <v>0</v>
      </c>
      <c r="C106" s="5">
        <v>0</v>
      </c>
      <c r="D106" s="5">
        <v>1</v>
      </c>
      <c r="E106" s="5">
        <v>222</v>
      </c>
      <c r="F106" s="5">
        <f>ROUND(Source!AO102,O106)</f>
        <v>0</v>
      </c>
      <c r="G106" s="5" t="s">
        <v>65</v>
      </c>
      <c r="H106" s="5" t="s">
        <v>66</v>
      </c>
      <c r="I106" s="5"/>
      <c r="J106" s="5"/>
      <c r="K106" s="5">
        <v>222</v>
      </c>
      <c r="L106" s="5">
        <v>3</v>
      </c>
      <c r="M106" s="5">
        <v>3</v>
      </c>
      <c r="N106" s="5" t="s">
        <v>3</v>
      </c>
      <c r="O106" s="5">
        <v>2</v>
      </c>
      <c r="P106" s="5"/>
      <c r="Q106" s="5"/>
      <c r="R106" s="5"/>
      <c r="S106" s="5"/>
      <c r="T106" s="5"/>
      <c r="U106" s="5"/>
      <c r="V106" s="5"/>
      <c r="W106" s="5">
        <v>0</v>
      </c>
      <c r="X106" s="5">
        <v>1</v>
      </c>
      <c r="Y106" s="5">
        <v>0</v>
      </c>
      <c r="Z106" s="5"/>
      <c r="AA106" s="5"/>
      <c r="AB106" s="5"/>
    </row>
    <row r="107" spans="1:255" x14ac:dyDescent="0.2">
      <c r="A107" s="5">
        <v>50</v>
      </c>
      <c r="B107" s="5">
        <v>0</v>
      </c>
      <c r="C107" s="5">
        <v>0</v>
      </c>
      <c r="D107" s="5">
        <v>1</v>
      </c>
      <c r="E107" s="5">
        <v>225</v>
      </c>
      <c r="F107" s="5">
        <f>ROUND(Source!AV102,O107)</f>
        <v>51670.62</v>
      </c>
      <c r="G107" s="5" t="s">
        <v>67</v>
      </c>
      <c r="H107" s="5" t="s">
        <v>68</v>
      </c>
      <c r="I107" s="5"/>
      <c r="J107" s="5"/>
      <c r="K107" s="5">
        <v>225</v>
      </c>
      <c r="L107" s="5">
        <v>4</v>
      </c>
      <c r="M107" s="5">
        <v>3</v>
      </c>
      <c r="N107" s="5" t="s">
        <v>3</v>
      </c>
      <c r="O107" s="5">
        <v>2</v>
      </c>
      <c r="P107" s="5"/>
      <c r="Q107" s="5"/>
      <c r="R107" s="5"/>
      <c r="S107" s="5"/>
      <c r="T107" s="5"/>
      <c r="U107" s="5"/>
      <c r="V107" s="5"/>
      <c r="W107" s="5">
        <v>51670.62</v>
      </c>
      <c r="X107" s="5">
        <v>1</v>
      </c>
      <c r="Y107" s="5">
        <v>51670.62</v>
      </c>
      <c r="Z107" s="5"/>
      <c r="AA107" s="5"/>
      <c r="AB107" s="5"/>
    </row>
    <row r="108" spans="1:255" x14ac:dyDescent="0.2">
      <c r="A108" s="5">
        <v>50</v>
      </c>
      <c r="B108" s="5">
        <v>0</v>
      </c>
      <c r="C108" s="5">
        <v>0</v>
      </c>
      <c r="D108" s="5">
        <v>1</v>
      </c>
      <c r="E108" s="5">
        <v>226</v>
      </c>
      <c r="F108" s="5">
        <f>ROUND(Source!AW102,O108)</f>
        <v>51670.62</v>
      </c>
      <c r="G108" s="5" t="s">
        <v>69</v>
      </c>
      <c r="H108" s="5" t="s">
        <v>70</v>
      </c>
      <c r="I108" s="5"/>
      <c r="J108" s="5"/>
      <c r="K108" s="5">
        <v>226</v>
      </c>
      <c r="L108" s="5">
        <v>5</v>
      </c>
      <c r="M108" s="5">
        <v>3</v>
      </c>
      <c r="N108" s="5" t="s">
        <v>3</v>
      </c>
      <c r="O108" s="5">
        <v>2</v>
      </c>
      <c r="P108" s="5"/>
      <c r="Q108" s="5"/>
      <c r="R108" s="5"/>
      <c r="S108" s="5"/>
      <c r="T108" s="5"/>
      <c r="U108" s="5"/>
      <c r="V108" s="5"/>
      <c r="W108" s="5">
        <v>51670.62</v>
      </c>
      <c r="X108" s="5">
        <v>1</v>
      </c>
      <c r="Y108" s="5">
        <v>51670.62</v>
      </c>
      <c r="Z108" s="5"/>
      <c r="AA108" s="5"/>
      <c r="AB108" s="5"/>
    </row>
    <row r="109" spans="1:255" x14ac:dyDescent="0.2">
      <c r="A109" s="5">
        <v>50</v>
      </c>
      <c r="B109" s="5">
        <v>0</v>
      </c>
      <c r="C109" s="5">
        <v>0</v>
      </c>
      <c r="D109" s="5">
        <v>1</v>
      </c>
      <c r="E109" s="5">
        <v>227</v>
      </c>
      <c r="F109" s="5">
        <f>ROUND(Source!AX102,O109)</f>
        <v>0</v>
      </c>
      <c r="G109" s="5" t="s">
        <v>71</v>
      </c>
      <c r="H109" s="5" t="s">
        <v>72</v>
      </c>
      <c r="I109" s="5"/>
      <c r="J109" s="5"/>
      <c r="K109" s="5">
        <v>227</v>
      </c>
      <c r="L109" s="5">
        <v>6</v>
      </c>
      <c r="M109" s="5">
        <v>3</v>
      </c>
      <c r="N109" s="5" t="s">
        <v>3</v>
      </c>
      <c r="O109" s="5">
        <v>2</v>
      </c>
      <c r="P109" s="5"/>
      <c r="Q109" s="5"/>
      <c r="R109" s="5"/>
      <c r="S109" s="5"/>
      <c r="T109" s="5"/>
      <c r="U109" s="5"/>
      <c r="V109" s="5"/>
      <c r="W109" s="5">
        <v>0</v>
      </c>
      <c r="X109" s="5">
        <v>1</v>
      </c>
      <c r="Y109" s="5">
        <v>0</v>
      </c>
      <c r="Z109" s="5"/>
      <c r="AA109" s="5"/>
      <c r="AB109" s="5"/>
    </row>
    <row r="110" spans="1:255" x14ac:dyDescent="0.2">
      <c r="A110" s="5">
        <v>50</v>
      </c>
      <c r="B110" s="5">
        <v>0</v>
      </c>
      <c r="C110" s="5">
        <v>0</v>
      </c>
      <c r="D110" s="5">
        <v>1</v>
      </c>
      <c r="E110" s="5">
        <v>228</v>
      </c>
      <c r="F110" s="5">
        <f>ROUND(Source!AY102,O110)</f>
        <v>51670.62</v>
      </c>
      <c r="G110" s="5" t="s">
        <v>73</v>
      </c>
      <c r="H110" s="5" t="s">
        <v>74</v>
      </c>
      <c r="I110" s="5"/>
      <c r="J110" s="5"/>
      <c r="K110" s="5">
        <v>228</v>
      </c>
      <c r="L110" s="5">
        <v>7</v>
      </c>
      <c r="M110" s="5">
        <v>3</v>
      </c>
      <c r="N110" s="5" t="s">
        <v>3</v>
      </c>
      <c r="O110" s="5">
        <v>2</v>
      </c>
      <c r="P110" s="5"/>
      <c r="Q110" s="5"/>
      <c r="R110" s="5"/>
      <c r="S110" s="5"/>
      <c r="T110" s="5"/>
      <c r="U110" s="5"/>
      <c r="V110" s="5"/>
      <c r="W110" s="5">
        <v>51670.62</v>
      </c>
      <c r="X110" s="5">
        <v>1</v>
      </c>
      <c r="Y110" s="5">
        <v>51670.62</v>
      </c>
      <c r="Z110" s="5"/>
      <c r="AA110" s="5"/>
      <c r="AB110" s="5"/>
    </row>
    <row r="111" spans="1:255" x14ac:dyDescent="0.2">
      <c r="A111" s="5">
        <v>50</v>
      </c>
      <c r="B111" s="5">
        <v>0</v>
      </c>
      <c r="C111" s="5">
        <v>0</v>
      </c>
      <c r="D111" s="5">
        <v>1</v>
      </c>
      <c r="E111" s="5">
        <v>216</v>
      </c>
      <c r="F111" s="5">
        <f>ROUND(Source!AP102,O111)</f>
        <v>0</v>
      </c>
      <c r="G111" s="5" t="s">
        <v>75</v>
      </c>
      <c r="H111" s="5" t="s">
        <v>76</v>
      </c>
      <c r="I111" s="5"/>
      <c r="J111" s="5"/>
      <c r="K111" s="5">
        <v>216</v>
      </c>
      <c r="L111" s="5">
        <v>8</v>
      </c>
      <c r="M111" s="5">
        <v>3</v>
      </c>
      <c r="N111" s="5" t="s">
        <v>3</v>
      </c>
      <c r="O111" s="5">
        <v>2</v>
      </c>
      <c r="P111" s="5"/>
      <c r="Q111" s="5"/>
      <c r="R111" s="5"/>
      <c r="S111" s="5"/>
      <c r="T111" s="5"/>
      <c r="U111" s="5"/>
      <c r="V111" s="5"/>
      <c r="W111" s="5">
        <v>0</v>
      </c>
      <c r="X111" s="5">
        <v>1</v>
      </c>
      <c r="Y111" s="5">
        <v>0</v>
      </c>
      <c r="Z111" s="5"/>
      <c r="AA111" s="5"/>
      <c r="AB111" s="5"/>
    </row>
    <row r="112" spans="1:255" x14ac:dyDescent="0.2">
      <c r="A112" s="5">
        <v>50</v>
      </c>
      <c r="B112" s="5">
        <v>0</v>
      </c>
      <c r="C112" s="5">
        <v>0</v>
      </c>
      <c r="D112" s="5">
        <v>1</v>
      </c>
      <c r="E112" s="5">
        <v>223</v>
      </c>
      <c r="F112" s="5">
        <f>ROUND(Source!AQ102,O112)</f>
        <v>0</v>
      </c>
      <c r="G112" s="5" t="s">
        <v>77</v>
      </c>
      <c r="H112" s="5" t="s">
        <v>78</v>
      </c>
      <c r="I112" s="5"/>
      <c r="J112" s="5"/>
      <c r="K112" s="5">
        <v>223</v>
      </c>
      <c r="L112" s="5">
        <v>9</v>
      </c>
      <c r="M112" s="5">
        <v>3</v>
      </c>
      <c r="N112" s="5" t="s">
        <v>3</v>
      </c>
      <c r="O112" s="5">
        <v>2</v>
      </c>
      <c r="P112" s="5"/>
      <c r="Q112" s="5"/>
      <c r="R112" s="5"/>
      <c r="S112" s="5"/>
      <c r="T112" s="5"/>
      <c r="U112" s="5"/>
      <c r="V112" s="5"/>
      <c r="W112" s="5">
        <v>0</v>
      </c>
      <c r="X112" s="5">
        <v>1</v>
      </c>
      <c r="Y112" s="5">
        <v>0</v>
      </c>
      <c r="Z112" s="5"/>
      <c r="AA112" s="5"/>
      <c r="AB112" s="5"/>
    </row>
    <row r="113" spans="1:28" x14ac:dyDescent="0.2">
      <c r="A113" s="5">
        <v>50</v>
      </c>
      <c r="B113" s="5">
        <v>0</v>
      </c>
      <c r="C113" s="5">
        <v>0</v>
      </c>
      <c r="D113" s="5">
        <v>1</v>
      </c>
      <c r="E113" s="5">
        <v>229</v>
      </c>
      <c r="F113" s="5">
        <f>ROUND(Source!AZ102,O113)</f>
        <v>0</v>
      </c>
      <c r="G113" s="5" t="s">
        <v>79</v>
      </c>
      <c r="H113" s="5" t="s">
        <v>80</v>
      </c>
      <c r="I113" s="5"/>
      <c r="J113" s="5"/>
      <c r="K113" s="5">
        <v>229</v>
      </c>
      <c r="L113" s="5">
        <v>10</v>
      </c>
      <c r="M113" s="5">
        <v>3</v>
      </c>
      <c r="N113" s="5" t="s">
        <v>3</v>
      </c>
      <c r="O113" s="5">
        <v>2</v>
      </c>
      <c r="P113" s="5"/>
      <c r="Q113" s="5"/>
      <c r="R113" s="5"/>
      <c r="S113" s="5"/>
      <c r="T113" s="5"/>
      <c r="U113" s="5"/>
      <c r="V113" s="5"/>
      <c r="W113" s="5">
        <v>0</v>
      </c>
      <c r="X113" s="5">
        <v>1</v>
      </c>
      <c r="Y113" s="5">
        <v>0</v>
      </c>
      <c r="Z113" s="5"/>
      <c r="AA113" s="5"/>
      <c r="AB113" s="5"/>
    </row>
    <row r="114" spans="1:28" x14ac:dyDescent="0.2">
      <c r="A114" s="5">
        <v>50</v>
      </c>
      <c r="B114" s="5">
        <v>0</v>
      </c>
      <c r="C114" s="5">
        <v>0</v>
      </c>
      <c r="D114" s="5">
        <v>1</v>
      </c>
      <c r="E114" s="5">
        <v>203</v>
      </c>
      <c r="F114" s="5">
        <f>ROUND(Source!Q102,O114)</f>
        <v>10296.780000000001</v>
      </c>
      <c r="G114" s="5" t="s">
        <v>81</v>
      </c>
      <c r="H114" s="5" t="s">
        <v>82</v>
      </c>
      <c r="I114" s="5"/>
      <c r="J114" s="5"/>
      <c r="K114" s="5">
        <v>203</v>
      </c>
      <c r="L114" s="5">
        <v>11</v>
      </c>
      <c r="M114" s="5">
        <v>3</v>
      </c>
      <c r="N114" s="5" t="s">
        <v>3</v>
      </c>
      <c r="O114" s="5">
        <v>2</v>
      </c>
      <c r="P114" s="5"/>
      <c r="Q114" s="5"/>
      <c r="R114" s="5"/>
      <c r="S114" s="5"/>
      <c r="T114" s="5"/>
      <c r="U114" s="5"/>
      <c r="V114" s="5"/>
      <c r="W114" s="5">
        <v>10296.779999999999</v>
      </c>
      <c r="X114" s="5">
        <v>1</v>
      </c>
      <c r="Y114" s="5">
        <v>10296.779999999999</v>
      </c>
      <c r="Z114" s="5"/>
      <c r="AA114" s="5"/>
      <c r="AB114" s="5"/>
    </row>
    <row r="115" spans="1:28" x14ac:dyDescent="0.2">
      <c r="A115" s="5">
        <v>50</v>
      </c>
      <c r="B115" s="5">
        <v>0</v>
      </c>
      <c r="C115" s="5">
        <v>0</v>
      </c>
      <c r="D115" s="5">
        <v>1</v>
      </c>
      <c r="E115" s="5">
        <v>231</v>
      </c>
      <c r="F115" s="5">
        <f>ROUND(Source!BB102,O115)</f>
        <v>0</v>
      </c>
      <c r="G115" s="5" t="s">
        <v>83</v>
      </c>
      <c r="H115" s="5" t="s">
        <v>84</v>
      </c>
      <c r="I115" s="5"/>
      <c r="J115" s="5"/>
      <c r="K115" s="5">
        <v>231</v>
      </c>
      <c r="L115" s="5">
        <v>12</v>
      </c>
      <c r="M115" s="5">
        <v>3</v>
      </c>
      <c r="N115" s="5" t="s">
        <v>3</v>
      </c>
      <c r="O115" s="5">
        <v>2</v>
      </c>
      <c r="P115" s="5"/>
      <c r="Q115" s="5"/>
      <c r="R115" s="5"/>
      <c r="S115" s="5"/>
      <c r="T115" s="5"/>
      <c r="U115" s="5"/>
      <c r="V115" s="5"/>
      <c r="W115" s="5">
        <v>0</v>
      </c>
      <c r="X115" s="5">
        <v>1</v>
      </c>
      <c r="Y115" s="5">
        <v>0</v>
      </c>
      <c r="Z115" s="5"/>
      <c r="AA115" s="5"/>
      <c r="AB115" s="5"/>
    </row>
    <row r="116" spans="1:28" x14ac:dyDescent="0.2">
      <c r="A116" s="5">
        <v>50</v>
      </c>
      <c r="B116" s="5">
        <v>0</v>
      </c>
      <c r="C116" s="5">
        <v>0</v>
      </c>
      <c r="D116" s="5">
        <v>1</v>
      </c>
      <c r="E116" s="5">
        <v>204</v>
      </c>
      <c r="F116" s="5">
        <f>ROUND(Source!R102,O116)</f>
        <v>5206.43</v>
      </c>
      <c r="G116" s="5" t="s">
        <v>85</v>
      </c>
      <c r="H116" s="5" t="s">
        <v>86</v>
      </c>
      <c r="I116" s="5"/>
      <c r="J116" s="5"/>
      <c r="K116" s="5">
        <v>204</v>
      </c>
      <c r="L116" s="5">
        <v>13</v>
      </c>
      <c r="M116" s="5">
        <v>3</v>
      </c>
      <c r="N116" s="5" t="s">
        <v>3</v>
      </c>
      <c r="O116" s="5">
        <v>2</v>
      </c>
      <c r="P116" s="5"/>
      <c r="Q116" s="5"/>
      <c r="R116" s="5"/>
      <c r="S116" s="5"/>
      <c r="T116" s="5"/>
      <c r="U116" s="5"/>
      <c r="V116" s="5"/>
      <c r="W116" s="5">
        <v>5206.4299999999994</v>
      </c>
      <c r="X116" s="5">
        <v>1</v>
      </c>
      <c r="Y116" s="5">
        <v>5206.4299999999994</v>
      </c>
      <c r="Z116" s="5"/>
      <c r="AA116" s="5"/>
      <c r="AB116" s="5"/>
    </row>
    <row r="117" spans="1:28" x14ac:dyDescent="0.2">
      <c r="A117" s="5">
        <v>50</v>
      </c>
      <c r="B117" s="5">
        <v>0</v>
      </c>
      <c r="C117" s="5">
        <v>0</v>
      </c>
      <c r="D117" s="5">
        <v>1</v>
      </c>
      <c r="E117" s="5">
        <v>205</v>
      </c>
      <c r="F117" s="5">
        <f>ROUND(Source!S102,O117)</f>
        <v>18165.41</v>
      </c>
      <c r="G117" s="5" t="s">
        <v>87</v>
      </c>
      <c r="H117" s="5" t="s">
        <v>88</v>
      </c>
      <c r="I117" s="5"/>
      <c r="J117" s="5"/>
      <c r="K117" s="5">
        <v>205</v>
      </c>
      <c r="L117" s="5">
        <v>14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18165.41</v>
      </c>
      <c r="X117" s="5">
        <v>1</v>
      </c>
      <c r="Y117" s="5">
        <v>18165.41</v>
      </c>
      <c r="Z117" s="5"/>
      <c r="AA117" s="5"/>
      <c r="AB117" s="5"/>
    </row>
    <row r="118" spans="1:28" x14ac:dyDescent="0.2">
      <c r="A118" s="5">
        <v>50</v>
      </c>
      <c r="B118" s="5">
        <v>0</v>
      </c>
      <c r="C118" s="5">
        <v>0</v>
      </c>
      <c r="D118" s="5">
        <v>1</v>
      </c>
      <c r="E118" s="5">
        <v>232</v>
      </c>
      <c r="F118" s="5">
        <f>ROUND(Source!BC102,O118)</f>
        <v>0</v>
      </c>
      <c r="G118" s="5" t="s">
        <v>89</v>
      </c>
      <c r="H118" s="5" t="s">
        <v>90</v>
      </c>
      <c r="I118" s="5"/>
      <c r="J118" s="5"/>
      <c r="K118" s="5">
        <v>232</v>
      </c>
      <c r="L118" s="5">
        <v>15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0</v>
      </c>
      <c r="X118" s="5">
        <v>1</v>
      </c>
      <c r="Y118" s="5">
        <v>0</v>
      </c>
      <c r="Z118" s="5"/>
      <c r="AA118" s="5"/>
      <c r="AB118" s="5"/>
    </row>
    <row r="119" spans="1:28" x14ac:dyDescent="0.2">
      <c r="A119" s="5">
        <v>50</v>
      </c>
      <c r="B119" s="5">
        <v>0</v>
      </c>
      <c r="C119" s="5">
        <v>0</v>
      </c>
      <c r="D119" s="5">
        <v>1</v>
      </c>
      <c r="E119" s="5">
        <v>214</v>
      </c>
      <c r="F119" s="5">
        <f>ROUND(Source!AS102,O119)</f>
        <v>116155.05</v>
      </c>
      <c r="G119" s="5" t="s">
        <v>91</v>
      </c>
      <c r="H119" s="5" t="s">
        <v>92</v>
      </c>
      <c r="I119" s="5"/>
      <c r="J119" s="5"/>
      <c r="K119" s="5">
        <v>214</v>
      </c>
      <c r="L119" s="5">
        <v>16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116155.05</v>
      </c>
      <c r="X119" s="5">
        <v>1</v>
      </c>
      <c r="Y119" s="5">
        <v>116155.05</v>
      </c>
      <c r="Z119" s="5"/>
      <c r="AA119" s="5"/>
      <c r="AB119" s="5"/>
    </row>
    <row r="120" spans="1:28" x14ac:dyDescent="0.2">
      <c r="A120" s="5">
        <v>50</v>
      </c>
      <c r="B120" s="5">
        <v>0</v>
      </c>
      <c r="C120" s="5">
        <v>0</v>
      </c>
      <c r="D120" s="5">
        <v>1</v>
      </c>
      <c r="E120" s="5">
        <v>215</v>
      </c>
      <c r="F120" s="5">
        <f>ROUND(Source!AT102,O120)</f>
        <v>13124.3</v>
      </c>
      <c r="G120" s="5" t="s">
        <v>93</v>
      </c>
      <c r="H120" s="5" t="s">
        <v>94</v>
      </c>
      <c r="I120" s="5"/>
      <c r="J120" s="5"/>
      <c r="K120" s="5">
        <v>215</v>
      </c>
      <c r="L120" s="5">
        <v>17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13124.3</v>
      </c>
      <c r="X120" s="5">
        <v>1</v>
      </c>
      <c r="Y120" s="5">
        <v>13124.3</v>
      </c>
      <c r="Z120" s="5"/>
      <c r="AA120" s="5"/>
      <c r="AB120" s="5"/>
    </row>
    <row r="121" spans="1:28" x14ac:dyDescent="0.2">
      <c r="A121" s="5">
        <v>50</v>
      </c>
      <c r="B121" s="5">
        <v>0</v>
      </c>
      <c r="C121" s="5">
        <v>0</v>
      </c>
      <c r="D121" s="5">
        <v>1</v>
      </c>
      <c r="E121" s="5">
        <v>217</v>
      </c>
      <c r="F121" s="5">
        <f>ROUND(Source!AU102,O121)</f>
        <v>0</v>
      </c>
      <c r="G121" s="5" t="s">
        <v>95</v>
      </c>
      <c r="H121" s="5" t="s">
        <v>96</v>
      </c>
      <c r="I121" s="5"/>
      <c r="J121" s="5"/>
      <c r="K121" s="5">
        <v>217</v>
      </c>
      <c r="L121" s="5">
        <v>18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0</v>
      </c>
      <c r="X121" s="5">
        <v>1</v>
      </c>
      <c r="Y121" s="5">
        <v>0</v>
      </c>
      <c r="Z121" s="5"/>
      <c r="AA121" s="5"/>
      <c r="AB121" s="5"/>
    </row>
    <row r="122" spans="1:28" x14ac:dyDescent="0.2">
      <c r="A122" s="5">
        <v>50</v>
      </c>
      <c r="B122" s="5">
        <v>0</v>
      </c>
      <c r="C122" s="5">
        <v>0</v>
      </c>
      <c r="D122" s="5">
        <v>1</v>
      </c>
      <c r="E122" s="5">
        <v>230</v>
      </c>
      <c r="F122" s="5">
        <f>ROUND(Source!BA102,O122)</f>
        <v>0</v>
      </c>
      <c r="G122" s="5" t="s">
        <v>97</v>
      </c>
      <c r="H122" s="5" t="s">
        <v>98</v>
      </c>
      <c r="I122" s="5"/>
      <c r="J122" s="5"/>
      <c r="K122" s="5">
        <v>230</v>
      </c>
      <c r="L122" s="5">
        <v>19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0</v>
      </c>
      <c r="X122" s="5">
        <v>1</v>
      </c>
      <c r="Y122" s="5">
        <v>0</v>
      </c>
      <c r="Z122" s="5"/>
      <c r="AA122" s="5"/>
      <c r="AB122" s="5"/>
    </row>
    <row r="123" spans="1:28" x14ac:dyDescent="0.2">
      <c r="A123" s="5">
        <v>50</v>
      </c>
      <c r="B123" s="5">
        <v>0</v>
      </c>
      <c r="C123" s="5">
        <v>0</v>
      </c>
      <c r="D123" s="5">
        <v>1</v>
      </c>
      <c r="E123" s="5">
        <v>206</v>
      </c>
      <c r="F123" s="5">
        <f>ROUND(Source!T102,O123)</f>
        <v>0</v>
      </c>
      <c r="G123" s="5" t="s">
        <v>99</v>
      </c>
      <c r="H123" s="5" t="s">
        <v>100</v>
      </c>
      <c r="I123" s="5"/>
      <c r="J123" s="5"/>
      <c r="K123" s="5">
        <v>206</v>
      </c>
      <c r="L123" s="5">
        <v>20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0</v>
      </c>
      <c r="X123" s="5">
        <v>1</v>
      </c>
      <c r="Y123" s="5">
        <v>0</v>
      </c>
      <c r="Z123" s="5"/>
      <c r="AA123" s="5"/>
      <c r="AB123" s="5"/>
    </row>
    <row r="124" spans="1:28" x14ac:dyDescent="0.2">
      <c r="A124" s="5">
        <v>50</v>
      </c>
      <c r="B124" s="5">
        <v>0</v>
      </c>
      <c r="C124" s="5">
        <v>0</v>
      </c>
      <c r="D124" s="5">
        <v>1</v>
      </c>
      <c r="E124" s="5">
        <v>207</v>
      </c>
      <c r="F124" s="5">
        <f>ROUND(Source!U102,O124)</f>
        <v>44.6997</v>
      </c>
      <c r="G124" s="5" t="s">
        <v>101</v>
      </c>
      <c r="H124" s="5" t="s">
        <v>102</v>
      </c>
      <c r="I124" s="5"/>
      <c r="J124" s="5"/>
      <c r="K124" s="5">
        <v>207</v>
      </c>
      <c r="L124" s="5">
        <v>21</v>
      </c>
      <c r="M124" s="5">
        <v>3</v>
      </c>
      <c r="N124" s="5" t="s">
        <v>3</v>
      </c>
      <c r="O124" s="5">
        <v>7</v>
      </c>
      <c r="P124" s="5"/>
      <c r="Q124" s="5"/>
      <c r="R124" s="5"/>
      <c r="S124" s="5"/>
      <c r="T124" s="5"/>
      <c r="U124" s="5"/>
      <c r="V124" s="5"/>
      <c r="W124" s="5">
        <v>44.6997</v>
      </c>
      <c r="X124" s="5">
        <v>1</v>
      </c>
      <c r="Y124" s="5">
        <v>44.6997</v>
      </c>
      <c r="Z124" s="5"/>
      <c r="AA124" s="5"/>
      <c r="AB124" s="5"/>
    </row>
    <row r="125" spans="1:28" x14ac:dyDescent="0.2">
      <c r="A125" s="5">
        <v>50</v>
      </c>
      <c r="B125" s="5">
        <v>0</v>
      </c>
      <c r="C125" s="5">
        <v>0</v>
      </c>
      <c r="D125" s="5">
        <v>1</v>
      </c>
      <c r="E125" s="5">
        <v>208</v>
      </c>
      <c r="F125" s="5">
        <f>ROUND(Source!V102,O125)</f>
        <v>11.789585199999999</v>
      </c>
      <c r="G125" s="5" t="s">
        <v>103</v>
      </c>
      <c r="H125" s="5" t="s">
        <v>104</v>
      </c>
      <c r="I125" s="5"/>
      <c r="J125" s="5"/>
      <c r="K125" s="5">
        <v>208</v>
      </c>
      <c r="L125" s="5">
        <v>22</v>
      </c>
      <c r="M125" s="5">
        <v>3</v>
      </c>
      <c r="N125" s="5" t="s">
        <v>3</v>
      </c>
      <c r="O125" s="5">
        <v>7</v>
      </c>
      <c r="P125" s="5"/>
      <c r="Q125" s="5"/>
      <c r="R125" s="5"/>
      <c r="S125" s="5"/>
      <c r="T125" s="5"/>
      <c r="U125" s="5"/>
      <c r="V125" s="5"/>
      <c r="W125" s="5">
        <v>11.789585199999999</v>
      </c>
      <c r="X125" s="5">
        <v>1</v>
      </c>
      <c r="Y125" s="5">
        <v>11.789585199999999</v>
      </c>
      <c r="Z125" s="5"/>
      <c r="AA125" s="5"/>
      <c r="AB125" s="5"/>
    </row>
    <row r="126" spans="1:28" x14ac:dyDescent="0.2">
      <c r="A126" s="5">
        <v>50</v>
      </c>
      <c r="B126" s="5">
        <v>0</v>
      </c>
      <c r="C126" s="5">
        <v>0</v>
      </c>
      <c r="D126" s="5">
        <v>1</v>
      </c>
      <c r="E126" s="5">
        <v>209</v>
      </c>
      <c r="F126" s="5">
        <f>ROUND(Source!W102,O126)</f>
        <v>0</v>
      </c>
      <c r="G126" s="5" t="s">
        <v>105</v>
      </c>
      <c r="H126" s="5" t="s">
        <v>106</v>
      </c>
      <c r="I126" s="5"/>
      <c r="J126" s="5"/>
      <c r="K126" s="5">
        <v>209</v>
      </c>
      <c r="L126" s="5">
        <v>23</v>
      </c>
      <c r="M126" s="5">
        <v>3</v>
      </c>
      <c r="N126" s="5" t="s">
        <v>3</v>
      </c>
      <c r="O126" s="5">
        <v>2</v>
      </c>
      <c r="P126" s="5"/>
      <c r="Q126" s="5"/>
      <c r="R126" s="5"/>
      <c r="S126" s="5"/>
      <c r="T126" s="5"/>
      <c r="U126" s="5"/>
      <c r="V126" s="5"/>
      <c r="W126" s="5">
        <v>0</v>
      </c>
      <c r="X126" s="5">
        <v>1</v>
      </c>
      <c r="Y126" s="5">
        <v>0</v>
      </c>
      <c r="Z126" s="5"/>
      <c r="AA126" s="5"/>
      <c r="AB126" s="5"/>
    </row>
    <row r="127" spans="1:28" x14ac:dyDescent="0.2">
      <c r="A127" s="5">
        <v>50</v>
      </c>
      <c r="B127" s="5">
        <v>0</v>
      </c>
      <c r="C127" s="5">
        <v>0</v>
      </c>
      <c r="D127" s="5">
        <v>1</v>
      </c>
      <c r="E127" s="5">
        <v>233</v>
      </c>
      <c r="F127" s="5">
        <f>ROUND(Source!BD102,O127)</f>
        <v>0</v>
      </c>
      <c r="G127" s="5" t="s">
        <v>107</v>
      </c>
      <c r="H127" s="5" t="s">
        <v>108</v>
      </c>
      <c r="I127" s="5"/>
      <c r="J127" s="5"/>
      <c r="K127" s="5">
        <v>233</v>
      </c>
      <c r="L127" s="5">
        <v>24</v>
      </c>
      <c r="M127" s="5">
        <v>3</v>
      </c>
      <c r="N127" s="5" t="s">
        <v>3</v>
      </c>
      <c r="O127" s="5">
        <v>2</v>
      </c>
      <c r="P127" s="5"/>
      <c r="Q127" s="5"/>
      <c r="R127" s="5"/>
      <c r="S127" s="5"/>
      <c r="T127" s="5"/>
      <c r="U127" s="5"/>
      <c r="V127" s="5"/>
      <c r="W127" s="5">
        <v>0</v>
      </c>
      <c r="X127" s="5">
        <v>1</v>
      </c>
      <c r="Y127" s="5">
        <v>0</v>
      </c>
      <c r="Z127" s="5"/>
      <c r="AA127" s="5"/>
      <c r="AB127" s="5"/>
    </row>
    <row r="128" spans="1:28" x14ac:dyDescent="0.2">
      <c r="A128" s="5">
        <v>50</v>
      </c>
      <c r="B128" s="5">
        <v>0</v>
      </c>
      <c r="C128" s="5">
        <v>0</v>
      </c>
      <c r="D128" s="5">
        <v>1</v>
      </c>
      <c r="E128" s="5">
        <v>210</v>
      </c>
      <c r="F128" s="5">
        <f>ROUND(Source!X102,O128)</f>
        <v>27170.62</v>
      </c>
      <c r="G128" s="5" t="s">
        <v>109</v>
      </c>
      <c r="H128" s="5" t="s">
        <v>110</v>
      </c>
      <c r="I128" s="5"/>
      <c r="J128" s="5"/>
      <c r="K128" s="5">
        <v>210</v>
      </c>
      <c r="L128" s="5">
        <v>25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27170.62</v>
      </c>
      <c r="X128" s="5">
        <v>1</v>
      </c>
      <c r="Y128" s="5">
        <v>27170.62</v>
      </c>
      <c r="Z128" s="5"/>
      <c r="AA128" s="5"/>
      <c r="AB128" s="5"/>
    </row>
    <row r="129" spans="1:255" x14ac:dyDescent="0.2">
      <c r="A129" s="5">
        <v>50</v>
      </c>
      <c r="B129" s="5">
        <v>0</v>
      </c>
      <c r="C129" s="5">
        <v>0</v>
      </c>
      <c r="D129" s="5">
        <v>1</v>
      </c>
      <c r="E129" s="5">
        <v>211</v>
      </c>
      <c r="F129" s="5">
        <f>ROUND(Source!Y102,O129)</f>
        <v>16769.490000000002</v>
      </c>
      <c r="G129" s="5" t="s">
        <v>111</v>
      </c>
      <c r="H129" s="5" t="s">
        <v>112</v>
      </c>
      <c r="I129" s="5"/>
      <c r="J129" s="5"/>
      <c r="K129" s="5">
        <v>211</v>
      </c>
      <c r="L129" s="5">
        <v>26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16769.490000000002</v>
      </c>
      <c r="X129" s="5">
        <v>1</v>
      </c>
      <c r="Y129" s="5">
        <v>16769.490000000002</v>
      </c>
      <c r="Z129" s="5"/>
      <c r="AA129" s="5"/>
      <c r="AB129" s="5"/>
    </row>
    <row r="130" spans="1:255" x14ac:dyDescent="0.2">
      <c r="A130" s="5">
        <v>50</v>
      </c>
      <c r="B130" s="5">
        <v>0</v>
      </c>
      <c r="C130" s="5">
        <v>0</v>
      </c>
      <c r="D130" s="5">
        <v>1</v>
      </c>
      <c r="E130" s="5">
        <v>224</v>
      </c>
      <c r="F130" s="5">
        <f>ROUND(Source!AR102,O130)</f>
        <v>129279.35</v>
      </c>
      <c r="G130" s="5" t="s">
        <v>113</v>
      </c>
      <c r="H130" s="5" t="s">
        <v>114</v>
      </c>
      <c r="I130" s="5"/>
      <c r="J130" s="5"/>
      <c r="K130" s="5">
        <v>224</v>
      </c>
      <c r="L130" s="5">
        <v>27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129279.35</v>
      </c>
      <c r="X130" s="5">
        <v>1</v>
      </c>
      <c r="Y130" s="5">
        <v>129279.35</v>
      </c>
      <c r="Z130" s="5"/>
      <c r="AA130" s="5"/>
      <c r="AB130" s="5"/>
    </row>
    <row r="132" spans="1:255" x14ac:dyDescent="0.2">
      <c r="A132" s="1">
        <v>4</v>
      </c>
      <c r="B132" s="1">
        <v>1</v>
      </c>
      <c r="C132" s="1"/>
      <c r="D132" s="1">
        <f>ROW(A150)</f>
        <v>150</v>
      </c>
      <c r="E132" s="1"/>
      <c r="F132" s="1" t="s">
        <v>16</v>
      </c>
      <c r="G132" s="1" t="s">
        <v>267</v>
      </c>
      <c r="H132" s="1" t="s">
        <v>3</v>
      </c>
      <c r="I132" s="1">
        <v>0</v>
      </c>
      <c r="J132" s="1"/>
      <c r="K132" s="1">
        <v>0</v>
      </c>
      <c r="L132" s="1"/>
      <c r="M132" s="1" t="s">
        <v>3</v>
      </c>
      <c r="N132" s="1"/>
      <c r="O132" s="1"/>
      <c r="P132" s="1"/>
      <c r="Q132" s="1"/>
      <c r="R132" s="1"/>
      <c r="S132" s="1">
        <v>0</v>
      </c>
      <c r="T132" s="1"/>
      <c r="U132" s="1" t="s">
        <v>3</v>
      </c>
      <c r="V132" s="1">
        <v>0</v>
      </c>
      <c r="W132" s="1"/>
      <c r="X132" s="1"/>
      <c r="Y132" s="1"/>
      <c r="Z132" s="1"/>
      <c r="AA132" s="1"/>
      <c r="AB132" s="1" t="s">
        <v>3</v>
      </c>
      <c r="AC132" s="1" t="s">
        <v>3</v>
      </c>
      <c r="AD132" s="1" t="s">
        <v>3</v>
      </c>
      <c r="AE132" s="1" t="s">
        <v>3</v>
      </c>
      <c r="AF132" s="1" t="s">
        <v>3</v>
      </c>
      <c r="AG132" s="1" t="s">
        <v>3</v>
      </c>
      <c r="AH132" s="1"/>
      <c r="AI132" s="1"/>
      <c r="AJ132" s="1"/>
      <c r="AK132" s="1"/>
      <c r="AL132" s="1"/>
      <c r="AM132" s="1"/>
      <c r="AN132" s="1"/>
      <c r="AO132" s="1"/>
      <c r="AP132" s="1" t="s">
        <v>3</v>
      </c>
      <c r="AQ132" s="1" t="s">
        <v>3</v>
      </c>
      <c r="AR132" s="1" t="s">
        <v>3</v>
      </c>
      <c r="AS132" s="1"/>
      <c r="AT132" s="1"/>
      <c r="AU132" s="1"/>
      <c r="AV132" s="1"/>
      <c r="AW132" s="1"/>
      <c r="AX132" s="1"/>
      <c r="AY132" s="1"/>
      <c r="AZ132" s="1" t="s">
        <v>3</v>
      </c>
      <c r="BA132" s="1"/>
      <c r="BB132" s="1" t="s">
        <v>3</v>
      </c>
      <c r="BC132" s="1" t="s">
        <v>3</v>
      </c>
      <c r="BD132" s="1" t="s">
        <v>3</v>
      </c>
      <c r="BE132" s="1" t="s">
        <v>3</v>
      </c>
      <c r="BF132" s="1" t="s">
        <v>3</v>
      </c>
      <c r="BG132" s="1" t="s">
        <v>3</v>
      </c>
      <c r="BH132" s="1" t="s">
        <v>3</v>
      </c>
      <c r="BI132" s="1" t="s">
        <v>3</v>
      </c>
      <c r="BJ132" s="1" t="s">
        <v>3</v>
      </c>
      <c r="BK132" s="1" t="s">
        <v>3</v>
      </c>
      <c r="BL132" s="1" t="s">
        <v>3</v>
      </c>
      <c r="BM132" s="1" t="s">
        <v>3</v>
      </c>
      <c r="BN132" s="1" t="s">
        <v>3</v>
      </c>
      <c r="BO132" s="1" t="s">
        <v>3</v>
      </c>
      <c r="BP132" s="1" t="s">
        <v>3</v>
      </c>
      <c r="BQ132" s="1"/>
      <c r="BR132" s="1"/>
      <c r="BS132" s="1"/>
      <c r="BT132" s="1"/>
      <c r="BU132" s="1"/>
      <c r="BV132" s="1"/>
      <c r="BW132" s="1"/>
      <c r="BX132" s="1">
        <v>0</v>
      </c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>
        <v>0</v>
      </c>
    </row>
    <row r="134" spans="1:255" x14ac:dyDescent="0.2">
      <c r="A134" s="3">
        <v>52</v>
      </c>
      <c r="B134" s="3">
        <f t="shared" ref="B134:G134" si="79">B150</f>
        <v>1</v>
      </c>
      <c r="C134" s="3">
        <f t="shared" si="79"/>
        <v>4</v>
      </c>
      <c r="D134" s="3">
        <f t="shared" si="79"/>
        <v>132</v>
      </c>
      <c r="E134" s="3">
        <f t="shared" si="79"/>
        <v>0</v>
      </c>
      <c r="F134" s="3" t="str">
        <f t="shared" si="79"/>
        <v>Новый раздел</v>
      </c>
      <c r="G134" s="3" t="str">
        <f t="shared" si="79"/>
        <v>Вывод провода-спутника под КИК-3шт</v>
      </c>
      <c r="H134" s="3"/>
      <c r="I134" s="3"/>
      <c r="J134" s="3"/>
      <c r="K134" s="3"/>
      <c r="L134" s="3"/>
      <c r="M134" s="3"/>
      <c r="N134" s="3"/>
      <c r="O134" s="3">
        <f t="shared" ref="O134:AT134" si="80">O150</f>
        <v>6355.54</v>
      </c>
      <c r="P134" s="3">
        <f t="shared" si="80"/>
        <v>4084.95</v>
      </c>
      <c r="Q134" s="3">
        <f t="shared" si="80"/>
        <v>1180.33</v>
      </c>
      <c r="R134" s="3">
        <f t="shared" si="80"/>
        <v>386.68</v>
      </c>
      <c r="S134" s="3">
        <f t="shared" si="80"/>
        <v>703.58</v>
      </c>
      <c r="T134" s="3">
        <f t="shared" si="80"/>
        <v>0</v>
      </c>
      <c r="U134" s="3">
        <f t="shared" si="80"/>
        <v>1.671135</v>
      </c>
      <c r="V134" s="3">
        <f t="shared" si="80"/>
        <v>0.83757840000000006</v>
      </c>
      <c r="W134" s="3">
        <f t="shared" si="80"/>
        <v>0</v>
      </c>
      <c r="X134" s="3">
        <f t="shared" si="80"/>
        <v>1264.23</v>
      </c>
      <c r="Y134" s="3">
        <f t="shared" si="80"/>
        <v>794.66</v>
      </c>
      <c r="Z134" s="3">
        <f t="shared" si="80"/>
        <v>0</v>
      </c>
      <c r="AA134" s="3">
        <f t="shared" si="80"/>
        <v>0</v>
      </c>
      <c r="AB134" s="3">
        <f t="shared" si="80"/>
        <v>6355.54</v>
      </c>
      <c r="AC134" s="3">
        <f t="shared" si="80"/>
        <v>4084.95</v>
      </c>
      <c r="AD134" s="3">
        <f t="shared" si="80"/>
        <v>1180.33</v>
      </c>
      <c r="AE134" s="3">
        <f t="shared" si="80"/>
        <v>386.68</v>
      </c>
      <c r="AF134" s="3">
        <f t="shared" si="80"/>
        <v>703.58</v>
      </c>
      <c r="AG134" s="3">
        <f t="shared" si="80"/>
        <v>0</v>
      </c>
      <c r="AH134" s="3">
        <f t="shared" si="80"/>
        <v>1.671135</v>
      </c>
      <c r="AI134" s="3">
        <f t="shared" si="80"/>
        <v>0.83757840000000006</v>
      </c>
      <c r="AJ134" s="3">
        <f t="shared" si="80"/>
        <v>0</v>
      </c>
      <c r="AK134" s="3">
        <f t="shared" si="80"/>
        <v>1264.23</v>
      </c>
      <c r="AL134" s="3">
        <f t="shared" si="80"/>
        <v>794.66</v>
      </c>
      <c r="AM134" s="3">
        <f t="shared" si="80"/>
        <v>0</v>
      </c>
      <c r="AN134" s="3">
        <f t="shared" si="80"/>
        <v>0</v>
      </c>
      <c r="AO134" s="3">
        <f t="shared" si="80"/>
        <v>0</v>
      </c>
      <c r="AP134" s="3">
        <f t="shared" si="80"/>
        <v>0</v>
      </c>
      <c r="AQ134" s="3">
        <f t="shared" si="80"/>
        <v>0</v>
      </c>
      <c r="AR134" s="3">
        <f t="shared" si="80"/>
        <v>8414.43</v>
      </c>
      <c r="AS134" s="3">
        <f t="shared" si="80"/>
        <v>8414.43</v>
      </c>
      <c r="AT134" s="3">
        <f t="shared" si="80"/>
        <v>0</v>
      </c>
      <c r="AU134" s="3">
        <f t="shared" ref="AU134:BZ134" si="81">AU150</f>
        <v>0</v>
      </c>
      <c r="AV134" s="3">
        <f t="shared" si="81"/>
        <v>4084.95</v>
      </c>
      <c r="AW134" s="3">
        <f t="shared" si="81"/>
        <v>4084.95</v>
      </c>
      <c r="AX134" s="3">
        <f t="shared" si="81"/>
        <v>0</v>
      </c>
      <c r="AY134" s="3">
        <f t="shared" si="81"/>
        <v>4084.95</v>
      </c>
      <c r="AZ134" s="3">
        <f t="shared" si="81"/>
        <v>0</v>
      </c>
      <c r="BA134" s="3">
        <f t="shared" si="81"/>
        <v>0</v>
      </c>
      <c r="BB134" s="3">
        <f t="shared" si="81"/>
        <v>0</v>
      </c>
      <c r="BC134" s="3">
        <f t="shared" si="81"/>
        <v>0</v>
      </c>
      <c r="BD134" s="3">
        <f t="shared" si="81"/>
        <v>0</v>
      </c>
      <c r="BE134" s="3">
        <f t="shared" si="81"/>
        <v>0</v>
      </c>
      <c r="BF134" s="3">
        <f t="shared" si="81"/>
        <v>0</v>
      </c>
      <c r="BG134" s="3">
        <f t="shared" si="81"/>
        <v>0</v>
      </c>
      <c r="BH134" s="3">
        <f t="shared" si="81"/>
        <v>0</v>
      </c>
      <c r="BI134" s="3">
        <f t="shared" si="81"/>
        <v>0</v>
      </c>
      <c r="BJ134" s="3">
        <f t="shared" si="81"/>
        <v>0</v>
      </c>
      <c r="BK134" s="3">
        <f t="shared" si="81"/>
        <v>0</v>
      </c>
      <c r="BL134" s="3">
        <f t="shared" si="81"/>
        <v>0</v>
      </c>
      <c r="BM134" s="3">
        <f t="shared" si="81"/>
        <v>0</v>
      </c>
      <c r="BN134" s="3">
        <f t="shared" si="81"/>
        <v>0</v>
      </c>
      <c r="BO134" s="3">
        <f t="shared" si="81"/>
        <v>0</v>
      </c>
      <c r="BP134" s="3">
        <f t="shared" si="81"/>
        <v>0</v>
      </c>
      <c r="BQ134" s="3">
        <f t="shared" si="81"/>
        <v>0</v>
      </c>
      <c r="BR134" s="3">
        <f t="shared" si="81"/>
        <v>0</v>
      </c>
      <c r="BS134" s="3">
        <f t="shared" si="81"/>
        <v>0</v>
      </c>
      <c r="BT134" s="3">
        <f t="shared" si="81"/>
        <v>0</v>
      </c>
      <c r="BU134" s="3">
        <f t="shared" si="81"/>
        <v>0</v>
      </c>
      <c r="BV134" s="3">
        <f t="shared" si="81"/>
        <v>0</v>
      </c>
      <c r="BW134" s="3">
        <f t="shared" si="81"/>
        <v>0</v>
      </c>
      <c r="BX134" s="3">
        <f t="shared" si="81"/>
        <v>0</v>
      </c>
      <c r="BY134" s="3">
        <f t="shared" si="81"/>
        <v>0</v>
      </c>
      <c r="BZ134" s="3">
        <f t="shared" si="81"/>
        <v>0</v>
      </c>
      <c r="CA134" s="3">
        <f t="shared" ref="CA134:DF134" si="82">CA150</f>
        <v>8414.43</v>
      </c>
      <c r="CB134" s="3">
        <f t="shared" si="82"/>
        <v>8414.43</v>
      </c>
      <c r="CC134" s="3">
        <f t="shared" si="82"/>
        <v>0</v>
      </c>
      <c r="CD134" s="3">
        <f t="shared" si="82"/>
        <v>0</v>
      </c>
      <c r="CE134" s="3">
        <f t="shared" si="82"/>
        <v>4084.95</v>
      </c>
      <c r="CF134" s="3">
        <f t="shared" si="82"/>
        <v>4084.95</v>
      </c>
      <c r="CG134" s="3">
        <f t="shared" si="82"/>
        <v>0</v>
      </c>
      <c r="CH134" s="3">
        <f t="shared" si="82"/>
        <v>4084.95</v>
      </c>
      <c r="CI134" s="3">
        <f t="shared" si="82"/>
        <v>0</v>
      </c>
      <c r="CJ134" s="3">
        <f t="shared" si="82"/>
        <v>0</v>
      </c>
      <c r="CK134" s="3">
        <f t="shared" si="82"/>
        <v>0</v>
      </c>
      <c r="CL134" s="3">
        <f t="shared" si="82"/>
        <v>0</v>
      </c>
      <c r="CM134" s="3">
        <f t="shared" si="82"/>
        <v>0</v>
      </c>
      <c r="CN134" s="3">
        <f t="shared" si="82"/>
        <v>0</v>
      </c>
      <c r="CO134" s="3">
        <f t="shared" si="82"/>
        <v>0</v>
      </c>
      <c r="CP134" s="3">
        <f t="shared" si="82"/>
        <v>0</v>
      </c>
      <c r="CQ134" s="3">
        <f t="shared" si="82"/>
        <v>0</v>
      </c>
      <c r="CR134" s="3">
        <f t="shared" si="82"/>
        <v>0</v>
      </c>
      <c r="CS134" s="3">
        <f t="shared" si="82"/>
        <v>0</v>
      </c>
      <c r="CT134" s="3">
        <f t="shared" si="82"/>
        <v>0</v>
      </c>
      <c r="CU134" s="3">
        <f t="shared" si="82"/>
        <v>0</v>
      </c>
      <c r="CV134" s="3">
        <f t="shared" si="82"/>
        <v>0</v>
      </c>
      <c r="CW134" s="3">
        <f t="shared" si="82"/>
        <v>0</v>
      </c>
      <c r="CX134" s="3">
        <f t="shared" si="82"/>
        <v>0</v>
      </c>
      <c r="CY134" s="3">
        <f t="shared" si="82"/>
        <v>0</v>
      </c>
      <c r="CZ134" s="3">
        <f t="shared" si="82"/>
        <v>0</v>
      </c>
      <c r="DA134" s="3">
        <f t="shared" si="82"/>
        <v>0</v>
      </c>
      <c r="DB134" s="3">
        <f t="shared" si="82"/>
        <v>0</v>
      </c>
      <c r="DC134" s="3">
        <f t="shared" si="82"/>
        <v>0</v>
      </c>
      <c r="DD134" s="3">
        <f t="shared" si="82"/>
        <v>0</v>
      </c>
      <c r="DE134" s="3">
        <f t="shared" si="82"/>
        <v>0</v>
      </c>
      <c r="DF134" s="3">
        <f t="shared" si="82"/>
        <v>0</v>
      </c>
      <c r="DG134" s="4">
        <f t="shared" ref="DG134:EL134" si="83">DG150</f>
        <v>0</v>
      </c>
      <c r="DH134" s="4">
        <f t="shared" si="83"/>
        <v>0</v>
      </c>
      <c r="DI134" s="4">
        <f t="shared" si="83"/>
        <v>0</v>
      </c>
      <c r="DJ134" s="4">
        <f t="shared" si="83"/>
        <v>0</v>
      </c>
      <c r="DK134" s="4">
        <f t="shared" si="83"/>
        <v>0</v>
      </c>
      <c r="DL134" s="4">
        <f t="shared" si="83"/>
        <v>0</v>
      </c>
      <c r="DM134" s="4">
        <f t="shared" si="83"/>
        <v>0</v>
      </c>
      <c r="DN134" s="4">
        <f t="shared" si="83"/>
        <v>0</v>
      </c>
      <c r="DO134" s="4">
        <f t="shared" si="83"/>
        <v>0</v>
      </c>
      <c r="DP134" s="4">
        <f t="shared" si="83"/>
        <v>0</v>
      </c>
      <c r="DQ134" s="4">
        <f t="shared" si="83"/>
        <v>0</v>
      </c>
      <c r="DR134" s="4">
        <f t="shared" si="83"/>
        <v>0</v>
      </c>
      <c r="DS134" s="4">
        <f t="shared" si="83"/>
        <v>0</v>
      </c>
      <c r="DT134" s="4">
        <f t="shared" si="83"/>
        <v>0</v>
      </c>
      <c r="DU134" s="4">
        <f t="shared" si="83"/>
        <v>0</v>
      </c>
      <c r="DV134" s="4">
        <f t="shared" si="83"/>
        <v>0</v>
      </c>
      <c r="DW134" s="4">
        <f t="shared" si="83"/>
        <v>0</v>
      </c>
      <c r="DX134" s="4">
        <f t="shared" si="83"/>
        <v>0</v>
      </c>
      <c r="DY134" s="4">
        <f t="shared" si="83"/>
        <v>0</v>
      </c>
      <c r="DZ134" s="4">
        <f t="shared" si="83"/>
        <v>0</v>
      </c>
      <c r="EA134" s="4">
        <f t="shared" si="83"/>
        <v>0</v>
      </c>
      <c r="EB134" s="4">
        <f t="shared" si="83"/>
        <v>0</v>
      </c>
      <c r="EC134" s="4">
        <f t="shared" si="83"/>
        <v>0</v>
      </c>
      <c r="ED134" s="4">
        <f t="shared" si="83"/>
        <v>0</v>
      </c>
      <c r="EE134" s="4">
        <f t="shared" si="83"/>
        <v>0</v>
      </c>
      <c r="EF134" s="4">
        <f t="shared" si="83"/>
        <v>0</v>
      </c>
      <c r="EG134" s="4">
        <f t="shared" si="83"/>
        <v>0</v>
      </c>
      <c r="EH134" s="4">
        <f t="shared" si="83"/>
        <v>0</v>
      </c>
      <c r="EI134" s="4">
        <f t="shared" si="83"/>
        <v>0</v>
      </c>
      <c r="EJ134" s="4">
        <f t="shared" si="83"/>
        <v>0</v>
      </c>
      <c r="EK134" s="4">
        <f t="shared" si="83"/>
        <v>0</v>
      </c>
      <c r="EL134" s="4">
        <f t="shared" si="83"/>
        <v>0</v>
      </c>
      <c r="EM134" s="4">
        <f t="shared" ref="EM134:FR134" si="84">EM150</f>
        <v>0</v>
      </c>
      <c r="EN134" s="4">
        <f t="shared" si="84"/>
        <v>0</v>
      </c>
      <c r="EO134" s="4">
        <f t="shared" si="84"/>
        <v>0</v>
      </c>
      <c r="EP134" s="4">
        <f t="shared" si="84"/>
        <v>0</v>
      </c>
      <c r="EQ134" s="4">
        <f t="shared" si="84"/>
        <v>0</v>
      </c>
      <c r="ER134" s="4">
        <f t="shared" si="84"/>
        <v>0</v>
      </c>
      <c r="ES134" s="4">
        <f t="shared" si="84"/>
        <v>0</v>
      </c>
      <c r="ET134" s="4">
        <f t="shared" si="84"/>
        <v>0</v>
      </c>
      <c r="EU134" s="4">
        <f t="shared" si="84"/>
        <v>0</v>
      </c>
      <c r="EV134" s="4">
        <f t="shared" si="84"/>
        <v>0</v>
      </c>
      <c r="EW134" s="4">
        <f t="shared" si="84"/>
        <v>0</v>
      </c>
      <c r="EX134" s="4">
        <f t="shared" si="84"/>
        <v>0</v>
      </c>
      <c r="EY134" s="4">
        <f t="shared" si="84"/>
        <v>0</v>
      </c>
      <c r="EZ134" s="4">
        <f t="shared" si="84"/>
        <v>0</v>
      </c>
      <c r="FA134" s="4">
        <f t="shared" si="84"/>
        <v>0</v>
      </c>
      <c r="FB134" s="4">
        <f t="shared" si="84"/>
        <v>0</v>
      </c>
      <c r="FC134" s="4">
        <f t="shared" si="84"/>
        <v>0</v>
      </c>
      <c r="FD134" s="4">
        <f t="shared" si="84"/>
        <v>0</v>
      </c>
      <c r="FE134" s="4">
        <f t="shared" si="84"/>
        <v>0</v>
      </c>
      <c r="FF134" s="4">
        <f t="shared" si="84"/>
        <v>0</v>
      </c>
      <c r="FG134" s="4">
        <f t="shared" si="84"/>
        <v>0</v>
      </c>
      <c r="FH134" s="4">
        <f t="shared" si="84"/>
        <v>0</v>
      </c>
      <c r="FI134" s="4">
        <f t="shared" si="84"/>
        <v>0</v>
      </c>
      <c r="FJ134" s="4">
        <f t="shared" si="84"/>
        <v>0</v>
      </c>
      <c r="FK134" s="4">
        <f t="shared" si="84"/>
        <v>0</v>
      </c>
      <c r="FL134" s="4">
        <f t="shared" si="84"/>
        <v>0</v>
      </c>
      <c r="FM134" s="4">
        <f t="shared" si="84"/>
        <v>0</v>
      </c>
      <c r="FN134" s="4">
        <f t="shared" si="84"/>
        <v>0</v>
      </c>
      <c r="FO134" s="4">
        <f t="shared" si="84"/>
        <v>0</v>
      </c>
      <c r="FP134" s="4">
        <f t="shared" si="84"/>
        <v>0</v>
      </c>
      <c r="FQ134" s="4">
        <f t="shared" si="84"/>
        <v>0</v>
      </c>
      <c r="FR134" s="4">
        <f t="shared" si="84"/>
        <v>0</v>
      </c>
      <c r="FS134" s="4">
        <f t="shared" ref="FS134:GX134" si="85">FS150</f>
        <v>0</v>
      </c>
      <c r="FT134" s="4">
        <f t="shared" si="85"/>
        <v>0</v>
      </c>
      <c r="FU134" s="4">
        <f t="shared" si="85"/>
        <v>0</v>
      </c>
      <c r="FV134" s="4">
        <f t="shared" si="85"/>
        <v>0</v>
      </c>
      <c r="FW134" s="4">
        <f t="shared" si="85"/>
        <v>0</v>
      </c>
      <c r="FX134" s="4">
        <f t="shared" si="85"/>
        <v>0</v>
      </c>
      <c r="FY134" s="4">
        <f t="shared" si="85"/>
        <v>0</v>
      </c>
      <c r="FZ134" s="4">
        <f t="shared" si="85"/>
        <v>0</v>
      </c>
      <c r="GA134" s="4">
        <f t="shared" si="85"/>
        <v>0</v>
      </c>
      <c r="GB134" s="4">
        <f t="shared" si="85"/>
        <v>0</v>
      </c>
      <c r="GC134" s="4">
        <f t="shared" si="85"/>
        <v>0</v>
      </c>
      <c r="GD134" s="4">
        <f t="shared" si="85"/>
        <v>0</v>
      </c>
      <c r="GE134" s="4">
        <f t="shared" si="85"/>
        <v>0</v>
      </c>
      <c r="GF134" s="4">
        <f t="shared" si="85"/>
        <v>0</v>
      </c>
      <c r="GG134" s="4">
        <f t="shared" si="85"/>
        <v>0</v>
      </c>
      <c r="GH134" s="4">
        <f t="shared" si="85"/>
        <v>0</v>
      </c>
      <c r="GI134" s="4">
        <f t="shared" si="85"/>
        <v>0</v>
      </c>
      <c r="GJ134" s="4">
        <f t="shared" si="85"/>
        <v>0</v>
      </c>
      <c r="GK134" s="4">
        <f t="shared" si="85"/>
        <v>0</v>
      </c>
      <c r="GL134" s="4">
        <f t="shared" si="85"/>
        <v>0</v>
      </c>
      <c r="GM134" s="4">
        <f t="shared" si="85"/>
        <v>0</v>
      </c>
      <c r="GN134" s="4">
        <f t="shared" si="85"/>
        <v>0</v>
      </c>
      <c r="GO134" s="4">
        <f t="shared" si="85"/>
        <v>0</v>
      </c>
      <c r="GP134" s="4">
        <f t="shared" si="85"/>
        <v>0</v>
      </c>
      <c r="GQ134" s="4">
        <f t="shared" si="85"/>
        <v>0</v>
      </c>
      <c r="GR134" s="4">
        <f t="shared" si="85"/>
        <v>0</v>
      </c>
      <c r="GS134" s="4">
        <f t="shared" si="85"/>
        <v>0</v>
      </c>
      <c r="GT134" s="4">
        <f t="shared" si="85"/>
        <v>0</v>
      </c>
      <c r="GU134" s="4">
        <f t="shared" si="85"/>
        <v>0</v>
      </c>
      <c r="GV134" s="4">
        <f t="shared" si="85"/>
        <v>0</v>
      </c>
      <c r="GW134" s="4">
        <f t="shared" si="85"/>
        <v>0</v>
      </c>
      <c r="GX134" s="4">
        <f t="shared" si="85"/>
        <v>0</v>
      </c>
    </row>
    <row r="136" spans="1:255" x14ac:dyDescent="0.2">
      <c r="A136" s="2">
        <v>17</v>
      </c>
      <c r="B136" s="2">
        <v>1</v>
      </c>
      <c r="C136" s="2">
        <f>ROW(SmtRes!A125)</f>
        <v>125</v>
      </c>
      <c r="D136" s="2">
        <f>ROW(EtalonRes!A138)</f>
        <v>138</v>
      </c>
      <c r="E136" s="2" t="s">
        <v>268</v>
      </c>
      <c r="F136" s="2" t="s">
        <v>117</v>
      </c>
      <c r="G136" s="2" t="s">
        <v>118</v>
      </c>
      <c r="H136" s="2" t="s">
        <v>119</v>
      </c>
      <c r="I136" s="2">
        <f>ROUND(2.25/100,7)</f>
        <v>2.2499999999999999E-2</v>
      </c>
      <c r="J136" s="2">
        <v>0</v>
      </c>
      <c r="K136" s="2">
        <f>ROUND(2.25/100,7)</f>
        <v>2.2499999999999999E-2</v>
      </c>
      <c r="L136" s="2"/>
      <c r="M136" s="2"/>
      <c r="N136" s="2"/>
      <c r="O136" s="2">
        <f t="shared" ref="O136:O148" si="86">ROUND(CP136,2)</f>
        <v>647.58000000000004</v>
      </c>
      <c r="P136" s="2">
        <f>SUMIF(SmtRes!AQ112:'SmtRes'!AQ125,"=1",SmtRes!DF112:'SmtRes'!DF125)</f>
        <v>43.290000000000006</v>
      </c>
      <c r="Q136" s="2">
        <f>SUMIF(SmtRes!AQ112:'SmtRes'!AQ125,"=1",SmtRes!DG112:'SmtRes'!DG125)</f>
        <v>308.91000000000003</v>
      </c>
      <c r="R136" s="2">
        <f>SUMIF(SmtRes!AQ112:'SmtRes'!AQ125,"=1",SmtRes!DH112:'SmtRes'!DH125)</f>
        <v>123.08000000000001</v>
      </c>
      <c r="S136" s="2">
        <f>SUMIF(SmtRes!AQ112:'SmtRes'!AQ125,"=1",SmtRes!DI112:'SmtRes'!DI125)</f>
        <v>172.3</v>
      </c>
      <c r="T136" s="2">
        <f t="shared" ref="T136:T148" si="87">ROUND(CU136*I136,2)</f>
        <v>0</v>
      </c>
      <c r="U136" s="2">
        <f>SUMIF(SmtRes!AQ112:'SmtRes'!AQ125,"=1",SmtRes!CV112:'SmtRes'!CV125)</f>
        <v>0.46147500000000002</v>
      </c>
      <c r="V136" s="2">
        <f>SUMIF(SmtRes!AQ112:'SmtRes'!AQ125,"=1",SmtRes!CW112:'SmtRes'!CW125)</f>
        <v>0.26910000000000001</v>
      </c>
      <c r="W136" s="2">
        <f t="shared" ref="W136:W148" si="88">ROUND(CX136*I136,2)</f>
        <v>0</v>
      </c>
      <c r="X136" s="2">
        <f t="shared" ref="X136:X148" si="89">ROUND(CY136,2)</f>
        <v>345.59</v>
      </c>
      <c r="Y136" s="2">
        <f t="shared" ref="Y136:Y148" si="90">ROUND(CZ136,2)</f>
        <v>218.58</v>
      </c>
      <c r="Z136" s="2"/>
      <c r="AA136" s="2">
        <v>74014550</v>
      </c>
      <c r="AB136" s="2">
        <f t="shared" ref="AB136:AB148" si="91">ROUND((AC136+AD136+AF136),6)</f>
        <v>20759.782739999999</v>
      </c>
      <c r="AC136" s="2">
        <f>ROUND((SUM(SmtRes!BQ112:'SmtRes'!BQ125)),6)</f>
        <v>1420.63104</v>
      </c>
      <c r="AD136" s="2">
        <f>ROUND((((SUM(SmtRes!BR112:'SmtRes'!BR125))-(SUM(SmtRes!BS112:'SmtRes'!BS125)))+AE136),6)</f>
        <v>11681.5381</v>
      </c>
      <c r="AE136" s="2">
        <f>ROUND((SUM(SmtRes!BS112:'SmtRes'!BS125)),6)</f>
        <v>5470.2960000000003</v>
      </c>
      <c r="AF136" s="2">
        <f>ROUND((SUM(SmtRes!BT112:'SmtRes'!BT125)),6)</f>
        <v>7657.6135999999997</v>
      </c>
      <c r="AG136" s="2">
        <f t="shared" ref="AG136:AG148" si="92">ROUND((AP136),6)</f>
        <v>0</v>
      </c>
      <c r="AH136" s="2">
        <f>(SUM(SmtRes!BU112:'SmtRes'!BU125))</f>
        <v>20.51</v>
      </c>
      <c r="AI136" s="2">
        <f>(SUM(SmtRes!BV112:'SmtRes'!BV125))</f>
        <v>11.959999999999999</v>
      </c>
      <c r="AJ136" s="2">
        <f t="shared" ref="AJ136:AJ148" si="93">(AS136)</f>
        <v>0</v>
      </c>
      <c r="AK136" s="2">
        <v>26230.078739599998</v>
      </c>
      <c r="AL136" s="2">
        <v>1420.6310395999999</v>
      </c>
      <c r="AM136" s="2">
        <v>11681.5381</v>
      </c>
      <c r="AN136" s="2">
        <v>5470.2959999999994</v>
      </c>
      <c r="AO136" s="2">
        <v>7657.6136000000006</v>
      </c>
      <c r="AP136" s="2">
        <v>0</v>
      </c>
      <c r="AQ136" s="2">
        <v>20.51</v>
      </c>
      <c r="AR136" s="2">
        <v>11.959999999999999</v>
      </c>
      <c r="AS136" s="2">
        <v>0</v>
      </c>
      <c r="AT136" s="2">
        <v>117</v>
      </c>
      <c r="AU136" s="2">
        <v>74</v>
      </c>
      <c r="AV136" s="2">
        <v>1</v>
      </c>
      <c r="AW136" s="2">
        <v>1</v>
      </c>
      <c r="AX136" s="2"/>
      <c r="AY136" s="2"/>
      <c r="AZ136" s="2">
        <v>1</v>
      </c>
      <c r="BA136" s="2">
        <v>1</v>
      </c>
      <c r="BB136" s="2">
        <v>1</v>
      </c>
      <c r="BC136" s="2">
        <v>1</v>
      </c>
      <c r="BD136" s="2" t="s">
        <v>3</v>
      </c>
      <c r="BE136" s="2" t="s">
        <v>3</v>
      </c>
      <c r="BF136" s="2" t="s">
        <v>3</v>
      </c>
      <c r="BG136" s="2" t="s">
        <v>3</v>
      </c>
      <c r="BH136" s="2">
        <v>0</v>
      </c>
      <c r="BI136" s="2">
        <v>1</v>
      </c>
      <c r="BJ136" s="2" t="s">
        <v>120</v>
      </c>
      <c r="BK136" s="2"/>
      <c r="BL136" s="2"/>
      <c r="BM136" s="2">
        <v>24001</v>
      </c>
      <c r="BN136" s="2">
        <v>0</v>
      </c>
      <c r="BO136" s="2" t="s">
        <v>3</v>
      </c>
      <c r="BP136" s="2">
        <v>0</v>
      </c>
      <c r="BQ136" s="2">
        <v>2</v>
      </c>
      <c r="BR136" s="2">
        <v>0</v>
      </c>
      <c r="BS136" s="2">
        <v>1</v>
      </c>
      <c r="BT136" s="2">
        <v>1</v>
      </c>
      <c r="BU136" s="2">
        <v>1</v>
      </c>
      <c r="BV136" s="2">
        <v>1</v>
      </c>
      <c r="BW136" s="2">
        <v>1</v>
      </c>
      <c r="BX136" s="2">
        <v>1</v>
      </c>
      <c r="BY136" s="2" t="s">
        <v>3</v>
      </c>
      <c r="BZ136" s="2">
        <v>117</v>
      </c>
      <c r="CA136" s="2">
        <v>74</v>
      </c>
      <c r="CB136" s="2" t="s">
        <v>3</v>
      </c>
      <c r="CC136" s="2"/>
      <c r="CD136" s="2"/>
      <c r="CE136" s="2">
        <v>0</v>
      </c>
      <c r="CF136" s="2">
        <v>0</v>
      </c>
      <c r="CG136" s="2">
        <v>0</v>
      </c>
      <c r="CH136" s="2"/>
      <c r="CI136" s="2"/>
      <c r="CJ136" s="2"/>
      <c r="CK136" s="2"/>
      <c r="CL136" s="2"/>
      <c r="CM136" s="2">
        <v>0</v>
      </c>
      <c r="CN136" s="2" t="s">
        <v>3</v>
      </c>
      <c r="CO136" s="2">
        <v>0</v>
      </c>
      <c r="CP136" s="2">
        <f t="shared" ref="CP136:CP148" si="94">(P136+Q136+S136+R136)</f>
        <v>647.58000000000004</v>
      </c>
      <c r="CQ136" s="2">
        <f>SUMIF(SmtRes!AQ112:'SmtRes'!AQ125,"=1",SmtRes!AA112:'SmtRes'!AA125)</f>
        <v>867589.44</v>
      </c>
      <c r="CR136" s="2">
        <f>SUMIF(SmtRes!AQ112:'SmtRes'!AQ125,"=1",SmtRes!AB112:'SmtRes'!AB125)</f>
        <v>1640.6100000000001</v>
      </c>
      <c r="CS136" s="2">
        <f>SUMIF(SmtRes!AQ112:'SmtRes'!AQ125,"=1",SmtRes!AC112:'SmtRes'!AC125)</f>
        <v>860.22</v>
      </c>
      <c r="CT136" s="2">
        <f>SUMIF(SmtRes!AQ112:'SmtRes'!AQ125,"=1",SmtRes!AD112:'SmtRes'!AD125)</f>
        <v>373.36</v>
      </c>
      <c r="CU136" s="2">
        <f t="shared" ref="CU136:CU148" si="95">AG136</f>
        <v>0</v>
      </c>
      <c r="CV136" s="2">
        <f>SUMIF(SmtRes!AQ112:'SmtRes'!AQ125,"=1",SmtRes!BU112:'SmtRes'!BU125)</f>
        <v>20.51</v>
      </c>
      <c r="CW136" s="2">
        <f>SUMIF(SmtRes!AQ112:'SmtRes'!AQ125,"=1",SmtRes!BV112:'SmtRes'!BV125)</f>
        <v>11.959999999999999</v>
      </c>
      <c r="CX136" s="2">
        <f t="shared" ref="CX136:CX148" si="96">AJ136</f>
        <v>0</v>
      </c>
      <c r="CY136" s="2">
        <f>(((S136+R136)*AT136)/100)</f>
        <v>345.59460000000001</v>
      </c>
      <c r="CZ136" s="2">
        <f>(((S136+R136)*AU136)/100)</f>
        <v>218.5812</v>
      </c>
      <c r="DA136" s="2"/>
      <c r="DB136" s="2"/>
      <c r="DC136" s="2" t="s">
        <v>3</v>
      </c>
      <c r="DD136" s="2" t="s">
        <v>3</v>
      </c>
      <c r="DE136" s="2" t="s">
        <v>3</v>
      </c>
      <c r="DF136" s="2" t="s">
        <v>3</v>
      </c>
      <c r="DG136" s="2" t="s">
        <v>3</v>
      </c>
      <c r="DH136" s="2" t="s">
        <v>3</v>
      </c>
      <c r="DI136" s="2" t="s">
        <v>3</v>
      </c>
      <c r="DJ136" s="2" t="s">
        <v>3</v>
      </c>
      <c r="DK136" s="2" t="s">
        <v>3</v>
      </c>
      <c r="DL136" s="2" t="s">
        <v>3</v>
      </c>
      <c r="DM136" s="2" t="s">
        <v>3</v>
      </c>
      <c r="DN136" s="2">
        <v>0</v>
      </c>
      <c r="DO136" s="2">
        <v>0</v>
      </c>
      <c r="DP136" s="2">
        <v>1</v>
      </c>
      <c r="DQ136" s="2">
        <v>1</v>
      </c>
      <c r="DR136" s="2"/>
      <c r="DS136" s="2"/>
      <c r="DT136" s="2"/>
      <c r="DU136" s="2">
        <v>1003</v>
      </c>
      <c r="DV136" s="2" t="s">
        <v>119</v>
      </c>
      <c r="DW136" s="2" t="s">
        <v>119</v>
      </c>
      <c r="DX136" s="2">
        <v>100</v>
      </c>
      <c r="DY136" s="2"/>
      <c r="DZ136" s="2" t="s">
        <v>3</v>
      </c>
      <c r="EA136" s="2" t="s">
        <v>3</v>
      </c>
      <c r="EB136" s="2" t="s">
        <v>3</v>
      </c>
      <c r="EC136" s="2" t="s">
        <v>3</v>
      </c>
      <c r="ED136" s="2"/>
      <c r="EE136" s="2">
        <v>72340632</v>
      </c>
      <c r="EF136" s="2">
        <v>2</v>
      </c>
      <c r="EG136" s="2" t="s">
        <v>23</v>
      </c>
      <c r="EH136" s="2">
        <v>18</v>
      </c>
      <c r="EI136" s="2" t="s">
        <v>41</v>
      </c>
      <c r="EJ136" s="2">
        <v>1</v>
      </c>
      <c r="EK136" s="2">
        <v>24001</v>
      </c>
      <c r="EL136" s="2" t="s">
        <v>41</v>
      </c>
      <c r="EM136" s="2" t="s">
        <v>121</v>
      </c>
      <c r="EN136" s="2"/>
      <c r="EO136" s="2" t="s">
        <v>3</v>
      </c>
      <c r="EP136" s="2"/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20.51</v>
      </c>
      <c r="EX136" s="2">
        <v>11.96</v>
      </c>
      <c r="EY136" s="2">
        <v>0</v>
      </c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>
        <v>0</v>
      </c>
      <c r="FR136" s="2">
        <v>0</v>
      </c>
      <c r="FS136" s="2">
        <v>0</v>
      </c>
      <c r="FT136" s="2"/>
      <c r="FU136" s="2"/>
      <c r="FV136" s="2"/>
      <c r="FW136" s="2"/>
      <c r="FX136" s="2">
        <v>117</v>
      </c>
      <c r="FY136" s="2">
        <v>74</v>
      </c>
      <c r="FZ136" s="2"/>
      <c r="GA136" s="2" t="s">
        <v>3</v>
      </c>
      <c r="GB136" s="2"/>
      <c r="GC136" s="2"/>
      <c r="GD136" s="2">
        <v>1</v>
      </c>
      <c r="GE136" s="2"/>
      <c r="GF136" s="2">
        <v>-46601497</v>
      </c>
      <c r="GG136" s="2">
        <v>2</v>
      </c>
      <c r="GH136" s="2">
        <v>1</v>
      </c>
      <c r="GI136" s="2">
        <v>-2</v>
      </c>
      <c r="GJ136" s="2">
        <v>0</v>
      </c>
      <c r="GK136" s="2">
        <v>0</v>
      </c>
      <c r="GL136" s="2">
        <f t="shared" ref="GL136:GL148" si="97">ROUND(IF(AND(BH136=3,BI136=3,FS136&lt;&gt;0),P136,0),2)</f>
        <v>0</v>
      </c>
      <c r="GM136" s="2">
        <f t="shared" ref="GM136:GM148" si="98">ROUND(O136+X136+Y136,2)+GX136</f>
        <v>1211.75</v>
      </c>
      <c r="GN136" s="2">
        <f t="shared" ref="GN136:GN148" si="99">IF(OR(BI136=0,BI136=1),GM136-GX136,0)</f>
        <v>1211.75</v>
      </c>
      <c r="GO136" s="2">
        <f t="shared" ref="GO136:GO148" si="100">IF(BI136=2,GM136-GX136,0)</f>
        <v>0</v>
      </c>
      <c r="GP136" s="2">
        <f t="shared" ref="GP136:GP148" si="101">IF(BI136=4,GM136-GX136,0)</f>
        <v>0</v>
      </c>
      <c r="GQ136" s="2"/>
      <c r="GR136" s="2">
        <v>0</v>
      </c>
      <c r="GS136" s="2">
        <v>3</v>
      </c>
      <c r="GT136" s="2">
        <v>0</v>
      </c>
      <c r="GU136" s="2" t="s">
        <v>3</v>
      </c>
      <c r="GV136" s="2">
        <f t="shared" ref="GV136:GV148" si="102">ROUND((GT136),6)</f>
        <v>0</v>
      </c>
      <c r="GW136" s="2">
        <v>1</v>
      </c>
      <c r="GX136" s="2">
        <f t="shared" ref="GX136:GX148" si="103">ROUND(HC136*I136,2)</f>
        <v>0</v>
      </c>
      <c r="GY136" s="2"/>
      <c r="GZ136" s="2"/>
      <c r="HA136" s="2">
        <v>0</v>
      </c>
      <c r="HB136" s="2">
        <v>0</v>
      </c>
      <c r="HC136" s="2">
        <f t="shared" ref="HC136:HC148" si="104">GV136*GW136</f>
        <v>0</v>
      </c>
      <c r="HD136" s="2"/>
      <c r="HE136" s="2" t="s">
        <v>3</v>
      </c>
      <c r="HF136" s="2" t="s">
        <v>3</v>
      </c>
      <c r="HG136" s="2"/>
      <c r="HH136" s="2"/>
      <c r="HI136" s="2"/>
      <c r="HJ136" s="2"/>
      <c r="HK136" s="2"/>
      <c r="HL136" s="2"/>
      <c r="HM136" s="2" t="s">
        <v>3</v>
      </c>
      <c r="HN136" s="2" t="s">
        <v>43</v>
      </c>
      <c r="HO136" s="2" t="s">
        <v>44</v>
      </c>
      <c r="HP136" s="2" t="s">
        <v>41</v>
      </c>
      <c r="HQ136" s="2" t="s">
        <v>41</v>
      </c>
      <c r="HR136" s="2"/>
      <c r="HS136" s="2">
        <v>0</v>
      </c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>
        <v>0</v>
      </c>
      <c r="IL136" s="2"/>
      <c r="IM136" s="2"/>
      <c r="IN136" s="2"/>
      <c r="IO136" s="2"/>
      <c r="IP136" s="2"/>
      <c r="IQ136" s="2"/>
      <c r="IR136" s="2"/>
      <c r="IS136" s="2"/>
      <c r="IT136" s="2"/>
      <c r="IU136" s="2"/>
    </row>
    <row r="137" spans="1:255" x14ac:dyDescent="0.2">
      <c r="A137" s="2">
        <v>17</v>
      </c>
      <c r="B137" s="2">
        <v>1</v>
      </c>
      <c r="C137" s="2"/>
      <c r="D137" s="2"/>
      <c r="E137" s="2" t="s">
        <v>269</v>
      </c>
      <c r="F137" s="2" t="s">
        <v>270</v>
      </c>
      <c r="G137" s="2" t="s">
        <v>271</v>
      </c>
      <c r="H137" s="2" t="s">
        <v>125</v>
      </c>
      <c r="I137" s="2">
        <v>2.25</v>
      </c>
      <c r="J137" s="2">
        <v>0</v>
      </c>
      <c r="K137" s="2">
        <v>2.25</v>
      </c>
      <c r="L137" s="2"/>
      <c r="M137" s="2"/>
      <c r="N137" s="2"/>
      <c r="O137" s="2">
        <f t="shared" si="86"/>
        <v>405.56</v>
      </c>
      <c r="P137" s="2">
        <f>ROUND(CQ137*I137,2)</f>
        <v>405.56</v>
      </c>
      <c r="Q137" s="2">
        <f>ROUND(CR137*I137,2)</f>
        <v>0</v>
      </c>
      <c r="R137" s="2">
        <f>ROUND(CS137*I137,2)</f>
        <v>0</v>
      </c>
      <c r="S137" s="2">
        <f>ROUND(CT137*I137,2)</f>
        <v>0</v>
      </c>
      <c r="T137" s="2">
        <f t="shared" si="87"/>
        <v>0</v>
      </c>
      <c r="U137" s="2">
        <f>ROUND(CV137*I137,7)</f>
        <v>0</v>
      </c>
      <c r="V137" s="2">
        <f>ROUND(CW137*I137,7)</f>
        <v>0</v>
      </c>
      <c r="W137" s="2">
        <f t="shared" si="88"/>
        <v>0</v>
      </c>
      <c r="X137" s="2">
        <f t="shared" si="89"/>
        <v>0</v>
      </c>
      <c r="Y137" s="2">
        <f t="shared" si="90"/>
        <v>0</v>
      </c>
      <c r="Z137" s="2"/>
      <c r="AA137" s="2">
        <v>74014550</v>
      </c>
      <c r="AB137" s="2">
        <f t="shared" si="91"/>
        <v>243.58</v>
      </c>
      <c r="AC137" s="2">
        <f>ROUND((ES137),6)</f>
        <v>243.58</v>
      </c>
      <c r="AD137" s="2">
        <f>ROUND((((ET137)-(EU137))+AE137),6)</f>
        <v>0</v>
      </c>
      <c r="AE137" s="2">
        <f>ROUND((EU137),6)</f>
        <v>0</v>
      </c>
      <c r="AF137" s="2">
        <f>ROUND((EV137),6)</f>
        <v>0</v>
      </c>
      <c r="AG137" s="2">
        <f t="shared" si="92"/>
        <v>0</v>
      </c>
      <c r="AH137" s="2">
        <f>(EW137)</f>
        <v>0</v>
      </c>
      <c r="AI137" s="2">
        <f>(EX137)</f>
        <v>0</v>
      </c>
      <c r="AJ137" s="2">
        <f t="shared" si="93"/>
        <v>0</v>
      </c>
      <c r="AK137" s="2">
        <v>243.58</v>
      </c>
      <c r="AL137" s="2">
        <v>243.58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1</v>
      </c>
      <c r="AW137" s="2">
        <v>1</v>
      </c>
      <c r="AX137" s="2"/>
      <c r="AY137" s="2"/>
      <c r="AZ137" s="2">
        <v>1</v>
      </c>
      <c r="BA137" s="2">
        <v>1</v>
      </c>
      <c r="BB137" s="2">
        <v>1</v>
      </c>
      <c r="BC137" s="2">
        <v>0.74</v>
      </c>
      <c r="BD137" s="2" t="s">
        <v>3</v>
      </c>
      <c r="BE137" s="2" t="s">
        <v>3</v>
      </c>
      <c r="BF137" s="2" t="s">
        <v>3</v>
      </c>
      <c r="BG137" s="2" t="s">
        <v>3</v>
      </c>
      <c r="BH137" s="2">
        <v>3</v>
      </c>
      <c r="BI137" s="2">
        <v>1</v>
      </c>
      <c r="BJ137" s="2" t="s">
        <v>272</v>
      </c>
      <c r="BK137" s="2"/>
      <c r="BL137" s="2"/>
      <c r="BM137" s="2">
        <v>500001</v>
      </c>
      <c r="BN137" s="2">
        <v>0</v>
      </c>
      <c r="BO137" s="2" t="s">
        <v>270</v>
      </c>
      <c r="BP137" s="2">
        <v>1</v>
      </c>
      <c r="BQ137" s="2">
        <v>8</v>
      </c>
      <c r="BR137" s="2">
        <v>0</v>
      </c>
      <c r="BS137" s="2">
        <v>1</v>
      </c>
      <c r="BT137" s="2">
        <v>1</v>
      </c>
      <c r="BU137" s="2">
        <v>1</v>
      </c>
      <c r="BV137" s="2">
        <v>1</v>
      </c>
      <c r="BW137" s="2">
        <v>1</v>
      </c>
      <c r="BX137" s="2">
        <v>1</v>
      </c>
      <c r="BY137" s="2" t="s">
        <v>3</v>
      </c>
      <c r="BZ137" s="2">
        <v>0</v>
      </c>
      <c r="CA137" s="2">
        <v>0</v>
      </c>
      <c r="CB137" s="2" t="s">
        <v>3</v>
      </c>
      <c r="CC137" s="2"/>
      <c r="CD137" s="2"/>
      <c r="CE137" s="2">
        <v>0</v>
      </c>
      <c r="CF137" s="2">
        <v>0</v>
      </c>
      <c r="CG137" s="2">
        <v>0</v>
      </c>
      <c r="CH137" s="2"/>
      <c r="CI137" s="2"/>
      <c r="CJ137" s="2"/>
      <c r="CK137" s="2"/>
      <c r="CL137" s="2"/>
      <c r="CM137" s="2">
        <v>0</v>
      </c>
      <c r="CN137" s="2" t="s">
        <v>3</v>
      </c>
      <c r="CO137" s="2">
        <v>0</v>
      </c>
      <c r="CP137" s="2">
        <f t="shared" si="94"/>
        <v>405.56</v>
      </c>
      <c r="CQ137" s="2">
        <f>ROUND(AL137*BC137,2)</f>
        <v>180.25</v>
      </c>
      <c r="CR137" s="2">
        <f>ROUND(AM137*BB137,2)</f>
        <v>0</v>
      </c>
      <c r="CS137" s="2">
        <f>ROUND(AN137*BS137,2)</f>
        <v>0</v>
      </c>
      <c r="CT137" s="2">
        <f>ROUND(AO137*BA137,2)</f>
        <v>0</v>
      </c>
      <c r="CU137" s="2">
        <f t="shared" si="95"/>
        <v>0</v>
      </c>
      <c r="CV137" s="2">
        <f>AH137</f>
        <v>0</v>
      </c>
      <c r="CW137" s="2">
        <f>AI137</f>
        <v>0</v>
      </c>
      <c r="CX137" s="2">
        <f t="shared" si="96"/>
        <v>0</v>
      </c>
      <c r="CY137" s="2">
        <f>0</f>
        <v>0</v>
      </c>
      <c r="CZ137" s="2">
        <f>0</f>
        <v>0</v>
      </c>
      <c r="DA137" s="2"/>
      <c r="DB137" s="2"/>
      <c r="DC137" s="2" t="s">
        <v>3</v>
      </c>
      <c r="DD137" s="2" t="s">
        <v>3</v>
      </c>
      <c r="DE137" s="2" t="s">
        <v>3</v>
      </c>
      <c r="DF137" s="2" t="s">
        <v>3</v>
      </c>
      <c r="DG137" s="2" t="s">
        <v>3</v>
      </c>
      <c r="DH137" s="2" t="s">
        <v>3</v>
      </c>
      <c r="DI137" s="2" t="s">
        <v>3</v>
      </c>
      <c r="DJ137" s="2" t="s">
        <v>3</v>
      </c>
      <c r="DK137" s="2" t="s">
        <v>3</v>
      </c>
      <c r="DL137" s="2" t="s">
        <v>3</v>
      </c>
      <c r="DM137" s="2" t="s">
        <v>3</v>
      </c>
      <c r="DN137" s="2">
        <v>0</v>
      </c>
      <c r="DO137" s="2">
        <v>0</v>
      </c>
      <c r="DP137" s="2">
        <v>1</v>
      </c>
      <c r="DQ137" s="2">
        <v>1</v>
      </c>
      <c r="DR137" s="2"/>
      <c r="DS137" s="2"/>
      <c r="DT137" s="2"/>
      <c r="DU137" s="2">
        <v>1003</v>
      </c>
      <c r="DV137" s="2" t="s">
        <v>125</v>
      </c>
      <c r="DW137" s="2" t="s">
        <v>125</v>
      </c>
      <c r="DX137" s="2">
        <v>1</v>
      </c>
      <c r="DY137" s="2"/>
      <c r="DZ137" s="2" t="s">
        <v>3</v>
      </c>
      <c r="EA137" s="2" t="s">
        <v>3</v>
      </c>
      <c r="EB137" s="2" t="s">
        <v>3</v>
      </c>
      <c r="EC137" s="2" t="s">
        <v>3</v>
      </c>
      <c r="ED137" s="2"/>
      <c r="EE137" s="2">
        <v>72340530</v>
      </c>
      <c r="EF137" s="2">
        <v>8</v>
      </c>
      <c r="EG137" s="2" t="s">
        <v>50</v>
      </c>
      <c r="EH137" s="2">
        <v>0</v>
      </c>
      <c r="EI137" s="2" t="s">
        <v>3</v>
      </c>
      <c r="EJ137" s="2">
        <v>1</v>
      </c>
      <c r="EK137" s="2">
        <v>500001</v>
      </c>
      <c r="EL137" s="2" t="s">
        <v>51</v>
      </c>
      <c r="EM137" s="2" t="s">
        <v>52</v>
      </c>
      <c r="EN137" s="2"/>
      <c r="EO137" s="2" t="s">
        <v>3</v>
      </c>
      <c r="EP137" s="2"/>
      <c r="EQ137" s="2">
        <v>0</v>
      </c>
      <c r="ER137" s="2">
        <v>243.58</v>
      </c>
      <c r="ES137" s="2">
        <v>243.58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>
        <v>0</v>
      </c>
      <c r="FR137" s="2">
        <v>0</v>
      </c>
      <c r="FS137" s="2">
        <v>0</v>
      </c>
      <c r="FT137" s="2"/>
      <c r="FU137" s="2"/>
      <c r="FV137" s="2"/>
      <c r="FW137" s="2"/>
      <c r="FX137" s="2">
        <v>0</v>
      </c>
      <c r="FY137" s="2">
        <v>0</v>
      </c>
      <c r="FZ137" s="2"/>
      <c r="GA137" s="2" t="s">
        <v>3</v>
      </c>
      <c r="GB137" s="2"/>
      <c r="GC137" s="2"/>
      <c r="GD137" s="2">
        <v>1</v>
      </c>
      <c r="GE137" s="2"/>
      <c r="GF137" s="2">
        <v>-192582927</v>
      </c>
      <c r="GG137" s="2">
        <v>2</v>
      </c>
      <c r="GH137" s="2">
        <v>1</v>
      </c>
      <c r="GI137" s="2">
        <v>2</v>
      </c>
      <c r="GJ137" s="2">
        <v>0</v>
      </c>
      <c r="GK137" s="2">
        <v>0</v>
      </c>
      <c r="GL137" s="2">
        <f t="shared" si="97"/>
        <v>0</v>
      </c>
      <c r="GM137" s="2">
        <f t="shared" si="98"/>
        <v>405.56</v>
      </c>
      <c r="GN137" s="2">
        <f t="shared" si="99"/>
        <v>405.56</v>
      </c>
      <c r="GO137" s="2">
        <f t="shared" si="100"/>
        <v>0</v>
      </c>
      <c r="GP137" s="2">
        <f t="shared" si="101"/>
        <v>0</v>
      </c>
      <c r="GQ137" s="2"/>
      <c r="GR137" s="2">
        <v>0</v>
      </c>
      <c r="GS137" s="2">
        <v>0</v>
      </c>
      <c r="GT137" s="2">
        <v>0</v>
      </c>
      <c r="GU137" s="2" t="s">
        <v>3</v>
      </c>
      <c r="GV137" s="2">
        <f t="shared" si="102"/>
        <v>0</v>
      </c>
      <c r="GW137" s="2">
        <v>1</v>
      </c>
      <c r="GX137" s="2">
        <f t="shared" si="103"/>
        <v>0</v>
      </c>
      <c r="GY137" s="2"/>
      <c r="GZ137" s="2"/>
      <c r="HA137" s="2">
        <v>0</v>
      </c>
      <c r="HB137" s="2">
        <v>0</v>
      </c>
      <c r="HC137" s="2">
        <f t="shared" si="104"/>
        <v>0</v>
      </c>
      <c r="HD137" s="2"/>
      <c r="HE137" s="2" t="s">
        <v>3</v>
      </c>
      <c r="HF137" s="2" t="s">
        <v>3</v>
      </c>
      <c r="HG137" s="2"/>
      <c r="HH137" s="2"/>
      <c r="HI137" s="2"/>
      <c r="HJ137" s="2"/>
      <c r="HK137" s="2"/>
      <c r="HL137" s="2"/>
      <c r="HM137" s="2" t="s">
        <v>3</v>
      </c>
      <c r="HN137" s="2" t="s">
        <v>3</v>
      </c>
      <c r="HO137" s="2" t="s">
        <v>3</v>
      </c>
      <c r="HP137" s="2" t="s">
        <v>3</v>
      </c>
      <c r="HQ137" s="2" t="s">
        <v>3</v>
      </c>
      <c r="HR137" s="2"/>
      <c r="HS137" s="2">
        <v>0</v>
      </c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>
        <v>0</v>
      </c>
      <c r="IL137" s="2"/>
      <c r="IM137" s="2"/>
      <c r="IN137" s="2"/>
      <c r="IO137" s="2"/>
      <c r="IP137" s="2"/>
      <c r="IQ137" s="2"/>
      <c r="IR137" s="2"/>
      <c r="IS137" s="2"/>
      <c r="IT137" s="2"/>
      <c r="IU137" s="2"/>
    </row>
    <row r="138" spans="1:255" x14ac:dyDescent="0.2">
      <c r="A138" s="2">
        <v>17</v>
      </c>
      <c r="B138" s="2">
        <v>1</v>
      </c>
      <c r="C138" s="2">
        <f>ROW(SmtRes!A130)</f>
        <v>130</v>
      </c>
      <c r="D138" s="2">
        <f>ROW(EtalonRes!A143)</f>
        <v>143</v>
      </c>
      <c r="E138" s="2" t="s">
        <v>273</v>
      </c>
      <c r="F138" s="2" t="s">
        <v>274</v>
      </c>
      <c r="G138" s="2" t="s">
        <v>275</v>
      </c>
      <c r="H138" s="2" t="s">
        <v>130</v>
      </c>
      <c r="I138" s="2">
        <v>3</v>
      </c>
      <c r="J138" s="2">
        <v>0</v>
      </c>
      <c r="K138" s="2">
        <v>3</v>
      </c>
      <c r="L138" s="2"/>
      <c r="M138" s="2"/>
      <c r="N138" s="2"/>
      <c r="O138" s="2">
        <f t="shared" si="86"/>
        <v>1537.75</v>
      </c>
      <c r="P138" s="2">
        <f>SUMIF(SmtRes!AQ126:'SmtRes'!AQ130,"=1",SmtRes!DF126:'SmtRes'!DF130)</f>
        <v>39.56</v>
      </c>
      <c r="Q138" s="2">
        <f>SUMIF(SmtRes!AQ126:'SmtRes'!AQ130,"=1",SmtRes!DG126:'SmtRes'!DG130)</f>
        <v>808.22</v>
      </c>
      <c r="R138" s="2">
        <f>SUMIF(SmtRes!AQ126:'SmtRes'!AQ130,"=1",SmtRes!DH126:'SmtRes'!DH130)</f>
        <v>248.39</v>
      </c>
      <c r="S138" s="2">
        <f>SUMIF(SmtRes!AQ126:'SmtRes'!AQ130,"=1",SmtRes!DI126:'SmtRes'!DI130)</f>
        <v>441.58</v>
      </c>
      <c r="T138" s="2">
        <f t="shared" si="87"/>
        <v>0</v>
      </c>
      <c r="U138" s="2">
        <f>SUMIF(SmtRes!AQ126:'SmtRes'!AQ130,"=1",SmtRes!CV126:'SmtRes'!CV130)</f>
        <v>0.96</v>
      </c>
      <c r="V138" s="2">
        <f>SUMIF(SmtRes!AQ126:'SmtRes'!AQ130,"=1",SmtRes!CW126:'SmtRes'!CW130)</f>
        <v>0.54</v>
      </c>
      <c r="W138" s="2">
        <f t="shared" si="88"/>
        <v>0</v>
      </c>
      <c r="X138" s="2">
        <f t="shared" si="89"/>
        <v>807.26</v>
      </c>
      <c r="Y138" s="2">
        <f t="shared" si="90"/>
        <v>510.58</v>
      </c>
      <c r="Z138" s="2"/>
      <c r="AA138" s="2">
        <v>74014550</v>
      </c>
      <c r="AB138" s="2">
        <f t="shared" si="91"/>
        <v>352.81299999999999</v>
      </c>
      <c r="AC138" s="2">
        <f>ROUND((SUM(SmtRes!BQ126:'SmtRes'!BQ130)),6)</f>
        <v>13.185</v>
      </c>
      <c r="AD138" s="2">
        <f>ROUND((((SUM(SmtRes!BR126:'SmtRes'!BR130))-(SUM(SmtRes!BS126:'SmtRes'!BS130)))+AE138),6)</f>
        <v>192.43440000000001</v>
      </c>
      <c r="AE138" s="2">
        <f>ROUND((SUM(SmtRes!BS126:'SmtRes'!BS130)),6)</f>
        <v>82.796400000000006</v>
      </c>
      <c r="AF138" s="2">
        <f>ROUND((SUM(SmtRes!BT126:'SmtRes'!BT130)),6)</f>
        <v>147.1936</v>
      </c>
      <c r="AG138" s="2">
        <f t="shared" si="92"/>
        <v>0</v>
      </c>
      <c r="AH138" s="2">
        <f>(SUM(SmtRes!BU126:'SmtRes'!BU130))</f>
        <v>0.32</v>
      </c>
      <c r="AI138" s="2">
        <f>(SUM(SmtRes!BV126:'SmtRes'!BV130))</f>
        <v>0.18</v>
      </c>
      <c r="AJ138" s="2">
        <f t="shared" si="93"/>
        <v>0</v>
      </c>
      <c r="AK138" s="2">
        <v>435.60939999999999</v>
      </c>
      <c r="AL138" s="2">
        <v>13.185</v>
      </c>
      <c r="AM138" s="2">
        <v>192.43439999999998</v>
      </c>
      <c r="AN138" s="2">
        <v>82.796400000000006</v>
      </c>
      <c r="AO138" s="2">
        <v>147.1936</v>
      </c>
      <c r="AP138" s="2">
        <v>0</v>
      </c>
      <c r="AQ138" s="2">
        <v>0.32</v>
      </c>
      <c r="AR138" s="2">
        <v>0.18</v>
      </c>
      <c r="AS138" s="2">
        <v>0</v>
      </c>
      <c r="AT138" s="2">
        <v>117</v>
      </c>
      <c r="AU138" s="2">
        <v>74</v>
      </c>
      <c r="AV138" s="2">
        <v>1</v>
      </c>
      <c r="AW138" s="2">
        <v>1</v>
      </c>
      <c r="AX138" s="2"/>
      <c r="AY138" s="2"/>
      <c r="AZ138" s="2">
        <v>1</v>
      </c>
      <c r="BA138" s="2">
        <v>1</v>
      </c>
      <c r="BB138" s="2">
        <v>1</v>
      </c>
      <c r="BC138" s="2">
        <v>1</v>
      </c>
      <c r="BD138" s="2" t="s">
        <v>3</v>
      </c>
      <c r="BE138" s="2" t="s">
        <v>3</v>
      </c>
      <c r="BF138" s="2" t="s">
        <v>3</v>
      </c>
      <c r="BG138" s="2" t="s">
        <v>3</v>
      </c>
      <c r="BH138" s="2">
        <v>0</v>
      </c>
      <c r="BI138" s="2">
        <v>1</v>
      </c>
      <c r="BJ138" s="2" t="s">
        <v>276</v>
      </c>
      <c r="BK138" s="2"/>
      <c r="BL138" s="2"/>
      <c r="BM138" s="2">
        <v>22001</v>
      </c>
      <c r="BN138" s="2">
        <v>0</v>
      </c>
      <c r="BO138" s="2" t="s">
        <v>3</v>
      </c>
      <c r="BP138" s="2">
        <v>0</v>
      </c>
      <c r="BQ138" s="2">
        <v>2</v>
      </c>
      <c r="BR138" s="2">
        <v>0</v>
      </c>
      <c r="BS138" s="2">
        <v>1</v>
      </c>
      <c r="BT138" s="2">
        <v>1</v>
      </c>
      <c r="BU138" s="2">
        <v>1</v>
      </c>
      <c r="BV138" s="2">
        <v>1</v>
      </c>
      <c r="BW138" s="2">
        <v>1</v>
      </c>
      <c r="BX138" s="2">
        <v>1</v>
      </c>
      <c r="BY138" s="2" t="s">
        <v>3</v>
      </c>
      <c r="BZ138" s="2">
        <v>117</v>
      </c>
      <c r="CA138" s="2">
        <v>74</v>
      </c>
      <c r="CB138" s="2" t="s">
        <v>3</v>
      </c>
      <c r="CC138" s="2"/>
      <c r="CD138" s="2"/>
      <c r="CE138" s="2">
        <v>0</v>
      </c>
      <c r="CF138" s="2">
        <v>0</v>
      </c>
      <c r="CG138" s="2">
        <v>0</v>
      </c>
      <c r="CH138" s="2"/>
      <c r="CI138" s="2"/>
      <c r="CJ138" s="2"/>
      <c r="CK138" s="2"/>
      <c r="CL138" s="2"/>
      <c r="CM138" s="2">
        <v>0</v>
      </c>
      <c r="CN138" s="2" t="s">
        <v>3</v>
      </c>
      <c r="CO138" s="2">
        <v>0</v>
      </c>
      <c r="CP138" s="2">
        <f t="shared" si="94"/>
        <v>1537.75</v>
      </c>
      <c r="CQ138" s="2">
        <f>SUMIF(SmtRes!AQ126:'SmtRes'!AQ130,"=1",SmtRes!AA126:'SmtRes'!AA130)</f>
        <v>131.85</v>
      </c>
      <c r="CR138" s="2">
        <f>SUMIF(SmtRes!AQ126:'SmtRes'!AQ130,"=1",SmtRes!AB126:'SmtRes'!AB130)</f>
        <v>1496.71</v>
      </c>
      <c r="CS138" s="2">
        <f>SUMIF(SmtRes!AQ126:'SmtRes'!AQ130,"=1",SmtRes!AC126:'SmtRes'!AC130)</f>
        <v>459.98</v>
      </c>
      <c r="CT138" s="2">
        <f>SUMIF(SmtRes!AQ126:'SmtRes'!AQ130,"=1",SmtRes!AD126:'SmtRes'!AD130)</f>
        <v>459.98</v>
      </c>
      <c r="CU138" s="2">
        <f t="shared" si="95"/>
        <v>0</v>
      </c>
      <c r="CV138" s="2">
        <f>SUMIF(SmtRes!AQ126:'SmtRes'!AQ130,"=1",SmtRes!BU126:'SmtRes'!BU130)</f>
        <v>0.32</v>
      </c>
      <c r="CW138" s="2">
        <f>SUMIF(SmtRes!AQ126:'SmtRes'!AQ130,"=1",SmtRes!BV126:'SmtRes'!BV130)</f>
        <v>0.18</v>
      </c>
      <c r="CX138" s="2">
        <f t="shared" si="96"/>
        <v>0</v>
      </c>
      <c r="CY138" s="2">
        <f>(((S138+R138)*AT138)/100)</f>
        <v>807.26490000000001</v>
      </c>
      <c r="CZ138" s="2">
        <f>(((S138+R138)*AU138)/100)</f>
        <v>510.57779999999997</v>
      </c>
      <c r="DA138" s="2"/>
      <c r="DB138" s="2"/>
      <c r="DC138" s="2" t="s">
        <v>3</v>
      </c>
      <c r="DD138" s="2" t="s">
        <v>3</v>
      </c>
      <c r="DE138" s="2" t="s">
        <v>3</v>
      </c>
      <c r="DF138" s="2" t="s">
        <v>3</v>
      </c>
      <c r="DG138" s="2" t="s">
        <v>3</v>
      </c>
      <c r="DH138" s="2" t="s">
        <v>3</v>
      </c>
      <c r="DI138" s="2" t="s">
        <v>3</v>
      </c>
      <c r="DJ138" s="2" t="s">
        <v>3</v>
      </c>
      <c r="DK138" s="2" t="s">
        <v>3</v>
      </c>
      <c r="DL138" s="2" t="s">
        <v>3</v>
      </c>
      <c r="DM138" s="2" t="s">
        <v>3</v>
      </c>
      <c r="DN138" s="2">
        <v>0</v>
      </c>
      <c r="DO138" s="2">
        <v>0</v>
      </c>
      <c r="DP138" s="2">
        <v>1</v>
      </c>
      <c r="DQ138" s="2">
        <v>1</v>
      </c>
      <c r="DR138" s="2"/>
      <c r="DS138" s="2"/>
      <c r="DT138" s="2"/>
      <c r="DU138" s="2">
        <v>1013</v>
      </c>
      <c r="DV138" s="2" t="s">
        <v>130</v>
      </c>
      <c r="DW138" s="2" t="s">
        <v>130</v>
      </c>
      <c r="DX138" s="2">
        <v>1</v>
      </c>
      <c r="DY138" s="2"/>
      <c r="DZ138" s="2" t="s">
        <v>3</v>
      </c>
      <c r="EA138" s="2" t="s">
        <v>3</v>
      </c>
      <c r="EB138" s="2" t="s">
        <v>3</v>
      </c>
      <c r="EC138" s="2" t="s">
        <v>3</v>
      </c>
      <c r="ED138" s="2"/>
      <c r="EE138" s="2">
        <v>72340630</v>
      </c>
      <c r="EF138" s="2">
        <v>2</v>
      </c>
      <c r="EG138" s="2" t="s">
        <v>23</v>
      </c>
      <c r="EH138" s="2">
        <v>18</v>
      </c>
      <c r="EI138" s="2" t="s">
        <v>41</v>
      </c>
      <c r="EJ138" s="2">
        <v>1</v>
      </c>
      <c r="EK138" s="2">
        <v>22001</v>
      </c>
      <c r="EL138" s="2" t="s">
        <v>41</v>
      </c>
      <c r="EM138" s="2" t="s">
        <v>277</v>
      </c>
      <c r="EN138" s="2"/>
      <c r="EO138" s="2" t="s">
        <v>3</v>
      </c>
      <c r="EP138" s="2"/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0.32</v>
      </c>
      <c r="EX138" s="2">
        <v>0.18</v>
      </c>
      <c r="EY138" s="2">
        <v>0</v>
      </c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>
        <v>0</v>
      </c>
      <c r="FR138" s="2">
        <v>0</v>
      </c>
      <c r="FS138" s="2">
        <v>0</v>
      </c>
      <c r="FT138" s="2"/>
      <c r="FU138" s="2"/>
      <c r="FV138" s="2"/>
      <c r="FW138" s="2"/>
      <c r="FX138" s="2">
        <v>117</v>
      </c>
      <c r="FY138" s="2">
        <v>74</v>
      </c>
      <c r="FZ138" s="2"/>
      <c r="GA138" s="2" t="s">
        <v>3</v>
      </c>
      <c r="GB138" s="2"/>
      <c r="GC138" s="2"/>
      <c r="GD138" s="2">
        <v>1</v>
      </c>
      <c r="GE138" s="2"/>
      <c r="GF138" s="2">
        <v>-588546911</v>
      </c>
      <c r="GG138" s="2">
        <v>2</v>
      </c>
      <c r="GH138" s="2">
        <v>1</v>
      </c>
      <c r="GI138" s="2">
        <v>-2</v>
      </c>
      <c r="GJ138" s="2">
        <v>0</v>
      </c>
      <c r="GK138" s="2">
        <v>0</v>
      </c>
      <c r="GL138" s="2">
        <f t="shared" si="97"/>
        <v>0</v>
      </c>
      <c r="GM138" s="2">
        <f t="shared" si="98"/>
        <v>2855.59</v>
      </c>
      <c r="GN138" s="2">
        <f t="shared" si="99"/>
        <v>2855.59</v>
      </c>
      <c r="GO138" s="2">
        <f t="shared" si="100"/>
        <v>0</v>
      </c>
      <c r="GP138" s="2">
        <f t="shared" si="101"/>
        <v>0</v>
      </c>
      <c r="GQ138" s="2"/>
      <c r="GR138" s="2">
        <v>0</v>
      </c>
      <c r="GS138" s="2">
        <v>3</v>
      </c>
      <c r="GT138" s="2">
        <v>0</v>
      </c>
      <c r="GU138" s="2" t="s">
        <v>3</v>
      </c>
      <c r="GV138" s="2">
        <f t="shared" si="102"/>
        <v>0</v>
      </c>
      <c r="GW138" s="2">
        <v>1</v>
      </c>
      <c r="GX138" s="2">
        <f t="shared" si="103"/>
        <v>0</v>
      </c>
      <c r="GY138" s="2"/>
      <c r="GZ138" s="2"/>
      <c r="HA138" s="2">
        <v>0</v>
      </c>
      <c r="HB138" s="2">
        <v>0</v>
      </c>
      <c r="HC138" s="2">
        <f t="shared" si="104"/>
        <v>0</v>
      </c>
      <c r="HD138" s="2"/>
      <c r="HE138" s="2" t="s">
        <v>3</v>
      </c>
      <c r="HF138" s="2" t="s">
        <v>3</v>
      </c>
      <c r="HG138" s="2"/>
      <c r="HH138" s="2"/>
      <c r="HI138" s="2"/>
      <c r="HJ138" s="2"/>
      <c r="HK138" s="2"/>
      <c r="HL138" s="2"/>
      <c r="HM138" s="2" t="s">
        <v>3</v>
      </c>
      <c r="HN138" s="2" t="s">
        <v>43</v>
      </c>
      <c r="HO138" s="2" t="s">
        <v>44</v>
      </c>
      <c r="HP138" s="2" t="s">
        <v>41</v>
      </c>
      <c r="HQ138" s="2" t="s">
        <v>41</v>
      </c>
      <c r="HR138" s="2"/>
      <c r="HS138" s="2">
        <v>0</v>
      </c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>
        <v>0</v>
      </c>
      <c r="IL138" s="2"/>
      <c r="IM138" s="2"/>
      <c r="IN138" s="2"/>
      <c r="IO138" s="2"/>
      <c r="IP138" s="2"/>
      <c r="IQ138" s="2"/>
      <c r="IR138" s="2"/>
      <c r="IS138" s="2"/>
      <c r="IT138" s="2"/>
      <c r="IU138" s="2"/>
    </row>
    <row r="139" spans="1:255" x14ac:dyDescent="0.2">
      <c r="A139" s="2">
        <v>18</v>
      </c>
      <c r="B139" s="2">
        <v>1</v>
      </c>
      <c r="C139" s="2">
        <v>130</v>
      </c>
      <c r="D139" s="2"/>
      <c r="E139" s="2" t="s">
        <v>278</v>
      </c>
      <c r="F139" s="2" t="s">
        <v>279</v>
      </c>
      <c r="G139" s="2" t="s">
        <v>280</v>
      </c>
      <c r="H139" s="2" t="s">
        <v>130</v>
      </c>
      <c r="I139" s="2">
        <f>I138*J139</f>
        <v>3</v>
      </c>
      <c r="J139" s="2">
        <v>1</v>
      </c>
      <c r="K139" s="2">
        <v>1</v>
      </c>
      <c r="L139" s="2"/>
      <c r="M139" s="2"/>
      <c r="N139" s="2"/>
      <c r="O139" s="2">
        <f t="shared" si="86"/>
        <v>1141.08</v>
      </c>
      <c r="P139" s="2">
        <f>ROUND(CQ139*I139,2)</f>
        <v>1141.08</v>
      </c>
      <c r="Q139" s="2">
        <f>ROUND(CR139*I139,2)</f>
        <v>0</v>
      </c>
      <c r="R139" s="2">
        <f>ROUND(CS139*I139,2)</f>
        <v>0</v>
      </c>
      <c r="S139" s="2">
        <f>ROUND(CT139*I139,2)</f>
        <v>0</v>
      </c>
      <c r="T139" s="2">
        <f t="shared" si="87"/>
        <v>0</v>
      </c>
      <c r="U139" s="2">
        <f>ROUND(CV139*I139,7)</f>
        <v>0</v>
      </c>
      <c r="V139" s="2">
        <f>ROUND(CW139*I139,7)</f>
        <v>0</v>
      </c>
      <c r="W139" s="2">
        <f t="shared" si="88"/>
        <v>0</v>
      </c>
      <c r="X139" s="2">
        <f t="shared" si="89"/>
        <v>0</v>
      </c>
      <c r="Y139" s="2">
        <f t="shared" si="90"/>
        <v>0</v>
      </c>
      <c r="Z139" s="2"/>
      <c r="AA139" s="2">
        <v>74014550</v>
      </c>
      <c r="AB139" s="2">
        <f t="shared" si="91"/>
        <v>355.48</v>
      </c>
      <c r="AC139" s="2">
        <f>ROUND((ES139),6)</f>
        <v>355.48</v>
      </c>
      <c r="AD139" s="2">
        <f>ROUND((((ET139)-(EU139))+AE139),6)</f>
        <v>0</v>
      </c>
      <c r="AE139" s="2">
        <f>ROUND((EU139),6)</f>
        <v>0</v>
      </c>
      <c r="AF139" s="2">
        <f>ROUND((EV139),6)</f>
        <v>0</v>
      </c>
      <c r="AG139" s="2">
        <f t="shared" si="92"/>
        <v>0</v>
      </c>
      <c r="AH139" s="2">
        <f>(EW139)</f>
        <v>0</v>
      </c>
      <c r="AI139" s="2">
        <f>(EX139)</f>
        <v>0</v>
      </c>
      <c r="AJ139" s="2">
        <f t="shared" si="93"/>
        <v>0</v>
      </c>
      <c r="AK139" s="2">
        <v>355.48</v>
      </c>
      <c r="AL139" s="2">
        <v>355.48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117</v>
      </c>
      <c r="AU139" s="2">
        <v>74</v>
      </c>
      <c r="AV139" s="2">
        <v>1</v>
      </c>
      <c r="AW139" s="2">
        <v>1</v>
      </c>
      <c r="AX139" s="2"/>
      <c r="AY139" s="2"/>
      <c r="AZ139" s="2">
        <v>1</v>
      </c>
      <c r="BA139" s="2">
        <v>1</v>
      </c>
      <c r="BB139" s="2">
        <v>1</v>
      </c>
      <c r="BC139" s="2">
        <v>1.07</v>
      </c>
      <c r="BD139" s="2" t="s">
        <v>3</v>
      </c>
      <c r="BE139" s="2" t="s">
        <v>3</v>
      </c>
      <c r="BF139" s="2" t="s">
        <v>3</v>
      </c>
      <c r="BG139" s="2" t="s">
        <v>3</v>
      </c>
      <c r="BH139" s="2">
        <v>3</v>
      </c>
      <c r="BI139" s="2">
        <v>1</v>
      </c>
      <c r="BJ139" s="2" t="s">
        <v>281</v>
      </c>
      <c r="BK139" s="2"/>
      <c r="BL139" s="2"/>
      <c r="BM139" s="2">
        <v>22001</v>
      </c>
      <c r="BN139" s="2">
        <v>0</v>
      </c>
      <c r="BO139" s="2" t="s">
        <v>279</v>
      </c>
      <c r="BP139" s="2">
        <v>1</v>
      </c>
      <c r="BQ139" s="2">
        <v>2</v>
      </c>
      <c r="BR139" s="2">
        <v>0</v>
      </c>
      <c r="BS139" s="2">
        <v>1</v>
      </c>
      <c r="BT139" s="2">
        <v>1</v>
      </c>
      <c r="BU139" s="2">
        <v>1</v>
      </c>
      <c r="BV139" s="2">
        <v>1</v>
      </c>
      <c r="BW139" s="2">
        <v>1</v>
      </c>
      <c r="BX139" s="2">
        <v>1</v>
      </c>
      <c r="BY139" s="2" t="s">
        <v>3</v>
      </c>
      <c r="BZ139" s="2">
        <v>117</v>
      </c>
      <c r="CA139" s="2">
        <v>74</v>
      </c>
      <c r="CB139" s="2" t="s">
        <v>3</v>
      </c>
      <c r="CC139" s="2"/>
      <c r="CD139" s="2"/>
      <c r="CE139" s="2">
        <v>0</v>
      </c>
      <c r="CF139" s="2">
        <v>0</v>
      </c>
      <c r="CG139" s="2">
        <v>0</v>
      </c>
      <c r="CH139" s="2"/>
      <c r="CI139" s="2"/>
      <c r="CJ139" s="2"/>
      <c r="CK139" s="2"/>
      <c r="CL139" s="2"/>
      <c r="CM139" s="2">
        <v>0</v>
      </c>
      <c r="CN139" s="2" t="s">
        <v>3</v>
      </c>
      <c r="CO139" s="2">
        <v>0</v>
      </c>
      <c r="CP139" s="2">
        <f t="shared" si="94"/>
        <v>1141.08</v>
      </c>
      <c r="CQ139" s="2">
        <f>ROUND(AL139*BC139,2)</f>
        <v>380.36</v>
      </c>
      <c r="CR139" s="2">
        <f>ROUND(AM139*BB139,2)</f>
        <v>0</v>
      </c>
      <c r="CS139" s="2">
        <f>ROUND(AN139*BS139,2)</f>
        <v>0</v>
      </c>
      <c r="CT139" s="2">
        <f>ROUND(AO139*BA139,2)</f>
        <v>0</v>
      </c>
      <c r="CU139" s="2">
        <f t="shared" si="95"/>
        <v>0</v>
      </c>
      <c r="CV139" s="2">
        <f>AH139</f>
        <v>0</v>
      </c>
      <c r="CW139" s="2">
        <f>AI139</f>
        <v>0</v>
      </c>
      <c r="CX139" s="2">
        <f t="shared" si="96"/>
        <v>0</v>
      </c>
      <c r="CY139" s="2">
        <f>(((S139+R139)*AT139)/100)</f>
        <v>0</v>
      </c>
      <c r="CZ139" s="2">
        <f>(((S139+R139)*AU139)/100)</f>
        <v>0</v>
      </c>
      <c r="DA139" s="2"/>
      <c r="DB139" s="2"/>
      <c r="DC139" s="2" t="s">
        <v>3</v>
      </c>
      <c r="DD139" s="2" t="s">
        <v>3</v>
      </c>
      <c r="DE139" s="2" t="s">
        <v>3</v>
      </c>
      <c r="DF139" s="2" t="s">
        <v>3</v>
      </c>
      <c r="DG139" s="2" t="s">
        <v>3</v>
      </c>
      <c r="DH139" s="2" t="s">
        <v>3</v>
      </c>
      <c r="DI139" s="2" t="s">
        <v>3</v>
      </c>
      <c r="DJ139" s="2" t="s">
        <v>3</v>
      </c>
      <c r="DK139" s="2" t="s">
        <v>3</v>
      </c>
      <c r="DL139" s="2" t="s">
        <v>3</v>
      </c>
      <c r="DM139" s="2" t="s">
        <v>3</v>
      </c>
      <c r="DN139" s="2">
        <v>0</v>
      </c>
      <c r="DO139" s="2">
        <v>0</v>
      </c>
      <c r="DP139" s="2">
        <v>1</v>
      </c>
      <c r="DQ139" s="2">
        <v>1</v>
      </c>
      <c r="DR139" s="2"/>
      <c r="DS139" s="2"/>
      <c r="DT139" s="2"/>
      <c r="DU139" s="2">
        <v>1013</v>
      </c>
      <c r="DV139" s="2" t="s">
        <v>130</v>
      </c>
      <c r="DW139" s="2" t="s">
        <v>130</v>
      </c>
      <c r="DX139" s="2">
        <v>1</v>
      </c>
      <c r="DY139" s="2"/>
      <c r="DZ139" s="2" t="s">
        <v>3</v>
      </c>
      <c r="EA139" s="2" t="s">
        <v>3</v>
      </c>
      <c r="EB139" s="2" t="s">
        <v>3</v>
      </c>
      <c r="EC139" s="2" t="s">
        <v>3</v>
      </c>
      <c r="ED139" s="2"/>
      <c r="EE139" s="2">
        <v>72340630</v>
      </c>
      <c r="EF139" s="2">
        <v>2</v>
      </c>
      <c r="EG139" s="2" t="s">
        <v>23</v>
      </c>
      <c r="EH139" s="2">
        <v>18</v>
      </c>
      <c r="EI139" s="2" t="s">
        <v>41</v>
      </c>
      <c r="EJ139" s="2">
        <v>1</v>
      </c>
      <c r="EK139" s="2">
        <v>22001</v>
      </c>
      <c r="EL139" s="2" t="s">
        <v>41</v>
      </c>
      <c r="EM139" s="2" t="s">
        <v>277</v>
      </c>
      <c r="EN139" s="2"/>
      <c r="EO139" s="2" t="s">
        <v>3</v>
      </c>
      <c r="EP139" s="2"/>
      <c r="EQ139" s="2">
        <v>0</v>
      </c>
      <c r="ER139" s="2">
        <v>355.48</v>
      </c>
      <c r="ES139" s="2">
        <v>355.48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>
        <v>0</v>
      </c>
      <c r="FR139" s="2">
        <v>0</v>
      </c>
      <c r="FS139" s="2">
        <v>0</v>
      </c>
      <c r="FT139" s="2"/>
      <c r="FU139" s="2"/>
      <c r="FV139" s="2"/>
      <c r="FW139" s="2"/>
      <c r="FX139" s="2">
        <v>117</v>
      </c>
      <c r="FY139" s="2">
        <v>74</v>
      </c>
      <c r="FZ139" s="2"/>
      <c r="GA139" s="2" t="s">
        <v>3</v>
      </c>
      <c r="GB139" s="2"/>
      <c r="GC139" s="2"/>
      <c r="GD139" s="2">
        <v>1</v>
      </c>
      <c r="GE139" s="2"/>
      <c r="GF139" s="2">
        <v>-1570428</v>
      </c>
      <c r="GG139" s="2">
        <v>2</v>
      </c>
      <c r="GH139" s="2">
        <v>1</v>
      </c>
      <c r="GI139" s="2">
        <v>2</v>
      </c>
      <c r="GJ139" s="2">
        <v>0</v>
      </c>
      <c r="GK139" s="2">
        <v>0</v>
      </c>
      <c r="GL139" s="2">
        <f t="shared" si="97"/>
        <v>0</v>
      </c>
      <c r="GM139" s="2">
        <f t="shared" si="98"/>
        <v>1141.08</v>
      </c>
      <c r="GN139" s="2">
        <f t="shared" si="99"/>
        <v>1141.08</v>
      </c>
      <c r="GO139" s="2">
        <f t="shared" si="100"/>
        <v>0</v>
      </c>
      <c r="GP139" s="2">
        <f t="shared" si="101"/>
        <v>0</v>
      </c>
      <c r="GQ139" s="2"/>
      <c r="GR139" s="2">
        <v>0</v>
      </c>
      <c r="GS139" s="2">
        <v>3</v>
      </c>
      <c r="GT139" s="2">
        <v>0</v>
      </c>
      <c r="GU139" s="2" t="s">
        <v>3</v>
      </c>
      <c r="GV139" s="2">
        <f t="shared" si="102"/>
        <v>0</v>
      </c>
      <c r="GW139" s="2">
        <v>1</v>
      </c>
      <c r="GX139" s="2">
        <f t="shared" si="103"/>
        <v>0</v>
      </c>
      <c r="GY139" s="2"/>
      <c r="GZ139" s="2"/>
      <c r="HA139" s="2">
        <v>0</v>
      </c>
      <c r="HB139" s="2">
        <v>0</v>
      </c>
      <c r="HC139" s="2">
        <f t="shared" si="104"/>
        <v>0</v>
      </c>
      <c r="HD139" s="2"/>
      <c r="HE139" s="2" t="s">
        <v>3</v>
      </c>
      <c r="HF139" s="2" t="s">
        <v>3</v>
      </c>
      <c r="HG139" s="2"/>
      <c r="HH139" s="2"/>
      <c r="HI139" s="2"/>
      <c r="HJ139" s="2"/>
      <c r="HK139" s="2"/>
      <c r="HL139" s="2"/>
      <c r="HM139" s="2" t="s">
        <v>3</v>
      </c>
      <c r="HN139" s="2" t="s">
        <v>43</v>
      </c>
      <c r="HO139" s="2" t="s">
        <v>44</v>
      </c>
      <c r="HP139" s="2" t="s">
        <v>41</v>
      </c>
      <c r="HQ139" s="2" t="s">
        <v>41</v>
      </c>
      <c r="HR139" s="2"/>
      <c r="HS139" s="2">
        <v>0</v>
      </c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>
        <v>0</v>
      </c>
      <c r="IL139" s="2"/>
      <c r="IM139" s="2"/>
      <c r="IN139" s="2"/>
      <c r="IO139" s="2"/>
      <c r="IP139" s="2"/>
      <c r="IQ139" s="2"/>
      <c r="IR139" s="2"/>
      <c r="IS139" s="2"/>
      <c r="IT139" s="2"/>
      <c r="IU139" s="2"/>
    </row>
    <row r="140" spans="1:255" x14ac:dyDescent="0.2">
      <c r="A140" s="2">
        <v>17</v>
      </c>
      <c r="B140" s="2">
        <v>1</v>
      </c>
      <c r="C140" s="2">
        <f>ROW(SmtRes!A136)</f>
        <v>136</v>
      </c>
      <c r="D140" s="2">
        <f>ROW(EtalonRes!A150)</f>
        <v>150</v>
      </c>
      <c r="E140" s="2" t="s">
        <v>282</v>
      </c>
      <c r="F140" s="2" t="s">
        <v>283</v>
      </c>
      <c r="G140" s="2" t="s">
        <v>284</v>
      </c>
      <c r="H140" s="2" t="s">
        <v>119</v>
      </c>
      <c r="I140" s="2">
        <f>ROUND(0.18/100,7)</f>
        <v>1.8E-3</v>
      </c>
      <c r="J140" s="2">
        <v>0</v>
      </c>
      <c r="K140" s="2">
        <f>ROUND(0.18/100,7)</f>
        <v>1.8E-3</v>
      </c>
      <c r="L140" s="2"/>
      <c r="M140" s="2"/>
      <c r="N140" s="2"/>
      <c r="O140" s="2">
        <f t="shared" si="86"/>
        <v>40.5</v>
      </c>
      <c r="P140" s="2">
        <f>SUMIF(SmtRes!AQ131:'SmtRes'!AQ136,"=1",SmtRes!DF131:'SmtRes'!DF136)</f>
        <v>0.1</v>
      </c>
      <c r="Q140" s="2">
        <f>SUMIF(SmtRes!AQ131:'SmtRes'!AQ136,"=1",SmtRes!DG131:'SmtRes'!DG136)</f>
        <v>20.84</v>
      </c>
      <c r="R140" s="2">
        <f>SUMIF(SmtRes!AQ131:'SmtRes'!AQ136,"=1",SmtRes!DH131:'SmtRes'!DH136)</f>
        <v>6.05</v>
      </c>
      <c r="S140" s="2">
        <f>SUMIF(SmtRes!AQ131:'SmtRes'!AQ136,"=1",SmtRes!DI131:'SmtRes'!DI136)</f>
        <v>13.51</v>
      </c>
      <c r="T140" s="2">
        <f t="shared" si="87"/>
        <v>0</v>
      </c>
      <c r="U140" s="2">
        <f>SUMIF(SmtRes!AQ131:'SmtRes'!AQ136,"=1",SmtRes!CV131:'SmtRes'!CV136)</f>
        <v>3.6179999999999997E-2</v>
      </c>
      <c r="V140" s="2">
        <f>SUMIF(SmtRes!AQ131:'SmtRes'!AQ136,"=1",SmtRes!CW131:'SmtRes'!CW136)</f>
        <v>1.125E-2</v>
      </c>
      <c r="W140" s="2">
        <f t="shared" si="88"/>
        <v>0</v>
      </c>
      <c r="X140" s="2">
        <f t="shared" si="89"/>
        <v>22.89</v>
      </c>
      <c r="Y140" s="2">
        <f t="shared" si="90"/>
        <v>14.47</v>
      </c>
      <c r="Z140" s="2"/>
      <c r="AA140" s="2">
        <v>74014550</v>
      </c>
      <c r="AB140" s="2">
        <f t="shared" si="91"/>
        <v>19139.178800000002</v>
      </c>
      <c r="AC140" s="2">
        <f>ROUND((SUM(SmtRes!BQ131:'SmtRes'!BQ136)),6)</f>
        <v>58.180500000000002</v>
      </c>
      <c r="AD140" s="2">
        <f>ROUND((((SUM(SmtRes!BR131:'SmtRes'!BR136))-(SUM(SmtRes!BS131:'SmtRes'!BS136)))+AE140),6)</f>
        <v>11576.462299999999</v>
      </c>
      <c r="AE140" s="2">
        <f>ROUND((SUM(SmtRes!BS131:'SmtRes'!BS136)),6)</f>
        <v>3360.25</v>
      </c>
      <c r="AF140" s="2">
        <f>ROUND((SUM(SmtRes!BT131:'SmtRes'!BT136)),6)</f>
        <v>7504.5360000000001</v>
      </c>
      <c r="AG140" s="2">
        <f t="shared" si="92"/>
        <v>0</v>
      </c>
      <c r="AH140" s="2">
        <f>(SUM(SmtRes!BU131:'SmtRes'!BU136))</f>
        <v>20.100000000000001</v>
      </c>
      <c r="AI140" s="2">
        <f>(SUM(SmtRes!BV131:'SmtRes'!BV136))</f>
        <v>6.25</v>
      </c>
      <c r="AJ140" s="2">
        <f t="shared" si="93"/>
        <v>0</v>
      </c>
      <c r="AK140" s="2">
        <v>22499.428800000002</v>
      </c>
      <c r="AL140" s="2">
        <v>58.180499999999995</v>
      </c>
      <c r="AM140" s="2">
        <v>11576.462299999999</v>
      </c>
      <c r="AN140" s="2">
        <v>3360.25</v>
      </c>
      <c r="AO140" s="2">
        <v>7504.536000000001</v>
      </c>
      <c r="AP140" s="2">
        <v>0</v>
      </c>
      <c r="AQ140" s="2">
        <v>20.100000000000001</v>
      </c>
      <c r="AR140" s="2">
        <v>6.25</v>
      </c>
      <c r="AS140" s="2">
        <v>0</v>
      </c>
      <c r="AT140" s="2">
        <v>117</v>
      </c>
      <c r="AU140" s="2">
        <v>74</v>
      </c>
      <c r="AV140" s="2">
        <v>1</v>
      </c>
      <c r="AW140" s="2">
        <v>1</v>
      </c>
      <c r="AX140" s="2"/>
      <c r="AY140" s="2"/>
      <c r="AZ140" s="2">
        <v>1</v>
      </c>
      <c r="BA140" s="2">
        <v>1</v>
      </c>
      <c r="BB140" s="2">
        <v>1</v>
      </c>
      <c r="BC140" s="2">
        <v>1</v>
      </c>
      <c r="BD140" s="2" t="s">
        <v>3</v>
      </c>
      <c r="BE140" s="2" t="s">
        <v>3</v>
      </c>
      <c r="BF140" s="2" t="s">
        <v>3</v>
      </c>
      <c r="BG140" s="2" t="s">
        <v>3</v>
      </c>
      <c r="BH140" s="2">
        <v>0</v>
      </c>
      <c r="BI140" s="2">
        <v>1</v>
      </c>
      <c r="BJ140" s="2" t="s">
        <v>285</v>
      </c>
      <c r="BK140" s="2"/>
      <c r="BL140" s="2"/>
      <c r="BM140" s="2">
        <v>24001</v>
      </c>
      <c r="BN140" s="2">
        <v>0</v>
      </c>
      <c r="BO140" s="2" t="s">
        <v>3</v>
      </c>
      <c r="BP140" s="2">
        <v>0</v>
      </c>
      <c r="BQ140" s="2">
        <v>2</v>
      </c>
      <c r="BR140" s="2">
        <v>0</v>
      </c>
      <c r="BS140" s="2">
        <v>1</v>
      </c>
      <c r="BT140" s="2">
        <v>1</v>
      </c>
      <c r="BU140" s="2">
        <v>1</v>
      </c>
      <c r="BV140" s="2">
        <v>1</v>
      </c>
      <c r="BW140" s="2">
        <v>1</v>
      </c>
      <c r="BX140" s="2">
        <v>1</v>
      </c>
      <c r="BY140" s="2" t="s">
        <v>3</v>
      </c>
      <c r="BZ140" s="2">
        <v>117</v>
      </c>
      <c r="CA140" s="2">
        <v>74</v>
      </c>
      <c r="CB140" s="2" t="s">
        <v>3</v>
      </c>
      <c r="CC140" s="2"/>
      <c r="CD140" s="2"/>
      <c r="CE140" s="2">
        <v>0</v>
      </c>
      <c r="CF140" s="2">
        <v>0</v>
      </c>
      <c r="CG140" s="2">
        <v>0</v>
      </c>
      <c r="CH140" s="2"/>
      <c r="CI140" s="2"/>
      <c r="CJ140" s="2"/>
      <c r="CK140" s="2"/>
      <c r="CL140" s="2"/>
      <c r="CM140" s="2">
        <v>0</v>
      </c>
      <c r="CN140" s="2" t="s">
        <v>3</v>
      </c>
      <c r="CO140" s="2">
        <v>0</v>
      </c>
      <c r="CP140" s="2">
        <f t="shared" si="94"/>
        <v>40.5</v>
      </c>
      <c r="CQ140" s="2">
        <f>SUMIF(SmtRes!AQ131:'SmtRes'!AQ136,"=1",SmtRes!AA131:'SmtRes'!AA136)</f>
        <v>141.4</v>
      </c>
      <c r="CR140" s="2">
        <f>SUMIF(SmtRes!AQ131:'SmtRes'!AQ136,"=1",SmtRes!AB131:'SmtRes'!AB136)</f>
        <v>1880.03</v>
      </c>
      <c r="CS140" s="2">
        <f>SUMIF(SmtRes!AQ131:'SmtRes'!AQ136,"=1",SmtRes!AC131:'SmtRes'!AC136)</f>
        <v>537.64</v>
      </c>
      <c r="CT140" s="2">
        <f>SUMIF(SmtRes!AQ131:'SmtRes'!AQ136,"=1",SmtRes!AD131:'SmtRes'!AD136)</f>
        <v>373.36</v>
      </c>
      <c r="CU140" s="2">
        <f t="shared" si="95"/>
        <v>0</v>
      </c>
      <c r="CV140" s="2">
        <f>SUMIF(SmtRes!AQ131:'SmtRes'!AQ136,"=1",SmtRes!BU131:'SmtRes'!BU136)</f>
        <v>20.100000000000001</v>
      </c>
      <c r="CW140" s="2">
        <f>SUMIF(SmtRes!AQ131:'SmtRes'!AQ136,"=1",SmtRes!BV131:'SmtRes'!BV136)</f>
        <v>6.25</v>
      </c>
      <c r="CX140" s="2">
        <f t="shared" si="96"/>
        <v>0</v>
      </c>
      <c r="CY140" s="2">
        <f>(((S140+R140)*AT140)/100)</f>
        <v>22.885200000000001</v>
      </c>
      <c r="CZ140" s="2">
        <f>(((S140+R140)*AU140)/100)</f>
        <v>14.474399999999997</v>
      </c>
      <c r="DA140" s="2"/>
      <c r="DB140" s="2"/>
      <c r="DC140" s="2" t="s">
        <v>3</v>
      </c>
      <c r="DD140" s="2" t="s">
        <v>3</v>
      </c>
      <c r="DE140" s="2" t="s">
        <v>3</v>
      </c>
      <c r="DF140" s="2" t="s">
        <v>3</v>
      </c>
      <c r="DG140" s="2" t="s">
        <v>3</v>
      </c>
      <c r="DH140" s="2" t="s">
        <v>3</v>
      </c>
      <c r="DI140" s="2" t="s">
        <v>3</v>
      </c>
      <c r="DJ140" s="2" t="s">
        <v>3</v>
      </c>
      <c r="DK140" s="2" t="s">
        <v>3</v>
      </c>
      <c r="DL140" s="2" t="s">
        <v>3</v>
      </c>
      <c r="DM140" s="2" t="s">
        <v>3</v>
      </c>
      <c r="DN140" s="2">
        <v>0</v>
      </c>
      <c r="DO140" s="2">
        <v>0</v>
      </c>
      <c r="DP140" s="2">
        <v>1</v>
      </c>
      <c r="DQ140" s="2">
        <v>1</v>
      </c>
      <c r="DR140" s="2"/>
      <c r="DS140" s="2"/>
      <c r="DT140" s="2"/>
      <c r="DU140" s="2">
        <v>1003</v>
      </c>
      <c r="DV140" s="2" t="s">
        <v>119</v>
      </c>
      <c r="DW140" s="2" t="s">
        <v>119</v>
      </c>
      <c r="DX140" s="2">
        <v>100</v>
      </c>
      <c r="DY140" s="2"/>
      <c r="DZ140" s="2" t="s">
        <v>3</v>
      </c>
      <c r="EA140" s="2" t="s">
        <v>3</v>
      </c>
      <c r="EB140" s="2" t="s">
        <v>3</v>
      </c>
      <c r="EC140" s="2" t="s">
        <v>3</v>
      </c>
      <c r="ED140" s="2"/>
      <c r="EE140" s="2">
        <v>72340632</v>
      </c>
      <c r="EF140" s="2">
        <v>2</v>
      </c>
      <c r="EG140" s="2" t="s">
        <v>23</v>
      </c>
      <c r="EH140" s="2">
        <v>18</v>
      </c>
      <c r="EI140" s="2" t="s">
        <v>41</v>
      </c>
      <c r="EJ140" s="2">
        <v>1</v>
      </c>
      <c r="EK140" s="2">
        <v>24001</v>
      </c>
      <c r="EL140" s="2" t="s">
        <v>41</v>
      </c>
      <c r="EM140" s="2" t="s">
        <v>121</v>
      </c>
      <c r="EN140" s="2"/>
      <c r="EO140" s="2" t="s">
        <v>3</v>
      </c>
      <c r="EP140" s="2"/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20.100000000000001</v>
      </c>
      <c r="EX140" s="2">
        <v>6.25</v>
      </c>
      <c r="EY140" s="2">
        <v>0</v>
      </c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>
        <v>0</v>
      </c>
      <c r="FR140" s="2">
        <v>0</v>
      </c>
      <c r="FS140" s="2">
        <v>0</v>
      </c>
      <c r="FT140" s="2"/>
      <c r="FU140" s="2"/>
      <c r="FV140" s="2"/>
      <c r="FW140" s="2"/>
      <c r="FX140" s="2">
        <v>117</v>
      </c>
      <c r="FY140" s="2">
        <v>74</v>
      </c>
      <c r="FZ140" s="2"/>
      <c r="GA140" s="2" t="s">
        <v>3</v>
      </c>
      <c r="GB140" s="2"/>
      <c r="GC140" s="2"/>
      <c r="GD140" s="2">
        <v>1</v>
      </c>
      <c r="GE140" s="2"/>
      <c r="GF140" s="2">
        <v>1172368297</v>
      </c>
      <c r="GG140" s="2">
        <v>2</v>
      </c>
      <c r="GH140" s="2">
        <v>1</v>
      </c>
      <c r="GI140" s="2">
        <v>-2</v>
      </c>
      <c r="GJ140" s="2">
        <v>0</v>
      </c>
      <c r="GK140" s="2">
        <v>0</v>
      </c>
      <c r="GL140" s="2">
        <f t="shared" si="97"/>
        <v>0</v>
      </c>
      <c r="GM140" s="2">
        <f t="shared" si="98"/>
        <v>77.86</v>
      </c>
      <c r="GN140" s="2">
        <f t="shared" si="99"/>
        <v>77.86</v>
      </c>
      <c r="GO140" s="2">
        <f t="shared" si="100"/>
        <v>0</v>
      </c>
      <c r="GP140" s="2">
        <f t="shared" si="101"/>
        <v>0</v>
      </c>
      <c r="GQ140" s="2"/>
      <c r="GR140" s="2">
        <v>0</v>
      </c>
      <c r="GS140" s="2">
        <v>3</v>
      </c>
      <c r="GT140" s="2">
        <v>0</v>
      </c>
      <c r="GU140" s="2" t="s">
        <v>3</v>
      </c>
      <c r="GV140" s="2">
        <f t="shared" si="102"/>
        <v>0</v>
      </c>
      <c r="GW140" s="2">
        <v>1</v>
      </c>
      <c r="GX140" s="2">
        <f t="shared" si="103"/>
        <v>0</v>
      </c>
      <c r="GY140" s="2"/>
      <c r="GZ140" s="2"/>
      <c r="HA140" s="2">
        <v>0</v>
      </c>
      <c r="HB140" s="2">
        <v>0</v>
      </c>
      <c r="HC140" s="2">
        <f t="shared" si="104"/>
        <v>0</v>
      </c>
      <c r="HD140" s="2"/>
      <c r="HE140" s="2" t="s">
        <v>3</v>
      </c>
      <c r="HF140" s="2" t="s">
        <v>3</v>
      </c>
      <c r="HG140" s="2"/>
      <c r="HH140" s="2"/>
      <c r="HI140" s="2"/>
      <c r="HJ140" s="2"/>
      <c r="HK140" s="2"/>
      <c r="HL140" s="2"/>
      <c r="HM140" s="2" t="s">
        <v>3</v>
      </c>
      <c r="HN140" s="2" t="s">
        <v>43</v>
      </c>
      <c r="HO140" s="2" t="s">
        <v>44</v>
      </c>
      <c r="HP140" s="2" t="s">
        <v>41</v>
      </c>
      <c r="HQ140" s="2" t="s">
        <v>41</v>
      </c>
      <c r="HR140" s="2"/>
      <c r="HS140" s="2">
        <v>0</v>
      </c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>
        <v>0</v>
      </c>
      <c r="IL140" s="2"/>
      <c r="IM140" s="2"/>
      <c r="IN140" s="2"/>
      <c r="IO140" s="2"/>
      <c r="IP140" s="2"/>
      <c r="IQ140" s="2"/>
      <c r="IR140" s="2"/>
      <c r="IS140" s="2"/>
      <c r="IT140" s="2"/>
      <c r="IU140" s="2"/>
    </row>
    <row r="141" spans="1:255" x14ac:dyDescent="0.2">
      <c r="A141" s="2">
        <v>17</v>
      </c>
      <c r="B141" s="2">
        <v>1</v>
      </c>
      <c r="C141" s="2"/>
      <c r="D141" s="2"/>
      <c r="E141" s="2" t="s">
        <v>286</v>
      </c>
      <c r="F141" s="2" t="s">
        <v>123</v>
      </c>
      <c r="G141" s="2" t="s">
        <v>124</v>
      </c>
      <c r="H141" s="2" t="s">
        <v>125</v>
      </c>
      <c r="I141" s="2">
        <v>0.18</v>
      </c>
      <c r="J141" s="2">
        <v>0</v>
      </c>
      <c r="K141" s="2">
        <v>0.18</v>
      </c>
      <c r="L141" s="2"/>
      <c r="M141" s="2"/>
      <c r="N141" s="2"/>
      <c r="O141" s="2">
        <f t="shared" si="86"/>
        <v>36.19</v>
      </c>
      <c r="P141" s="2">
        <f>ROUND(CQ141*I141,2)</f>
        <v>36.19</v>
      </c>
      <c r="Q141" s="2">
        <f>ROUND(CR141*I141,2)</f>
        <v>0</v>
      </c>
      <c r="R141" s="2">
        <f>ROUND(CS141*I141,2)</f>
        <v>0</v>
      </c>
      <c r="S141" s="2">
        <f>ROUND(CT141*I141,2)</f>
        <v>0</v>
      </c>
      <c r="T141" s="2">
        <f t="shared" si="87"/>
        <v>0</v>
      </c>
      <c r="U141" s="2">
        <f>ROUND(CV141*I141,7)</f>
        <v>0</v>
      </c>
      <c r="V141" s="2">
        <f>ROUND(CW141*I141,7)</f>
        <v>0</v>
      </c>
      <c r="W141" s="2">
        <f t="shared" si="88"/>
        <v>0</v>
      </c>
      <c r="X141" s="2">
        <f t="shared" si="89"/>
        <v>0</v>
      </c>
      <c r="Y141" s="2">
        <f t="shared" si="90"/>
        <v>0</v>
      </c>
      <c r="Z141" s="2"/>
      <c r="AA141" s="2">
        <v>74014550</v>
      </c>
      <c r="AB141" s="2">
        <f t="shared" si="91"/>
        <v>201.05</v>
      </c>
      <c r="AC141" s="2">
        <f>ROUND((ES141),6)</f>
        <v>201.05</v>
      </c>
      <c r="AD141" s="2">
        <f>ROUND((((ET141)-(EU141))+AE141),6)</f>
        <v>0</v>
      </c>
      <c r="AE141" s="2">
        <f>ROUND((EU141),6)</f>
        <v>0</v>
      </c>
      <c r="AF141" s="2">
        <f>ROUND((EV141),6)</f>
        <v>0</v>
      </c>
      <c r="AG141" s="2">
        <f t="shared" si="92"/>
        <v>0</v>
      </c>
      <c r="AH141" s="2">
        <f>(EW141)</f>
        <v>0</v>
      </c>
      <c r="AI141" s="2">
        <f>(EX141)</f>
        <v>0</v>
      </c>
      <c r="AJ141" s="2">
        <f t="shared" si="93"/>
        <v>0</v>
      </c>
      <c r="AK141" s="2">
        <v>201.05</v>
      </c>
      <c r="AL141" s="2">
        <v>201.05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1</v>
      </c>
      <c r="AW141" s="2">
        <v>1</v>
      </c>
      <c r="AX141" s="2"/>
      <c r="AY141" s="2"/>
      <c r="AZ141" s="2">
        <v>1</v>
      </c>
      <c r="BA141" s="2">
        <v>1</v>
      </c>
      <c r="BB141" s="2">
        <v>1</v>
      </c>
      <c r="BC141" s="2">
        <v>1</v>
      </c>
      <c r="BD141" s="2" t="s">
        <v>3</v>
      </c>
      <c r="BE141" s="2" t="s">
        <v>3</v>
      </c>
      <c r="BF141" s="2" t="s">
        <v>3</v>
      </c>
      <c r="BG141" s="2" t="s">
        <v>3</v>
      </c>
      <c r="BH141" s="2">
        <v>3</v>
      </c>
      <c r="BI141" s="2">
        <v>1</v>
      </c>
      <c r="BJ141" s="2" t="s">
        <v>126</v>
      </c>
      <c r="BK141" s="2"/>
      <c r="BL141" s="2"/>
      <c r="BM141" s="2">
        <v>500001</v>
      </c>
      <c r="BN141" s="2">
        <v>0</v>
      </c>
      <c r="BO141" s="2" t="s">
        <v>3</v>
      </c>
      <c r="BP141" s="2">
        <v>0</v>
      </c>
      <c r="BQ141" s="2">
        <v>8</v>
      </c>
      <c r="BR141" s="2">
        <v>0</v>
      </c>
      <c r="BS141" s="2">
        <v>1</v>
      </c>
      <c r="BT141" s="2">
        <v>1</v>
      </c>
      <c r="BU141" s="2">
        <v>1</v>
      </c>
      <c r="BV141" s="2">
        <v>1</v>
      </c>
      <c r="BW141" s="2">
        <v>1</v>
      </c>
      <c r="BX141" s="2">
        <v>1</v>
      </c>
      <c r="BY141" s="2" t="s">
        <v>3</v>
      </c>
      <c r="BZ141" s="2">
        <v>0</v>
      </c>
      <c r="CA141" s="2">
        <v>0</v>
      </c>
      <c r="CB141" s="2" t="s">
        <v>3</v>
      </c>
      <c r="CC141" s="2"/>
      <c r="CD141" s="2"/>
      <c r="CE141" s="2">
        <v>0</v>
      </c>
      <c r="CF141" s="2">
        <v>0</v>
      </c>
      <c r="CG141" s="2">
        <v>0</v>
      </c>
      <c r="CH141" s="2"/>
      <c r="CI141" s="2"/>
      <c r="CJ141" s="2"/>
      <c r="CK141" s="2"/>
      <c r="CL141" s="2"/>
      <c r="CM141" s="2">
        <v>0</v>
      </c>
      <c r="CN141" s="2" t="s">
        <v>3</v>
      </c>
      <c r="CO141" s="2">
        <v>0</v>
      </c>
      <c r="CP141" s="2">
        <f t="shared" si="94"/>
        <v>36.19</v>
      </c>
      <c r="CQ141" s="2">
        <f>ROUND(AL141*BC141,2)</f>
        <v>201.05</v>
      </c>
      <c r="CR141" s="2">
        <f>ROUND(AM141*BB141,2)</f>
        <v>0</v>
      </c>
      <c r="CS141" s="2">
        <f>ROUND(AN141*BS141,2)</f>
        <v>0</v>
      </c>
      <c r="CT141" s="2">
        <f>ROUND(AO141*BA141,2)</f>
        <v>0</v>
      </c>
      <c r="CU141" s="2">
        <f t="shared" si="95"/>
        <v>0</v>
      </c>
      <c r="CV141" s="2">
        <f>AH141</f>
        <v>0</v>
      </c>
      <c r="CW141" s="2">
        <f>AI141</f>
        <v>0</v>
      </c>
      <c r="CX141" s="2">
        <f t="shared" si="96"/>
        <v>0</v>
      </c>
      <c r="CY141" s="2">
        <f>0</f>
        <v>0</v>
      </c>
      <c r="CZ141" s="2">
        <f>0</f>
        <v>0</v>
      </c>
      <c r="DA141" s="2"/>
      <c r="DB141" s="2"/>
      <c r="DC141" s="2" t="s">
        <v>3</v>
      </c>
      <c r="DD141" s="2" t="s">
        <v>3</v>
      </c>
      <c r="DE141" s="2" t="s">
        <v>3</v>
      </c>
      <c r="DF141" s="2" t="s">
        <v>3</v>
      </c>
      <c r="DG141" s="2" t="s">
        <v>3</v>
      </c>
      <c r="DH141" s="2" t="s">
        <v>3</v>
      </c>
      <c r="DI141" s="2" t="s">
        <v>3</v>
      </c>
      <c r="DJ141" s="2" t="s">
        <v>3</v>
      </c>
      <c r="DK141" s="2" t="s">
        <v>3</v>
      </c>
      <c r="DL141" s="2" t="s">
        <v>3</v>
      </c>
      <c r="DM141" s="2" t="s">
        <v>3</v>
      </c>
      <c r="DN141" s="2">
        <v>0</v>
      </c>
      <c r="DO141" s="2">
        <v>0</v>
      </c>
      <c r="DP141" s="2">
        <v>1</v>
      </c>
      <c r="DQ141" s="2">
        <v>1</v>
      </c>
      <c r="DR141" s="2"/>
      <c r="DS141" s="2"/>
      <c r="DT141" s="2"/>
      <c r="DU141" s="2">
        <v>1003</v>
      </c>
      <c r="DV141" s="2" t="s">
        <v>125</v>
      </c>
      <c r="DW141" s="2" t="s">
        <v>125</v>
      </c>
      <c r="DX141" s="2">
        <v>1</v>
      </c>
      <c r="DY141" s="2"/>
      <c r="DZ141" s="2" t="s">
        <v>3</v>
      </c>
      <c r="EA141" s="2" t="s">
        <v>3</v>
      </c>
      <c r="EB141" s="2" t="s">
        <v>3</v>
      </c>
      <c r="EC141" s="2" t="s">
        <v>3</v>
      </c>
      <c r="ED141" s="2"/>
      <c r="EE141" s="2">
        <v>72340530</v>
      </c>
      <c r="EF141" s="2">
        <v>8</v>
      </c>
      <c r="EG141" s="2" t="s">
        <v>50</v>
      </c>
      <c r="EH141" s="2">
        <v>0</v>
      </c>
      <c r="EI141" s="2" t="s">
        <v>3</v>
      </c>
      <c r="EJ141" s="2">
        <v>1</v>
      </c>
      <c r="EK141" s="2">
        <v>500001</v>
      </c>
      <c r="EL141" s="2" t="s">
        <v>51</v>
      </c>
      <c r="EM141" s="2" t="s">
        <v>52</v>
      </c>
      <c r="EN141" s="2"/>
      <c r="EO141" s="2" t="s">
        <v>3</v>
      </c>
      <c r="EP141" s="2"/>
      <c r="EQ141" s="2">
        <v>0</v>
      </c>
      <c r="ER141" s="2">
        <v>201.05</v>
      </c>
      <c r="ES141" s="2">
        <v>201.05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>
        <v>0</v>
      </c>
      <c r="FR141" s="2">
        <v>0</v>
      </c>
      <c r="FS141" s="2">
        <v>0</v>
      </c>
      <c r="FT141" s="2"/>
      <c r="FU141" s="2"/>
      <c r="FV141" s="2"/>
      <c r="FW141" s="2"/>
      <c r="FX141" s="2">
        <v>0</v>
      </c>
      <c r="FY141" s="2">
        <v>0</v>
      </c>
      <c r="FZ141" s="2"/>
      <c r="GA141" s="2" t="s">
        <v>3</v>
      </c>
      <c r="GB141" s="2"/>
      <c r="GC141" s="2"/>
      <c r="GD141" s="2">
        <v>1</v>
      </c>
      <c r="GE141" s="2">
        <v>225.92</v>
      </c>
      <c r="GF141" s="2">
        <v>918212004</v>
      </c>
      <c r="GG141" s="2">
        <v>2</v>
      </c>
      <c r="GH141" s="2">
        <v>1</v>
      </c>
      <c r="GI141" s="2">
        <v>-2</v>
      </c>
      <c r="GJ141" s="2">
        <v>0</v>
      </c>
      <c r="GK141" s="2">
        <v>0</v>
      </c>
      <c r="GL141" s="2">
        <f t="shared" si="97"/>
        <v>0</v>
      </c>
      <c r="GM141" s="2">
        <f t="shared" si="98"/>
        <v>36.19</v>
      </c>
      <c r="GN141" s="2">
        <f t="shared" si="99"/>
        <v>36.19</v>
      </c>
      <c r="GO141" s="2">
        <f t="shared" si="100"/>
        <v>0</v>
      </c>
      <c r="GP141" s="2">
        <f t="shared" si="101"/>
        <v>0</v>
      </c>
      <c r="GQ141" s="2"/>
      <c r="GR141" s="2">
        <v>3</v>
      </c>
      <c r="GS141" s="2">
        <v>3</v>
      </c>
      <c r="GT141" s="2">
        <v>0</v>
      </c>
      <c r="GU141" s="2" t="s">
        <v>3</v>
      </c>
      <c r="GV141" s="2">
        <f t="shared" si="102"/>
        <v>0</v>
      </c>
      <c r="GW141" s="2">
        <v>1</v>
      </c>
      <c r="GX141" s="2">
        <f t="shared" si="103"/>
        <v>0</v>
      </c>
      <c r="GY141" s="2"/>
      <c r="GZ141" s="2"/>
      <c r="HA141" s="2">
        <v>0</v>
      </c>
      <c r="HB141" s="2">
        <v>0</v>
      </c>
      <c r="HC141" s="2">
        <f t="shared" si="104"/>
        <v>0</v>
      </c>
      <c r="HD141" s="2"/>
      <c r="HE141" s="2" t="s">
        <v>3</v>
      </c>
      <c r="HF141" s="2" t="s">
        <v>3</v>
      </c>
      <c r="HG141" s="2"/>
      <c r="HH141" s="2"/>
      <c r="HI141" s="2"/>
      <c r="HJ141" s="2"/>
      <c r="HK141" s="2"/>
      <c r="HL141" s="2"/>
      <c r="HM141" s="2" t="s">
        <v>3</v>
      </c>
      <c r="HN141" s="2" t="s">
        <v>3</v>
      </c>
      <c r="HO141" s="2" t="s">
        <v>3</v>
      </c>
      <c r="HP141" s="2" t="s">
        <v>3</v>
      </c>
      <c r="HQ141" s="2" t="s">
        <v>3</v>
      </c>
      <c r="HR141" s="2"/>
      <c r="HS141" s="2">
        <v>0</v>
      </c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>
        <v>0</v>
      </c>
      <c r="IL141" s="2"/>
      <c r="IM141" s="2"/>
      <c r="IN141" s="2"/>
      <c r="IO141" s="2"/>
      <c r="IP141" s="2"/>
      <c r="IQ141" s="2"/>
      <c r="IR141" s="2"/>
      <c r="IS141" s="2"/>
      <c r="IT141" s="2"/>
      <c r="IU141" s="2"/>
    </row>
    <row r="142" spans="1:255" x14ac:dyDescent="0.2">
      <c r="A142" s="2">
        <v>17</v>
      </c>
      <c r="B142" s="2">
        <v>1</v>
      </c>
      <c r="C142" s="2"/>
      <c r="D142" s="2"/>
      <c r="E142" s="2" t="s">
        <v>287</v>
      </c>
      <c r="F142" s="2" t="s">
        <v>288</v>
      </c>
      <c r="G142" s="2" t="s">
        <v>289</v>
      </c>
      <c r="H142" s="2" t="s">
        <v>130</v>
      </c>
      <c r="I142" s="2">
        <v>3</v>
      </c>
      <c r="J142" s="2">
        <v>0</v>
      </c>
      <c r="K142" s="2">
        <v>3</v>
      </c>
      <c r="L142" s="2"/>
      <c r="M142" s="2"/>
      <c r="N142" s="2"/>
      <c r="O142" s="2">
        <f t="shared" si="86"/>
        <v>133.41</v>
      </c>
      <c r="P142" s="2">
        <f>ROUND(CQ142*I142,2)</f>
        <v>133.41</v>
      </c>
      <c r="Q142" s="2">
        <f>ROUND(CR142*I142,2)</f>
        <v>0</v>
      </c>
      <c r="R142" s="2">
        <f>ROUND(CS142*I142,2)</f>
        <v>0</v>
      </c>
      <c r="S142" s="2">
        <f>ROUND(CT142*I142,2)</f>
        <v>0</v>
      </c>
      <c r="T142" s="2">
        <f t="shared" si="87"/>
        <v>0</v>
      </c>
      <c r="U142" s="2">
        <f>ROUND(CV142*I142,7)</f>
        <v>0</v>
      </c>
      <c r="V142" s="2">
        <f>ROUND(CW142*I142,7)</f>
        <v>0</v>
      </c>
      <c r="W142" s="2">
        <f t="shared" si="88"/>
        <v>0</v>
      </c>
      <c r="X142" s="2">
        <f t="shared" si="89"/>
        <v>0</v>
      </c>
      <c r="Y142" s="2">
        <f t="shared" si="90"/>
        <v>0</v>
      </c>
      <c r="Z142" s="2"/>
      <c r="AA142" s="2">
        <v>74014550</v>
      </c>
      <c r="AB142" s="2">
        <f t="shared" si="91"/>
        <v>41.56</v>
      </c>
      <c r="AC142" s="2">
        <f>ROUND((ES142),6)</f>
        <v>41.56</v>
      </c>
      <c r="AD142" s="2">
        <f>ROUND((((ET142)-(EU142))+AE142),6)</f>
        <v>0</v>
      </c>
      <c r="AE142" s="2">
        <f>ROUND((EU142),6)</f>
        <v>0</v>
      </c>
      <c r="AF142" s="2">
        <f>ROUND((EV142),6)</f>
        <v>0</v>
      </c>
      <c r="AG142" s="2">
        <f t="shared" si="92"/>
        <v>0</v>
      </c>
      <c r="AH142" s="2">
        <f>(EW142)</f>
        <v>0</v>
      </c>
      <c r="AI142" s="2">
        <f>(EX142)</f>
        <v>0</v>
      </c>
      <c r="AJ142" s="2">
        <f t="shared" si="93"/>
        <v>0</v>
      </c>
      <c r="AK142" s="2">
        <v>41.56</v>
      </c>
      <c r="AL142" s="2">
        <v>41.56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1</v>
      </c>
      <c r="AW142" s="2">
        <v>1</v>
      </c>
      <c r="AX142" s="2"/>
      <c r="AY142" s="2"/>
      <c r="AZ142" s="2">
        <v>1</v>
      </c>
      <c r="BA142" s="2">
        <v>1</v>
      </c>
      <c r="BB142" s="2">
        <v>1</v>
      </c>
      <c r="BC142" s="2">
        <v>1.07</v>
      </c>
      <c r="BD142" s="2" t="s">
        <v>3</v>
      </c>
      <c r="BE142" s="2" t="s">
        <v>3</v>
      </c>
      <c r="BF142" s="2" t="s">
        <v>3</v>
      </c>
      <c r="BG142" s="2" t="s">
        <v>3</v>
      </c>
      <c r="BH142" s="2">
        <v>3</v>
      </c>
      <c r="BI142" s="2">
        <v>1</v>
      </c>
      <c r="BJ142" s="2" t="s">
        <v>290</v>
      </c>
      <c r="BK142" s="2"/>
      <c r="BL142" s="2"/>
      <c r="BM142" s="2">
        <v>500001</v>
      </c>
      <c r="BN142" s="2">
        <v>0</v>
      </c>
      <c r="BO142" s="2" t="s">
        <v>288</v>
      </c>
      <c r="BP142" s="2">
        <v>1</v>
      </c>
      <c r="BQ142" s="2">
        <v>8</v>
      </c>
      <c r="BR142" s="2">
        <v>0</v>
      </c>
      <c r="BS142" s="2">
        <v>1</v>
      </c>
      <c r="BT142" s="2">
        <v>1</v>
      </c>
      <c r="BU142" s="2">
        <v>1</v>
      </c>
      <c r="BV142" s="2">
        <v>1</v>
      </c>
      <c r="BW142" s="2">
        <v>1</v>
      </c>
      <c r="BX142" s="2">
        <v>1</v>
      </c>
      <c r="BY142" s="2" t="s">
        <v>3</v>
      </c>
      <c r="BZ142" s="2">
        <v>0</v>
      </c>
      <c r="CA142" s="2">
        <v>0</v>
      </c>
      <c r="CB142" s="2" t="s">
        <v>3</v>
      </c>
      <c r="CC142" s="2"/>
      <c r="CD142" s="2"/>
      <c r="CE142" s="2">
        <v>0</v>
      </c>
      <c r="CF142" s="2">
        <v>0</v>
      </c>
      <c r="CG142" s="2">
        <v>0</v>
      </c>
      <c r="CH142" s="2"/>
      <c r="CI142" s="2"/>
      <c r="CJ142" s="2"/>
      <c r="CK142" s="2"/>
      <c r="CL142" s="2"/>
      <c r="CM142" s="2">
        <v>0</v>
      </c>
      <c r="CN142" s="2" t="s">
        <v>3</v>
      </c>
      <c r="CO142" s="2">
        <v>0</v>
      </c>
      <c r="CP142" s="2">
        <f t="shared" si="94"/>
        <v>133.41</v>
      </c>
      <c r="CQ142" s="2">
        <f>ROUND(AL142*BC142,2)</f>
        <v>44.47</v>
      </c>
      <c r="CR142" s="2">
        <f>ROUND(AM142*BB142,2)</f>
        <v>0</v>
      </c>
      <c r="CS142" s="2">
        <f>ROUND(AN142*BS142,2)</f>
        <v>0</v>
      </c>
      <c r="CT142" s="2">
        <f>ROUND(AO142*BA142,2)</f>
        <v>0</v>
      </c>
      <c r="CU142" s="2">
        <f t="shared" si="95"/>
        <v>0</v>
      </c>
      <c r="CV142" s="2">
        <f>AH142</f>
        <v>0</v>
      </c>
      <c r="CW142" s="2">
        <f>AI142</f>
        <v>0</v>
      </c>
      <c r="CX142" s="2">
        <f t="shared" si="96"/>
        <v>0</v>
      </c>
      <c r="CY142" s="2">
        <f>0</f>
        <v>0</v>
      </c>
      <c r="CZ142" s="2">
        <f>0</f>
        <v>0</v>
      </c>
      <c r="DA142" s="2"/>
      <c r="DB142" s="2"/>
      <c r="DC142" s="2" t="s">
        <v>3</v>
      </c>
      <c r="DD142" s="2" t="s">
        <v>3</v>
      </c>
      <c r="DE142" s="2" t="s">
        <v>3</v>
      </c>
      <c r="DF142" s="2" t="s">
        <v>3</v>
      </c>
      <c r="DG142" s="2" t="s">
        <v>3</v>
      </c>
      <c r="DH142" s="2" t="s">
        <v>3</v>
      </c>
      <c r="DI142" s="2" t="s">
        <v>3</v>
      </c>
      <c r="DJ142" s="2" t="s">
        <v>3</v>
      </c>
      <c r="DK142" s="2" t="s">
        <v>3</v>
      </c>
      <c r="DL142" s="2" t="s">
        <v>3</v>
      </c>
      <c r="DM142" s="2" t="s">
        <v>3</v>
      </c>
      <c r="DN142" s="2">
        <v>0</v>
      </c>
      <c r="DO142" s="2">
        <v>0</v>
      </c>
      <c r="DP142" s="2">
        <v>1</v>
      </c>
      <c r="DQ142" s="2">
        <v>1</v>
      </c>
      <c r="DR142" s="2"/>
      <c r="DS142" s="2"/>
      <c r="DT142" s="2"/>
      <c r="DU142" s="2">
        <v>1013</v>
      </c>
      <c r="DV142" s="2" t="s">
        <v>130</v>
      </c>
      <c r="DW142" s="2" t="s">
        <v>130</v>
      </c>
      <c r="DX142" s="2">
        <v>1</v>
      </c>
      <c r="DY142" s="2"/>
      <c r="DZ142" s="2" t="s">
        <v>3</v>
      </c>
      <c r="EA142" s="2" t="s">
        <v>3</v>
      </c>
      <c r="EB142" s="2" t="s">
        <v>3</v>
      </c>
      <c r="EC142" s="2" t="s">
        <v>3</v>
      </c>
      <c r="ED142" s="2"/>
      <c r="EE142" s="2">
        <v>72340530</v>
      </c>
      <c r="EF142" s="2">
        <v>8</v>
      </c>
      <c r="EG142" s="2" t="s">
        <v>50</v>
      </c>
      <c r="EH142" s="2">
        <v>0</v>
      </c>
      <c r="EI142" s="2" t="s">
        <v>3</v>
      </c>
      <c r="EJ142" s="2">
        <v>1</v>
      </c>
      <c r="EK142" s="2">
        <v>500001</v>
      </c>
      <c r="EL142" s="2" t="s">
        <v>51</v>
      </c>
      <c r="EM142" s="2" t="s">
        <v>52</v>
      </c>
      <c r="EN142" s="2"/>
      <c r="EO142" s="2" t="s">
        <v>3</v>
      </c>
      <c r="EP142" s="2"/>
      <c r="EQ142" s="2">
        <v>0</v>
      </c>
      <c r="ER142" s="2">
        <v>41.56</v>
      </c>
      <c r="ES142" s="2">
        <v>41.56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>
        <v>0</v>
      </c>
      <c r="FR142" s="2">
        <v>0</v>
      </c>
      <c r="FS142" s="2">
        <v>0</v>
      </c>
      <c r="FT142" s="2"/>
      <c r="FU142" s="2"/>
      <c r="FV142" s="2"/>
      <c r="FW142" s="2"/>
      <c r="FX142" s="2">
        <v>0</v>
      </c>
      <c r="FY142" s="2">
        <v>0</v>
      </c>
      <c r="FZ142" s="2"/>
      <c r="GA142" s="2" t="s">
        <v>3</v>
      </c>
      <c r="GB142" s="2"/>
      <c r="GC142" s="2"/>
      <c r="GD142" s="2">
        <v>1</v>
      </c>
      <c r="GE142" s="2"/>
      <c r="GF142" s="2">
        <v>926383608</v>
      </c>
      <c r="GG142" s="2">
        <v>2</v>
      </c>
      <c r="GH142" s="2">
        <v>1</v>
      </c>
      <c r="GI142" s="2">
        <v>2</v>
      </c>
      <c r="GJ142" s="2">
        <v>0</v>
      </c>
      <c r="GK142" s="2">
        <v>0</v>
      </c>
      <c r="GL142" s="2">
        <f t="shared" si="97"/>
        <v>0</v>
      </c>
      <c r="GM142" s="2">
        <f t="shared" si="98"/>
        <v>133.41</v>
      </c>
      <c r="GN142" s="2">
        <f t="shared" si="99"/>
        <v>133.41</v>
      </c>
      <c r="GO142" s="2">
        <f t="shared" si="100"/>
        <v>0</v>
      </c>
      <c r="GP142" s="2">
        <f t="shared" si="101"/>
        <v>0</v>
      </c>
      <c r="GQ142" s="2"/>
      <c r="GR142" s="2">
        <v>0</v>
      </c>
      <c r="GS142" s="2">
        <v>3</v>
      </c>
      <c r="GT142" s="2">
        <v>0</v>
      </c>
      <c r="GU142" s="2" t="s">
        <v>3</v>
      </c>
      <c r="GV142" s="2">
        <f t="shared" si="102"/>
        <v>0</v>
      </c>
      <c r="GW142" s="2">
        <v>1</v>
      </c>
      <c r="GX142" s="2">
        <f t="shared" si="103"/>
        <v>0</v>
      </c>
      <c r="GY142" s="2"/>
      <c r="GZ142" s="2"/>
      <c r="HA142" s="2">
        <v>0</v>
      </c>
      <c r="HB142" s="2">
        <v>0</v>
      </c>
      <c r="HC142" s="2">
        <f t="shared" si="104"/>
        <v>0</v>
      </c>
      <c r="HD142" s="2"/>
      <c r="HE142" s="2" t="s">
        <v>3</v>
      </c>
      <c r="HF142" s="2" t="s">
        <v>3</v>
      </c>
      <c r="HG142" s="2"/>
      <c r="HH142" s="2"/>
      <c r="HI142" s="2"/>
      <c r="HJ142" s="2"/>
      <c r="HK142" s="2"/>
      <c r="HL142" s="2"/>
      <c r="HM142" s="2" t="s">
        <v>3</v>
      </c>
      <c r="HN142" s="2" t="s">
        <v>3</v>
      </c>
      <c r="HO142" s="2" t="s">
        <v>3</v>
      </c>
      <c r="HP142" s="2" t="s">
        <v>3</v>
      </c>
      <c r="HQ142" s="2" t="s">
        <v>3</v>
      </c>
      <c r="HR142" s="2"/>
      <c r="HS142" s="2">
        <v>0</v>
      </c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>
        <v>0</v>
      </c>
      <c r="IL142" s="2"/>
      <c r="IM142" s="2"/>
      <c r="IN142" s="2"/>
      <c r="IO142" s="2"/>
      <c r="IP142" s="2"/>
      <c r="IQ142" s="2"/>
      <c r="IR142" s="2"/>
      <c r="IS142" s="2"/>
      <c r="IT142" s="2"/>
      <c r="IU142" s="2"/>
    </row>
    <row r="143" spans="1:255" x14ac:dyDescent="0.2">
      <c r="A143" s="2">
        <v>17</v>
      </c>
      <c r="B143" s="2">
        <v>1</v>
      </c>
      <c r="C143" s="2">
        <f>ROW(SmtRes!A153)</f>
        <v>153</v>
      </c>
      <c r="D143" s="2">
        <f>ROW(EtalonRes!A169)</f>
        <v>169</v>
      </c>
      <c r="E143" s="2" t="s">
        <v>291</v>
      </c>
      <c r="F143" s="2" t="s">
        <v>292</v>
      </c>
      <c r="G143" s="2" t="s">
        <v>293</v>
      </c>
      <c r="H143" s="2" t="s">
        <v>31</v>
      </c>
      <c r="I143" s="2">
        <f>ROUND(0.048/100,7)</f>
        <v>4.8000000000000001E-4</v>
      </c>
      <c r="J143" s="2">
        <v>0</v>
      </c>
      <c r="K143" s="2">
        <f>ROUND(0.048/100,7)</f>
        <v>4.8000000000000001E-4</v>
      </c>
      <c r="L143" s="2"/>
      <c r="M143" s="2"/>
      <c r="N143" s="2"/>
      <c r="O143" s="2">
        <f t="shared" si="86"/>
        <v>126.51</v>
      </c>
      <c r="P143" s="2">
        <f>SUMIF(SmtRes!AQ137:'SmtRes'!AQ153,"=1",SmtRes!DF137:'SmtRes'!DF153)</f>
        <v>9.1</v>
      </c>
      <c r="Q143" s="2">
        <f>SUMIF(SmtRes!AQ137:'SmtRes'!AQ153,"=1",SmtRes!DG137:'SmtRes'!DG153)</f>
        <v>41.59</v>
      </c>
      <c r="R143" s="2">
        <f>SUMIF(SmtRes!AQ137:'SmtRes'!AQ153,"=1",SmtRes!DH137:'SmtRes'!DH153)</f>
        <v>9.16</v>
      </c>
      <c r="S143" s="2">
        <f>SUMIF(SmtRes!AQ137:'SmtRes'!AQ153,"=1",SmtRes!DI137:'SmtRes'!DI153)</f>
        <v>66.66</v>
      </c>
      <c r="T143" s="2">
        <f t="shared" si="87"/>
        <v>0</v>
      </c>
      <c r="U143" s="2">
        <f>SUMIF(SmtRes!AQ137:'SmtRes'!AQ153,"=1",SmtRes!CV137:'SmtRes'!CV153)</f>
        <v>0.18912000000000001</v>
      </c>
      <c r="V143" s="2">
        <f>SUMIF(SmtRes!AQ137:'SmtRes'!AQ153,"=1",SmtRes!CW137:'SmtRes'!CW153)</f>
        <v>1.72176E-2</v>
      </c>
      <c r="W143" s="2">
        <f t="shared" si="88"/>
        <v>0</v>
      </c>
      <c r="X143" s="2">
        <f t="shared" si="89"/>
        <v>77.34</v>
      </c>
      <c r="Y143" s="2">
        <f t="shared" si="90"/>
        <v>43.98</v>
      </c>
      <c r="Z143" s="2"/>
      <c r="AA143" s="2">
        <v>74014550</v>
      </c>
      <c r="AB143" s="2">
        <f t="shared" si="91"/>
        <v>215165.9566</v>
      </c>
      <c r="AC143" s="2">
        <f>ROUND((SUM(SmtRes!BQ137:'SmtRes'!BQ153)),6)</f>
        <v>16329.63</v>
      </c>
      <c r="AD143" s="2">
        <f>ROUND((((SUM(SmtRes!BR137:'SmtRes'!BR153))-(SUM(SmtRes!BS137:'SmtRes'!BS153)))+AE143),6)</f>
        <v>59971.026599999997</v>
      </c>
      <c r="AE143" s="2">
        <f>ROUND((SUM(SmtRes!BS137:'SmtRes'!BS153)),6)</f>
        <v>19073.371800000001</v>
      </c>
      <c r="AF143" s="2">
        <f>ROUND((SUM(SmtRes!BT137:'SmtRes'!BT153)),6)</f>
        <v>138865.29999999999</v>
      </c>
      <c r="AG143" s="2">
        <f t="shared" si="92"/>
        <v>0</v>
      </c>
      <c r="AH143" s="2">
        <f>(SUM(SmtRes!BU137:'SmtRes'!BU153))</f>
        <v>394</v>
      </c>
      <c r="AI143" s="2">
        <f>(SUM(SmtRes!BV137:'SmtRes'!BV153))</f>
        <v>35.869999999999997</v>
      </c>
      <c r="AJ143" s="2">
        <f t="shared" si="93"/>
        <v>0</v>
      </c>
      <c r="AK143" s="2">
        <v>234239.32839999997</v>
      </c>
      <c r="AL143" s="2">
        <v>16329.63</v>
      </c>
      <c r="AM143" s="2">
        <v>59971.026599999997</v>
      </c>
      <c r="AN143" s="2">
        <v>19073.371799999997</v>
      </c>
      <c r="AO143" s="2">
        <v>138865.29999999999</v>
      </c>
      <c r="AP143" s="2">
        <v>0</v>
      </c>
      <c r="AQ143" s="2">
        <v>394</v>
      </c>
      <c r="AR143" s="2">
        <v>35.869999999999997</v>
      </c>
      <c r="AS143" s="2">
        <v>0</v>
      </c>
      <c r="AT143" s="2">
        <v>102</v>
      </c>
      <c r="AU143" s="2">
        <v>58</v>
      </c>
      <c r="AV143" s="2">
        <v>1</v>
      </c>
      <c r="AW143" s="2">
        <v>1</v>
      </c>
      <c r="AX143" s="2"/>
      <c r="AY143" s="2"/>
      <c r="AZ143" s="2">
        <v>1</v>
      </c>
      <c r="BA143" s="2">
        <v>1</v>
      </c>
      <c r="BB143" s="2">
        <v>1</v>
      </c>
      <c r="BC143" s="2">
        <v>1</v>
      </c>
      <c r="BD143" s="2" t="s">
        <v>3</v>
      </c>
      <c r="BE143" s="2" t="s">
        <v>3</v>
      </c>
      <c r="BF143" s="2" t="s">
        <v>3</v>
      </c>
      <c r="BG143" s="2" t="s">
        <v>3</v>
      </c>
      <c r="BH143" s="2">
        <v>0</v>
      </c>
      <c r="BI143" s="2">
        <v>1</v>
      </c>
      <c r="BJ143" s="2" t="s">
        <v>294</v>
      </c>
      <c r="BK143" s="2"/>
      <c r="BL143" s="2"/>
      <c r="BM143" s="2">
        <v>6001</v>
      </c>
      <c r="BN143" s="2">
        <v>0</v>
      </c>
      <c r="BO143" s="2" t="s">
        <v>3</v>
      </c>
      <c r="BP143" s="2">
        <v>0</v>
      </c>
      <c r="BQ143" s="2">
        <v>2</v>
      </c>
      <c r="BR143" s="2">
        <v>0</v>
      </c>
      <c r="BS143" s="2">
        <v>1</v>
      </c>
      <c r="BT143" s="2">
        <v>1</v>
      </c>
      <c r="BU143" s="2">
        <v>1</v>
      </c>
      <c r="BV143" s="2">
        <v>1</v>
      </c>
      <c r="BW143" s="2">
        <v>1</v>
      </c>
      <c r="BX143" s="2">
        <v>1</v>
      </c>
      <c r="BY143" s="2" t="s">
        <v>3</v>
      </c>
      <c r="BZ143" s="2">
        <v>102</v>
      </c>
      <c r="CA143" s="2">
        <v>58</v>
      </c>
      <c r="CB143" s="2" t="s">
        <v>3</v>
      </c>
      <c r="CC143" s="2"/>
      <c r="CD143" s="2"/>
      <c r="CE143" s="2">
        <v>0</v>
      </c>
      <c r="CF143" s="2">
        <v>0</v>
      </c>
      <c r="CG143" s="2">
        <v>0</v>
      </c>
      <c r="CH143" s="2"/>
      <c r="CI143" s="2"/>
      <c r="CJ143" s="2"/>
      <c r="CK143" s="2"/>
      <c r="CL143" s="2"/>
      <c r="CM143" s="2">
        <v>0</v>
      </c>
      <c r="CN143" s="2" t="s">
        <v>3</v>
      </c>
      <c r="CO143" s="2">
        <v>0</v>
      </c>
      <c r="CP143" s="2">
        <f t="shared" si="94"/>
        <v>126.50999999999999</v>
      </c>
      <c r="CQ143" s="2">
        <f>SUMIF(SmtRes!AQ137:'SmtRes'!AQ153,"=1",SmtRes!AA137:'SmtRes'!AA153)</f>
        <v>180796.83000000005</v>
      </c>
      <c r="CR143" s="2">
        <f>SUMIF(SmtRes!AQ137:'SmtRes'!AQ153,"=1",SmtRes!AB137:'SmtRes'!AB153)</f>
        <v>6691.05</v>
      </c>
      <c r="CS143" s="2">
        <f>SUMIF(SmtRes!AQ137:'SmtRes'!AQ153,"=1",SmtRes!AC137:'SmtRes'!AC153)</f>
        <v>1935.5</v>
      </c>
      <c r="CT143" s="2">
        <f>SUMIF(SmtRes!AQ137:'SmtRes'!AQ153,"=1",SmtRes!AD137:'SmtRes'!AD153)</f>
        <v>352.45</v>
      </c>
      <c r="CU143" s="2">
        <f t="shared" si="95"/>
        <v>0</v>
      </c>
      <c r="CV143" s="2">
        <f>SUMIF(SmtRes!AQ137:'SmtRes'!AQ153,"=1",SmtRes!BU137:'SmtRes'!BU153)</f>
        <v>394</v>
      </c>
      <c r="CW143" s="2">
        <f>SUMIF(SmtRes!AQ137:'SmtRes'!AQ153,"=1",SmtRes!BV137:'SmtRes'!BV153)</f>
        <v>35.869999999999997</v>
      </c>
      <c r="CX143" s="2">
        <f t="shared" si="96"/>
        <v>0</v>
      </c>
      <c r="CY143" s="2">
        <f>(((S143+R143)*AT143)/100)</f>
        <v>77.336399999999998</v>
      </c>
      <c r="CZ143" s="2">
        <f>(((S143+R143)*AU143)/100)</f>
        <v>43.975599999999993</v>
      </c>
      <c r="DA143" s="2"/>
      <c r="DB143" s="2"/>
      <c r="DC143" s="2" t="s">
        <v>3</v>
      </c>
      <c r="DD143" s="2" t="s">
        <v>3</v>
      </c>
      <c r="DE143" s="2" t="s">
        <v>3</v>
      </c>
      <c r="DF143" s="2" t="s">
        <v>3</v>
      </c>
      <c r="DG143" s="2" t="s">
        <v>3</v>
      </c>
      <c r="DH143" s="2" t="s">
        <v>3</v>
      </c>
      <c r="DI143" s="2" t="s">
        <v>3</v>
      </c>
      <c r="DJ143" s="2" t="s">
        <v>3</v>
      </c>
      <c r="DK143" s="2" t="s">
        <v>3</v>
      </c>
      <c r="DL143" s="2" t="s">
        <v>3</v>
      </c>
      <c r="DM143" s="2" t="s">
        <v>3</v>
      </c>
      <c r="DN143" s="2">
        <v>0</v>
      </c>
      <c r="DO143" s="2">
        <v>0</v>
      </c>
      <c r="DP143" s="2">
        <v>1</v>
      </c>
      <c r="DQ143" s="2">
        <v>1</v>
      </c>
      <c r="DR143" s="2"/>
      <c r="DS143" s="2"/>
      <c r="DT143" s="2"/>
      <c r="DU143" s="2">
        <v>1007</v>
      </c>
      <c r="DV143" s="2" t="s">
        <v>31</v>
      </c>
      <c r="DW143" s="2" t="s">
        <v>31</v>
      </c>
      <c r="DX143" s="2">
        <v>100</v>
      </c>
      <c r="DY143" s="2"/>
      <c r="DZ143" s="2" t="s">
        <v>3</v>
      </c>
      <c r="EA143" s="2" t="s">
        <v>3</v>
      </c>
      <c r="EB143" s="2" t="s">
        <v>3</v>
      </c>
      <c r="EC143" s="2" t="s">
        <v>3</v>
      </c>
      <c r="ED143" s="2"/>
      <c r="EE143" s="2">
        <v>72340584</v>
      </c>
      <c r="EF143" s="2">
        <v>2</v>
      </c>
      <c r="EG143" s="2" t="s">
        <v>23</v>
      </c>
      <c r="EH143" s="2">
        <v>6</v>
      </c>
      <c r="EI143" s="2" t="s">
        <v>232</v>
      </c>
      <c r="EJ143" s="2">
        <v>1</v>
      </c>
      <c r="EK143" s="2">
        <v>6001</v>
      </c>
      <c r="EL143" s="2" t="s">
        <v>232</v>
      </c>
      <c r="EM143" s="2" t="s">
        <v>233</v>
      </c>
      <c r="EN143" s="2"/>
      <c r="EO143" s="2" t="s">
        <v>3</v>
      </c>
      <c r="EP143" s="2"/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394</v>
      </c>
      <c r="EX143" s="2">
        <v>35.869999999999997</v>
      </c>
      <c r="EY143" s="2">
        <v>0</v>
      </c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>
        <v>0</v>
      </c>
      <c r="FR143" s="2">
        <v>0</v>
      </c>
      <c r="FS143" s="2">
        <v>0</v>
      </c>
      <c r="FT143" s="2"/>
      <c r="FU143" s="2"/>
      <c r="FV143" s="2"/>
      <c r="FW143" s="2"/>
      <c r="FX143" s="2">
        <v>102</v>
      </c>
      <c r="FY143" s="2">
        <v>58</v>
      </c>
      <c r="FZ143" s="2"/>
      <c r="GA143" s="2" t="s">
        <v>3</v>
      </c>
      <c r="GB143" s="2"/>
      <c r="GC143" s="2"/>
      <c r="GD143" s="2">
        <v>1</v>
      </c>
      <c r="GE143" s="2"/>
      <c r="GF143" s="2">
        <v>-883244974</v>
      </c>
      <c r="GG143" s="2">
        <v>2</v>
      </c>
      <c r="GH143" s="2">
        <v>1</v>
      </c>
      <c r="GI143" s="2">
        <v>-2</v>
      </c>
      <c r="GJ143" s="2">
        <v>0</v>
      </c>
      <c r="GK143" s="2">
        <v>0</v>
      </c>
      <c r="GL143" s="2">
        <f t="shared" si="97"/>
        <v>0</v>
      </c>
      <c r="GM143" s="2">
        <f t="shared" si="98"/>
        <v>247.83</v>
      </c>
      <c r="GN143" s="2">
        <f t="shared" si="99"/>
        <v>247.83</v>
      </c>
      <c r="GO143" s="2">
        <f t="shared" si="100"/>
        <v>0</v>
      </c>
      <c r="GP143" s="2">
        <f t="shared" si="101"/>
        <v>0</v>
      </c>
      <c r="GQ143" s="2"/>
      <c r="GR143" s="2">
        <v>0</v>
      </c>
      <c r="GS143" s="2">
        <v>3</v>
      </c>
      <c r="GT143" s="2">
        <v>0</v>
      </c>
      <c r="GU143" s="2" t="s">
        <v>3</v>
      </c>
      <c r="GV143" s="2">
        <f t="shared" si="102"/>
        <v>0</v>
      </c>
      <c r="GW143" s="2">
        <v>1</v>
      </c>
      <c r="GX143" s="2">
        <f t="shared" si="103"/>
        <v>0</v>
      </c>
      <c r="GY143" s="2"/>
      <c r="GZ143" s="2"/>
      <c r="HA143" s="2">
        <v>0</v>
      </c>
      <c r="HB143" s="2">
        <v>0</v>
      </c>
      <c r="HC143" s="2">
        <f t="shared" si="104"/>
        <v>0</v>
      </c>
      <c r="HD143" s="2"/>
      <c r="HE143" s="2" t="s">
        <v>3</v>
      </c>
      <c r="HF143" s="2" t="s">
        <v>3</v>
      </c>
      <c r="HG143" s="2"/>
      <c r="HH143" s="2"/>
      <c r="HI143" s="2"/>
      <c r="HJ143" s="2"/>
      <c r="HK143" s="2"/>
      <c r="HL143" s="2"/>
      <c r="HM143" s="2" t="s">
        <v>3</v>
      </c>
      <c r="HN143" s="2" t="s">
        <v>234</v>
      </c>
      <c r="HO143" s="2" t="s">
        <v>235</v>
      </c>
      <c r="HP143" s="2" t="s">
        <v>232</v>
      </c>
      <c r="HQ143" s="2" t="s">
        <v>232</v>
      </c>
      <c r="HR143" s="2"/>
      <c r="HS143" s="2">
        <v>0</v>
      </c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>
        <v>0</v>
      </c>
      <c r="IL143" s="2"/>
      <c r="IM143" s="2"/>
      <c r="IN143" s="2"/>
      <c r="IO143" s="2"/>
      <c r="IP143" s="2"/>
      <c r="IQ143" s="2"/>
      <c r="IR143" s="2"/>
      <c r="IS143" s="2"/>
      <c r="IT143" s="2"/>
      <c r="IU143" s="2"/>
    </row>
    <row r="144" spans="1:255" x14ac:dyDescent="0.2">
      <c r="A144" s="2">
        <v>17</v>
      </c>
      <c r="B144" s="2">
        <v>1</v>
      </c>
      <c r="C144" s="2"/>
      <c r="D144" s="2"/>
      <c r="E144" s="2" t="s">
        <v>295</v>
      </c>
      <c r="F144" s="2" t="s">
        <v>296</v>
      </c>
      <c r="G144" s="2" t="s">
        <v>297</v>
      </c>
      <c r="H144" s="2" t="s">
        <v>48</v>
      </c>
      <c r="I144" s="2">
        <v>4.2000000000000003E-2</v>
      </c>
      <c r="J144" s="2">
        <v>0</v>
      </c>
      <c r="K144" s="2">
        <v>4.2000000000000003E-2</v>
      </c>
      <c r="L144" s="2"/>
      <c r="M144" s="2"/>
      <c r="N144" s="2"/>
      <c r="O144" s="2">
        <f t="shared" si="86"/>
        <v>2094</v>
      </c>
      <c r="P144" s="2">
        <f>ROUND(CQ144*I144,2)</f>
        <v>2094</v>
      </c>
      <c r="Q144" s="2">
        <f>ROUND(CR144*I144,2)</f>
        <v>0</v>
      </c>
      <c r="R144" s="2">
        <f>ROUND(CS144*I144,2)</f>
        <v>0</v>
      </c>
      <c r="S144" s="2">
        <f>ROUND(CT144*I144,2)</f>
        <v>0</v>
      </c>
      <c r="T144" s="2">
        <f t="shared" si="87"/>
        <v>0</v>
      </c>
      <c r="U144" s="2">
        <f>ROUND(CV144*I144,7)</f>
        <v>0</v>
      </c>
      <c r="V144" s="2">
        <f>ROUND(CW144*I144,7)</f>
        <v>0</v>
      </c>
      <c r="W144" s="2">
        <f t="shared" si="88"/>
        <v>0</v>
      </c>
      <c r="X144" s="2">
        <f t="shared" si="89"/>
        <v>0</v>
      </c>
      <c r="Y144" s="2">
        <f t="shared" si="90"/>
        <v>0</v>
      </c>
      <c r="Z144" s="2"/>
      <c r="AA144" s="2">
        <v>74014550</v>
      </c>
      <c r="AB144" s="2">
        <f t="shared" si="91"/>
        <v>34865.08</v>
      </c>
      <c r="AC144" s="2">
        <f>ROUND((ES144),6)</f>
        <v>34865.08</v>
      </c>
      <c r="AD144" s="2">
        <f>ROUND((((ET144)-(EU144))+AE144),6)</f>
        <v>0</v>
      </c>
      <c r="AE144" s="2">
        <f>ROUND((EU144),6)</f>
        <v>0</v>
      </c>
      <c r="AF144" s="2">
        <f>ROUND((EV144),6)</f>
        <v>0</v>
      </c>
      <c r="AG144" s="2">
        <f t="shared" si="92"/>
        <v>0</v>
      </c>
      <c r="AH144" s="2">
        <f>(EW144)</f>
        <v>0</v>
      </c>
      <c r="AI144" s="2">
        <f>(EX144)</f>
        <v>0</v>
      </c>
      <c r="AJ144" s="2">
        <f t="shared" si="93"/>
        <v>0</v>
      </c>
      <c r="AK144" s="2">
        <v>34865.08</v>
      </c>
      <c r="AL144" s="2">
        <v>34865.08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1</v>
      </c>
      <c r="AW144" s="2">
        <v>1</v>
      </c>
      <c r="AX144" s="2"/>
      <c r="AY144" s="2"/>
      <c r="AZ144" s="2">
        <v>1</v>
      </c>
      <c r="BA144" s="2">
        <v>1</v>
      </c>
      <c r="BB144" s="2">
        <v>1</v>
      </c>
      <c r="BC144" s="2">
        <v>1.43</v>
      </c>
      <c r="BD144" s="2" t="s">
        <v>3</v>
      </c>
      <c r="BE144" s="2" t="s">
        <v>3</v>
      </c>
      <c r="BF144" s="2" t="s">
        <v>3</v>
      </c>
      <c r="BG144" s="2" t="s">
        <v>3</v>
      </c>
      <c r="BH144" s="2">
        <v>3</v>
      </c>
      <c r="BI144" s="2">
        <v>1</v>
      </c>
      <c r="BJ144" s="2" t="s">
        <v>298</v>
      </c>
      <c r="BK144" s="2"/>
      <c r="BL144" s="2"/>
      <c r="BM144" s="2">
        <v>500001</v>
      </c>
      <c r="BN144" s="2">
        <v>0</v>
      </c>
      <c r="BO144" s="2" t="s">
        <v>296</v>
      </c>
      <c r="BP144" s="2">
        <v>1</v>
      </c>
      <c r="BQ144" s="2">
        <v>8</v>
      </c>
      <c r="BR144" s="2">
        <v>0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 t="s">
        <v>3</v>
      </c>
      <c r="BZ144" s="2">
        <v>0</v>
      </c>
      <c r="CA144" s="2">
        <v>0</v>
      </c>
      <c r="CB144" s="2" t="s">
        <v>3</v>
      </c>
      <c r="CC144" s="2"/>
      <c r="CD144" s="2"/>
      <c r="CE144" s="2">
        <v>0</v>
      </c>
      <c r="CF144" s="2">
        <v>0</v>
      </c>
      <c r="CG144" s="2">
        <v>0</v>
      </c>
      <c r="CH144" s="2"/>
      <c r="CI144" s="2"/>
      <c r="CJ144" s="2"/>
      <c r="CK144" s="2"/>
      <c r="CL144" s="2"/>
      <c r="CM144" s="2">
        <v>0</v>
      </c>
      <c r="CN144" s="2" t="s">
        <v>3</v>
      </c>
      <c r="CO144" s="2">
        <v>0</v>
      </c>
      <c r="CP144" s="2">
        <f t="shared" si="94"/>
        <v>2094</v>
      </c>
      <c r="CQ144" s="2">
        <f>ROUND(AL144*BC144,2)</f>
        <v>49857.06</v>
      </c>
      <c r="CR144" s="2">
        <f>ROUND(AM144*BB144,2)</f>
        <v>0</v>
      </c>
      <c r="CS144" s="2">
        <f>ROUND(AN144*BS144,2)</f>
        <v>0</v>
      </c>
      <c r="CT144" s="2">
        <f>ROUND(AO144*BA144,2)</f>
        <v>0</v>
      </c>
      <c r="CU144" s="2">
        <f t="shared" si="95"/>
        <v>0</v>
      </c>
      <c r="CV144" s="2">
        <f>AH144</f>
        <v>0</v>
      </c>
      <c r="CW144" s="2">
        <f>AI144</f>
        <v>0</v>
      </c>
      <c r="CX144" s="2">
        <f t="shared" si="96"/>
        <v>0</v>
      </c>
      <c r="CY144" s="2">
        <f>0</f>
        <v>0</v>
      </c>
      <c r="CZ144" s="2">
        <f>0</f>
        <v>0</v>
      </c>
      <c r="DA144" s="2"/>
      <c r="DB144" s="2"/>
      <c r="DC144" s="2" t="s">
        <v>3</v>
      </c>
      <c r="DD144" s="2" t="s">
        <v>3</v>
      </c>
      <c r="DE144" s="2" t="s">
        <v>3</v>
      </c>
      <c r="DF144" s="2" t="s">
        <v>3</v>
      </c>
      <c r="DG144" s="2" t="s">
        <v>3</v>
      </c>
      <c r="DH144" s="2" t="s">
        <v>3</v>
      </c>
      <c r="DI144" s="2" t="s">
        <v>3</v>
      </c>
      <c r="DJ144" s="2" t="s">
        <v>3</v>
      </c>
      <c r="DK144" s="2" t="s">
        <v>3</v>
      </c>
      <c r="DL144" s="2" t="s">
        <v>3</v>
      </c>
      <c r="DM144" s="2" t="s">
        <v>3</v>
      </c>
      <c r="DN144" s="2">
        <v>0</v>
      </c>
      <c r="DO144" s="2">
        <v>0</v>
      </c>
      <c r="DP144" s="2">
        <v>1</v>
      </c>
      <c r="DQ144" s="2">
        <v>1</v>
      </c>
      <c r="DR144" s="2"/>
      <c r="DS144" s="2"/>
      <c r="DT144" s="2"/>
      <c r="DU144" s="2">
        <v>1007</v>
      </c>
      <c r="DV144" s="2" t="s">
        <v>48</v>
      </c>
      <c r="DW144" s="2" t="s">
        <v>48</v>
      </c>
      <c r="DX144" s="2">
        <v>1</v>
      </c>
      <c r="DY144" s="2"/>
      <c r="DZ144" s="2" t="s">
        <v>3</v>
      </c>
      <c r="EA144" s="2" t="s">
        <v>3</v>
      </c>
      <c r="EB144" s="2" t="s">
        <v>3</v>
      </c>
      <c r="EC144" s="2" t="s">
        <v>3</v>
      </c>
      <c r="ED144" s="2"/>
      <c r="EE144" s="2">
        <v>72340530</v>
      </c>
      <c r="EF144" s="2">
        <v>8</v>
      </c>
      <c r="EG144" s="2" t="s">
        <v>50</v>
      </c>
      <c r="EH144" s="2">
        <v>0</v>
      </c>
      <c r="EI144" s="2" t="s">
        <v>3</v>
      </c>
      <c r="EJ144" s="2">
        <v>1</v>
      </c>
      <c r="EK144" s="2">
        <v>500001</v>
      </c>
      <c r="EL144" s="2" t="s">
        <v>51</v>
      </c>
      <c r="EM144" s="2" t="s">
        <v>52</v>
      </c>
      <c r="EN144" s="2"/>
      <c r="EO144" s="2" t="s">
        <v>3</v>
      </c>
      <c r="EP144" s="2"/>
      <c r="EQ144" s="2">
        <v>0</v>
      </c>
      <c r="ER144" s="2">
        <v>34865.08</v>
      </c>
      <c r="ES144" s="2">
        <v>34865.08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>
        <v>0</v>
      </c>
      <c r="FR144" s="2">
        <v>0</v>
      </c>
      <c r="FS144" s="2">
        <v>0</v>
      </c>
      <c r="FT144" s="2"/>
      <c r="FU144" s="2"/>
      <c r="FV144" s="2"/>
      <c r="FW144" s="2"/>
      <c r="FX144" s="2">
        <v>0</v>
      </c>
      <c r="FY144" s="2">
        <v>0</v>
      </c>
      <c r="FZ144" s="2"/>
      <c r="GA144" s="2" t="s">
        <v>3</v>
      </c>
      <c r="GB144" s="2"/>
      <c r="GC144" s="2"/>
      <c r="GD144" s="2">
        <v>1</v>
      </c>
      <c r="GE144" s="2"/>
      <c r="GF144" s="2">
        <v>950403443</v>
      </c>
      <c r="GG144" s="2">
        <v>2</v>
      </c>
      <c r="GH144" s="2">
        <v>1</v>
      </c>
      <c r="GI144" s="2">
        <v>2</v>
      </c>
      <c r="GJ144" s="2">
        <v>0</v>
      </c>
      <c r="GK144" s="2">
        <v>0</v>
      </c>
      <c r="GL144" s="2">
        <f t="shared" si="97"/>
        <v>0</v>
      </c>
      <c r="GM144" s="2">
        <f t="shared" si="98"/>
        <v>2094</v>
      </c>
      <c r="GN144" s="2">
        <f t="shared" si="99"/>
        <v>2094</v>
      </c>
      <c r="GO144" s="2">
        <f t="shared" si="100"/>
        <v>0</v>
      </c>
      <c r="GP144" s="2">
        <f t="shared" si="101"/>
        <v>0</v>
      </c>
      <c r="GQ144" s="2"/>
      <c r="GR144" s="2">
        <v>0</v>
      </c>
      <c r="GS144" s="2">
        <v>3</v>
      </c>
      <c r="GT144" s="2">
        <v>0</v>
      </c>
      <c r="GU144" s="2" t="s">
        <v>3</v>
      </c>
      <c r="GV144" s="2">
        <f t="shared" si="102"/>
        <v>0</v>
      </c>
      <c r="GW144" s="2">
        <v>1</v>
      </c>
      <c r="GX144" s="2">
        <f t="shared" si="103"/>
        <v>0</v>
      </c>
      <c r="GY144" s="2"/>
      <c r="GZ144" s="2"/>
      <c r="HA144" s="2">
        <v>0</v>
      </c>
      <c r="HB144" s="2">
        <v>0</v>
      </c>
      <c r="HC144" s="2">
        <f t="shared" si="104"/>
        <v>0</v>
      </c>
      <c r="HD144" s="2"/>
      <c r="HE144" s="2" t="s">
        <v>3</v>
      </c>
      <c r="HF144" s="2" t="s">
        <v>3</v>
      </c>
      <c r="HG144" s="2"/>
      <c r="HH144" s="2"/>
      <c r="HI144" s="2"/>
      <c r="HJ144" s="2"/>
      <c r="HK144" s="2"/>
      <c r="HL144" s="2"/>
      <c r="HM144" s="2" t="s">
        <v>3</v>
      </c>
      <c r="HN144" s="2" t="s">
        <v>3</v>
      </c>
      <c r="HO144" s="2" t="s">
        <v>3</v>
      </c>
      <c r="HP144" s="2" t="s">
        <v>3</v>
      </c>
      <c r="HQ144" s="2" t="s">
        <v>3</v>
      </c>
      <c r="HR144" s="2"/>
      <c r="HS144" s="2">
        <v>0</v>
      </c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>
        <v>0</v>
      </c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 x14ac:dyDescent="0.2">
      <c r="A145" s="2">
        <v>17</v>
      </c>
      <c r="B145" s="2">
        <v>1</v>
      </c>
      <c r="C145" s="2"/>
      <c r="D145" s="2"/>
      <c r="E145" s="2" t="s">
        <v>299</v>
      </c>
      <c r="F145" s="2" t="s">
        <v>300</v>
      </c>
      <c r="G145" s="2" t="s">
        <v>301</v>
      </c>
      <c r="H145" s="2" t="s">
        <v>48</v>
      </c>
      <c r="I145" s="2">
        <v>6.0000000000000001E-3</v>
      </c>
      <c r="J145" s="2">
        <v>0</v>
      </c>
      <c r="K145" s="2">
        <v>6.0000000000000001E-3</v>
      </c>
      <c r="L145" s="2"/>
      <c r="M145" s="2"/>
      <c r="N145" s="2"/>
      <c r="O145" s="2">
        <f t="shared" si="86"/>
        <v>41.06</v>
      </c>
      <c r="P145" s="2">
        <f>ROUND(CQ145*I145,2)</f>
        <v>41.06</v>
      </c>
      <c r="Q145" s="2">
        <f>ROUND(CR145*I145,2)</f>
        <v>0</v>
      </c>
      <c r="R145" s="2">
        <f>ROUND(CS145*I145,2)</f>
        <v>0</v>
      </c>
      <c r="S145" s="2">
        <f>ROUND(CT145*I145,2)</f>
        <v>0</v>
      </c>
      <c r="T145" s="2">
        <f t="shared" si="87"/>
        <v>0</v>
      </c>
      <c r="U145" s="2">
        <f>ROUND(CV145*I145,7)</f>
        <v>0</v>
      </c>
      <c r="V145" s="2">
        <f>ROUND(CW145*I145,7)</f>
        <v>0</v>
      </c>
      <c r="W145" s="2">
        <f t="shared" si="88"/>
        <v>0</v>
      </c>
      <c r="X145" s="2">
        <f t="shared" si="89"/>
        <v>0</v>
      </c>
      <c r="Y145" s="2">
        <f t="shared" si="90"/>
        <v>0</v>
      </c>
      <c r="Z145" s="2"/>
      <c r="AA145" s="2">
        <v>74014550</v>
      </c>
      <c r="AB145" s="2">
        <f t="shared" si="91"/>
        <v>4719.96</v>
      </c>
      <c r="AC145" s="2">
        <f>ROUND((ES145),6)</f>
        <v>4719.96</v>
      </c>
      <c r="AD145" s="2">
        <f>ROUND((((ET145)-(EU145))+AE145),6)</f>
        <v>0</v>
      </c>
      <c r="AE145" s="2">
        <f>ROUND((EU145),6)</f>
        <v>0</v>
      </c>
      <c r="AF145" s="2">
        <f>ROUND((EV145),6)</f>
        <v>0</v>
      </c>
      <c r="AG145" s="2">
        <f t="shared" si="92"/>
        <v>0</v>
      </c>
      <c r="AH145" s="2">
        <f>(EW145)</f>
        <v>0</v>
      </c>
      <c r="AI145" s="2">
        <f>(EX145)</f>
        <v>0</v>
      </c>
      <c r="AJ145" s="2">
        <f t="shared" si="93"/>
        <v>0</v>
      </c>
      <c r="AK145" s="2">
        <v>4719.96</v>
      </c>
      <c r="AL145" s="2">
        <v>4719.96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1</v>
      </c>
      <c r="AW145" s="2">
        <v>1</v>
      </c>
      <c r="AX145" s="2"/>
      <c r="AY145" s="2"/>
      <c r="AZ145" s="2">
        <v>1</v>
      </c>
      <c r="BA145" s="2">
        <v>1</v>
      </c>
      <c r="BB145" s="2">
        <v>1</v>
      </c>
      <c r="BC145" s="2">
        <v>1.45</v>
      </c>
      <c r="BD145" s="2" t="s">
        <v>3</v>
      </c>
      <c r="BE145" s="2" t="s">
        <v>3</v>
      </c>
      <c r="BF145" s="2" t="s">
        <v>3</v>
      </c>
      <c r="BG145" s="2" t="s">
        <v>3</v>
      </c>
      <c r="BH145" s="2">
        <v>3</v>
      </c>
      <c r="BI145" s="2">
        <v>1</v>
      </c>
      <c r="BJ145" s="2" t="s">
        <v>302</v>
      </c>
      <c r="BK145" s="2"/>
      <c r="BL145" s="2"/>
      <c r="BM145" s="2">
        <v>500001</v>
      </c>
      <c r="BN145" s="2">
        <v>0</v>
      </c>
      <c r="BO145" s="2" t="s">
        <v>300</v>
      </c>
      <c r="BP145" s="2">
        <v>1</v>
      </c>
      <c r="BQ145" s="2">
        <v>8</v>
      </c>
      <c r="BR145" s="2">
        <v>0</v>
      </c>
      <c r="BS145" s="2">
        <v>1</v>
      </c>
      <c r="BT145" s="2">
        <v>1</v>
      </c>
      <c r="BU145" s="2">
        <v>1</v>
      </c>
      <c r="BV145" s="2">
        <v>1</v>
      </c>
      <c r="BW145" s="2">
        <v>1</v>
      </c>
      <c r="BX145" s="2">
        <v>1</v>
      </c>
      <c r="BY145" s="2" t="s">
        <v>3</v>
      </c>
      <c r="BZ145" s="2">
        <v>0</v>
      </c>
      <c r="CA145" s="2">
        <v>0</v>
      </c>
      <c r="CB145" s="2" t="s">
        <v>3</v>
      </c>
      <c r="CC145" s="2"/>
      <c r="CD145" s="2"/>
      <c r="CE145" s="2">
        <v>0</v>
      </c>
      <c r="CF145" s="2">
        <v>0</v>
      </c>
      <c r="CG145" s="2">
        <v>0</v>
      </c>
      <c r="CH145" s="2"/>
      <c r="CI145" s="2"/>
      <c r="CJ145" s="2"/>
      <c r="CK145" s="2"/>
      <c r="CL145" s="2"/>
      <c r="CM145" s="2">
        <v>0</v>
      </c>
      <c r="CN145" s="2" t="s">
        <v>3</v>
      </c>
      <c r="CO145" s="2">
        <v>0</v>
      </c>
      <c r="CP145" s="2">
        <f t="shared" si="94"/>
        <v>41.06</v>
      </c>
      <c r="CQ145" s="2">
        <f>ROUND(AL145*BC145,2)</f>
        <v>6843.94</v>
      </c>
      <c r="CR145" s="2">
        <f>ROUND(AM145*BB145,2)</f>
        <v>0</v>
      </c>
      <c r="CS145" s="2">
        <f>ROUND(AN145*BS145,2)</f>
        <v>0</v>
      </c>
      <c r="CT145" s="2">
        <f>ROUND(AO145*BA145,2)</f>
        <v>0</v>
      </c>
      <c r="CU145" s="2">
        <f t="shared" si="95"/>
        <v>0</v>
      </c>
      <c r="CV145" s="2">
        <f>AH145</f>
        <v>0</v>
      </c>
      <c r="CW145" s="2">
        <f>AI145</f>
        <v>0</v>
      </c>
      <c r="CX145" s="2">
        <f t="shared" si="96"/>
        <v>0</v>
      </c>
      <c r="CY145" s="2">
        <f>0</f>
        <v>0</v>
      </c>
      <c r="CZ145" s="2">
        <f>0</f>
        <v>0</v>
      </c>
      <c r="DA145" s="2"/>
      <c r="DB145" s="2"/>
      <c r="DC145" s="2" t="s">
        <v>3</v>
      </c>
      <c r="DD145" s="2" t="s">
        <v>3</v>
      </c>
      <c r="DE145" s="2" t="s">
        <v>3</v>
      </c>
      <c r="DF145" s="2" t="s">
        <v>3</v>
      </c>
      <c r="DG145" s="2" t="s">
        <v>3</v>
      </c>
      <c r="DH145" s="2" t="s">
        <v>3</v>
      </c>
      <c r="DI145" s="2" t="s">
        <v>3</v>
      </c>
      <c r="DJ145" s="2" t="s">
        <v>3</v>
      </c>
      <c r="DK145" s="2" t="s">
        <v>3</v>
      </c>
      <c r="DL145" s="2" t="s">
        <v>3</v>
      </c>
      <c r="DM145" s="2" t="s">
        <v>3</v>
      </c>
      <c r="DN145" s="2">
        <v>0</v>
      </c>
      <c r="DO145" s="2">
        <v>0</v>
      </c>
      <c r="DP145" s="2">
        <v>1</v>
      </c>
      <c r="DQ145" s="2">
        <v>1</v>
      </c>
      <c r="DR145" s="2"/>
      <c r="DS145" s="2"/>
      <c r="DT145" s="2"/>
      <c r="DU145" s="2">
        <v>1007</v>
      </c>
      <c r="DV145" s="2" t="s">
        <v>48</v>
      </c>
      <c r="DW145" s="2" t="s">
        <v>48</v>
      </c>
      <c r="DX145" s="2">
        <v>1</v>
      </c>
      <c r="DY145" s="2"/>
      <c r="DZ145" s="2" t="s">
        <v>3</v>
      </c>
      <c r="EA145" s="2" t="s">
        <v>3</v>
      </c>
      <c r="EB145" s="2" t="s">
        <v>3</v>
      </c>
      <c r="EC145" s="2" t="s">
        <v>3</v>
      </c>
      <c r="ED145" s="2"/>
      <c r="EE145" s="2">
        <v>72340530</v>
      </c>
      <c r="EF145" s="2">
        <v>8</v>
      </c>
      <c r="EG145" s="2" t="s">
        <v>50</v>
      </c>
      <c r="EH145" s="2">
        <v>0</v>
      </c>
      <c r="EI145" s="2" t="s">
        <v>3</v>
      </c>
      <c r="EJ145" s="2">
        <v>1</v>
      </c>
      <c r="EK145" s="2">
        <v>500001</v>
      </c>
      <c r="EL145" s="2" t="s">
        <v>51</v>
      </c>
      <c r="EM145" s="2" t="s">
        <v>52</v>
      </c>
      <c r="EN145" s="2"/>
      <c r="EO145" s="2" t="s">
        <v>3</v>
      </c>
      <c r="EP145" s="2"/>
      <c r="EQ145" s="2">
        <v>0</v>
      </c>
      <c r="ER145" s="2">
        <v>4719.96</v>
      </c>
      <c r="ES145" s="2">
        <v>4719.96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>
        <v>0</v>
      </c>
      <c r="FR145" s="2">
        <v>0</v>
      </c>
      <c r="FS145" s="2">
        <v>0</v>
      </c>
      <c r="FT145" s="2"/>
      <c r="FU145" s="2"/>
      <c r="FV145" s="2"/>
      <c r="FW145" s="2"/>
      <c r="FX145" s="2">
        <v>0</v>
      </c>
      <c r="FY145" s="2">
        <v>0</v>
      </c>
      <c r="FZ145" s="2"/>
      <c r="GA145" s="2" t="s">
        <v>3</v>
      </c>
      <c r="GB145" s="2"/>
      <c r="GC145" s="2"/>
      <c r="GD145" s="2">
        <v>1</v>
      </c>
      <c r="GE145" s="2"/>
      <c r="GF145" s="2">
        <v>-1386911469</v>
      </c>
      <c r="GG145" s="2">
        <v>2</v>
      </c>
      <c r="GH145" s="2">
        <v>1</v>
      </c>
      <c r="GI145" s="2">
        <v>2</v>
      </c>
      <c r="GJ145" s="2">
        <v>0</v>
      </c>
      <c r="GK145" s="2">
        <v>0</v>
      </c>
      <c r="GL145" s="2">
        <f t="shared" si="97"/>
        <v>0</v>
      </c>
      <c r="GM145" s="2">
        <f t="shared" si="98"/>
        <v>41.06</v>
      </c>
      <c r="GN145" s="2">
        <f t="shared" si="99"/>
        <v>41.06</v>
      </c>
      <c r="GO145" s="2">
        <f t="shared" si="100"/>
        <v>0</v>
      </c>
      <c r="GP145" s="2">
        <f t="shared" si="101"/>
        <v>0</v>
      </c>
      <c r="GQ145" s="2"/>
      <c r="GR145" s="2">
        <v>0</v>
      </c>
      <c r="GS145" s="2">
        <v>3</v>
      </c>
      <c r="GT145" s="2">
        <v>0</v>
      </c>
      <c r="GU145" s="2" t="s">
        <v>3</v>
      </c>
      <c r="GV145" s="2">
        <f t="shared" si="102"/>
        <v>0</v>
      </c>
      <c r="GW145" s="2">
        <v>1</v>
      </c>
      <c r="GX145" s="2">
        <f t="shared" si="103"/>
        <v>0</v>
      </c>
      <c r="GY145" s="2"/>
      <c r="GZ145" s="2"/>
      <c r="HA145" s="2">
        <v>0</v>
      </c>
      <c r="HB145" s="2">
        <v>0</v>
      </c>
      <c r="HC145" s="2">
        <f t="shared" si="104"/>
        <v>0</v>
      </c>
      <c r="HD145" s="2"/>
      <c r="HE145" s="2" t="s">
        <v>3</v>
      </c>
      <c r="HF145" s="2" t="s">
        <v>3</v>
      </c>
      <c r="HG145" s="2"/>
      <c r="HH145" s="2"/>
      <c r="HI145" s="2"/>
      <c r="HJ145" s="2"/>
      <c r="HK145" s="2"/>
      <c r="HL145" s="2"/>
      <c r="HM145" s="2" t="s">
        <v>3</v>
      </c>
      <c r="HN145" s="2" t="s">
        <v>3</v>
      </c>
      <c r="HO145" s="2" t="s">
        <v>3</v>
      </c>
      <c r="HP145" s="2" t="s">
        <v>3</v>
      </c>
      <c r="HQ145" s="2" t="s">
        <v>3</v>
      </c>
      <c r="HR145" s="2"/>
      <c r="HS145" s="2">
        <v>0</v>
      </c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>
        <v>0</v>
      </c>
      <c r="IL145" s="2"/>
      <c r="IM145" s="2"/>
      <c r="IN145" s="2"/>
      <c r="IO145" s="2"/>
      <c r="IP145" s="2"/>
      <c r="IQ145" s="2"/>
      <c r="IR145" s="2"/>
      <c r="IS145" s="2"/>
      <c r="IT145" s="2"/>
      <c r="IU145" s="2"/>
    </row>
    <row r="146" spans="1:255" x14ac:dyDescent="0.2">
      <c r="A146" s="2">
        <v>17</v>
      </c>
      <c r="B146" s="2">
        <v>1</v>
      </c>
      <c r="C146" s="2">
        <f>ROW(SmtRes!A166)</f>
        <v>166</v>
      </c>
      <c r="D146" s="2">
        <f>ROW(EtalonRes!A182)</f>
        <v>182</v>
      </c>
      <c r="E146" s="2" t="s">
        <v>303</v>
      </c>
      <c r="F146" s="2" t="s">
        <v>304</v>
      </c>
      <c r="G146" s="2" t="s">
        <v>305</v>
      </c>
      <c r="H146" s="2" t="s">
        <v>260</v>
      </c>
      <c r="I146" s="2">
        <v>1.2E-4</v>
      </c>
      <c r="J146" s="2">
        <v>0</v>
      </c>
      <c r="K146" s="2">
        <v>1.2E-4</v>
      </c>
      <c r="L146" s="2"/>
      <c r="M146" s="2"/>
      <c r="N146" s="2"/>
      <c r="O146" s="2">
        <f t="shared" si="86"/>
        <v>13.48</v>
      </c>
      <c r="P146" s="2">
        <f>SUMIF(SmtRes!AQ154:'SmtRes'!AQ166,"=1",SmtRes!DF154:'SmtRes'!DF166)</f>
        <v>3.1799999999999997</v>
      </c>
      <c r="Q146" s="2">
        <f>SUMIF(SmtRes!AQ154:'SmtRes'!AQ166,"=1",SmtRes!DG154:'SmtRes'!DG166)</f>
        <v>0.77</v>
      </c>
      <c r="R146" s="2">
        <f>SUMIF(SmtRes!AQ154:'SmtRes'!AQ166,"=1",SmtRes!DH154:'SmtRes'!DH166)</f>
        <v>0</v>
      </c>
      <c r="S146" s="2">
        <f>SUMIF(SmtRes!AQ154:'SmtRes'!AQ166,"=1",SmtRes!DI154:'SmtRes'!DI166)</f>
        <v>9.5299999999999994</v>
      </c>
      <c r="T146" s="2">
        <f t="shared" si="87"/>
        <v>0</v>
      </c>
      <c r="U146" s="2">
        <f>SUMIF(SmtRes!AQ154:'SmtRes'!AQ166,"=1",SmtRes!CV154:'SmtRes'!CV166)</f>
        <v>2.436E-2</v>
      </c>
      <c r="V146" s="2">
        <f>SUMIF(SmtRes!AQ154:'SmtRes'!AQ166,"=1",SmtRes!CW154:'SmtRes'!CW166)</f>
        <v>1.08E-5</v>
      </c>
      <c r="W146" s="2">
        <f t="shared" si="88"/>
        <v>0</v>
      </c>
      <c r="X146" s="2">
        <f t="shared" si="89"/>
        <v>11.15</v>
      </c>
      <c r="Y146" s="2">
        <f t="shared" si="90"/>
        <v>7.05</v>
      </c>
      <c r="Z146" s="2"/>
      <c r="AA146" s="2">
        <v>74014550</v>
      </c>
      <c r="AB146" s="2">
        <f t="shared" si="91"/>
        <v>113004.23965</v>
      </c>
      <c r="AC146" s="2">
        <f>ROUND((SUM(SmtRes!BQ154:'SmtRes'!BQ166)),6)</f>
        <v>29748.778249999999</v>
      </c>
      <c r="AD146" s="2">
        <f>ROUND((((SUM(SmtRes!BR154:'SmtRes'!BR166))-(SUM(SmtRes!BS154:'SmtRes'!BS166)))+AE146),6)</f>
        <v>3825.6214</v>
      </c>
      <c r="AE146" s="2">
        <f>ROUND((SUM(SmtRes!BS154:'SmtRes'!BS166)),6)</f>
        <v>41.398200000000003</v>
      </c>
      <c r="AF146" s="2">
        <f>ROUND((SUM(SmtRes!BT154:'SmtRes'!BT166)),6)</f>
        <v>79429.84</v>
      </c>
      <c r="AG146" s="2">
        <f t="shared" si="92"/>
        <v>0</v>
      </c>
      <c r="AH146" s="2">
        <f>(SUM(SmtRes!BU154:'SmtRes'!BU166))</f>
        <v>203</v>
      </c>
      <c r="AI146" s="2">
        <f>(SUM(SmtRes!BV154:'SmtRes'!BV166))</f>
        <v>0.09</v>
      </c>
      <c r="AJ146" s="2">
        <f t="shared" si="93"/>
        <v>0</v>
      </c>
      <c r="AK146" s="2">
        <v>113045.63785</v>
      </c>
      <c r="AL146" s="2">
        <v>29748.778250000003</v>
      </c>
      <c r="AM146" s="2">
        <v>3825.6214</v>
      </c>
      <c r="AN146" s="2">
        <v>41.398200000000003</v>
      </c>
      <c r="AO146" s="2">
        <v>79429.84</v>
      </c>
      <c r="AP146" s="2">
        <v>0</v>
      </c>
      <c r="AQ146" s="2">
        <v>203</v>
      </c>
      <c r="AR146" s="2">
        <v>0.09</v>
      </c>
      <c r="AS146" s="2">
        <v>0</v>
      </c>
      <c r="AT146" s="2">
        <v>117</v>
      </c>
      <c r="AU146" s="2">
        <v>74</v>
      </c>
      <c r="AV146" s="2">
        <v>1</v>
      </c>
      <c r="AW146" s="2">
        <v>1</v>
      </c>
      <c r="AX146" s="2"/>
      <c r="AY146" s="2"/>
      <c r="AZ146" s="2">
        <v>1</v>
      </c>
      <c r="BA146" s="2">
        <v>1</v>
      </c>
      <c r="BB146" s="2">
        <v>1</v>
      </c>
      <c r="BC146" s="2">
        <v>1</v>
      </c>
      <c r="BD146" s="2" t="s">
        <v>3</v>
      </c>
      <c r="BE146" s="2" t="s">
        <v>3</v>
      </c>
      <c r="BF146" s="2" t="s">
        <v>3</v>
      </c>
      <c r="BG146" s="2" t="s">
        <v>3</v>
      </c>
      <c r="BH146" s="2">
        <v>0</v>
      </c>
      <c r="BI146" s="2">
        <v>1</v>
      </c>
      <c r="BJ146" s="2" t="s">
        <v>306</v>
      </c>
      <c r="BK146" s="2"/>
      <c r="BL146" s="2"/>
      <c r="BM146" s="2">
        <v>22001</v>
      </c>
      <c r="BN146" s="2">
        <v>0</v>
      </c>
      <c r="BO146" s="2" t="s">
        <v>3</v>
      </c>
      <c r="BP146" s="2">
        <v>0</v>
      </c>
      <c r="BQ146" s="2">
        <v>2</v>
      </c>
      <c r="BR146" s="2">
        <v>0</v>
      </c>
      <c r="BS146" s="2">
        <v>1</v>
      </c>
      <c r="BT146" s="2">
        <v>1</v>
      </c>
      <c r="BU146" s="2">
        <v>1</v>
      </c>
      <c r="BV146" s="2">
        <v>1</v>
      </c>
      <c r="BW146" s="2">
        <v>1</v>
      </c>
      <c r="BX146" s="2">
        <v>1</v>
      </c>
      <c r="BY146" s="2" t="s">
        <v>3</v>
      </c>
      <c r="BZ146" s="2">
        <v>117</v>
      </c>
      <c r="CA146" s="2">
        <v>74</v>
      </c>
      <c r="CB146" s="2" t="s">
        <v>3</v>
      </c>
      <c r="CC146" s="2"/>
      <c r="CD146" s="2"/>
      <c r="CE146" s="2">
        <v>0</v>
      </c>
      <c r="CF146" s="2">
        <v>0</v>
      </c>
      <c r="CG146" s="2">
        <v>0</v>
      </c>
      <c r="CH146" s="2"/>
      <c r="CI146" s="2"/>
      <c r="CJ146" s="2"/>
      <c r="CK146" s="2"/>
      <c r="CL146" s="2"/>
      <c r="CM146" s="2">
        <v>0</v>
      </c>
      <c r="CN146" s="2" t="s">
        <v>3</v>
      </c>
      <c r="CO146" s="2">
        <v>0</v>
      </c>
      <c r="CP146" s="2">
        <f t="shared" si="94"/>
        <v>13.479999999999999</v>
      </c>
      <c r="CQ146" s="2">
        <f>SUMIF(SmtRes!AQ154:'SmtRes'!AQ166,"=1",SmtRes!AA154:'SmtRes'!AA166)</f>
        <v>13563.220000000001</v>
      </c>
      <c r="CR146" s="2">
        <f>SUMIF(SmtRes!AQ154:'SmtRes'!AQ166,"=1",SmtRes!AB154:'SmtRes'!AB166)</f>
        <v>1886.71</v>
      </c>
      <c r="CS146" s="2">
        <f>SUMIF(SmtRes!AQ154:'SmtRes'!AQ166,"=1",SmtRes!AC154:'SmtRes'!AC166)</f>
        <v>459.98</v>
      </c>
      <c r="CT146" s="2">
        <f>SUMIF(SmtRes!AQ154:'SmtRes'!AQ166,"=1",SmtRes!AD154:'SmtRes'!AD166)</f>
        <v>391.28</v>
      </c>
      <c r="CU146" s="2">
        <f t="shared" si="95"/>
        <v>0</v>
      </c>
      <c r="CV146" s="2">
        <f>SUMIF(SmtRes!AQ154:'SmtRes'!AQ166,"=1",SmtRes!BU154:'SmtRes'!BU166)</f>
        <v>203</v>
      </c>
      <c r="CW146" s="2">
        <f>SUMIF(SmtRes!AQ154:'SmtRes'!AQ166,"=1",SmtRes!BV154:'SmtRes'!BV166)</f>
        <v>0.09</v>
      </c>
      <c r="CX146" s="2">
        <f t="shared" si="96"/>
        <v>0</v>
      </c>
      <c r="CY146" s="2">
        <f>(((S146+R146)*AT146)/100)</f>
        <v>11.1501</v>
      </c>
      <c r="CZ146" s="2">
        <f>(((S146+R146)*AU146)/100)</f>
        <v>7.0521999999999991</v>
      </c>
      <c r="DA146" s="2"/>
      <c r="DB146" s="2"/>
      <c r="DC146" s="2" t="s">
        <v>3</v>
      </c>
      <c r="DD146" s="2" t="s">
        <v>3</v>
      </c>
      <c r="DE146" s="2" t="s">
        <v>3</v>
      </c>
      <c r="DF146" s="2" t="s">
        <v>3</v>
      </c>
      <c r="DG146" s="2" t="s">
        <v>3</v>
      </c>
      <c r="DH146" s="2" t="s">
        <v>3</v>
      </c>
      <c r="DI146" s="2" t="s">
        <v>3</v>
      </c>
      <c r="DJ146" s="2" t="s">
        <v>3</v>
      </c>
      <c r="DK146" s="2" t="s">
        <v>3</v>
      </c>
      <c r="DL146" s="2" t="s">
        <v>3</v>
      </c>
      <c r="DM146" s="2" t="s">
        <v>3</v>
      </c>
      <c r="DN146" s="2">
        <v>0</v>
      </c>
      <c r="DO146" s="2">
        <v>0</v>
      </c>
      <c r="DP146" s="2">
        <v>1</v>
      </c>
      <c r="DQ146" s="2">
        <v>1</v>
      </c>
      <c r="DR146" s="2"/>
      <c r="DS146" s="2"/>
      <c r="DT146" s="2"/>
      <c r="DU146" s="2">
        <v>1003</v>
      </c>
      <c r="DV146" s="2" t="s">
        <v>260</v>
      </c>
      <c r="DW146" s="2" t="s">
        <v>260</v>
      </c>
      <c r="DX146" s="2">
        <v>1000</v>
      </c>
      <c r="DY146" s="2"/>
      <c r="DZ146" s="2" t="s">
        <v>3</v>
      </c>
      <c r="EA146" s="2" t="s">
        <v>3</v>
      </c>
      <c r="EB146" s="2" t="s">
        <v>3</v>
      </c>
      <c r="EC146" s="2" t="s">
        <v>3</v>
      </c>
      <c r="ED146" s="2"/>
      <c r="EE146" s="2">
        <v>72340630</v>
      </c>
      <c r="EF146" s="2">
        <v>2</v>
      </c>
      <c r="EG146" s="2" t="s">
        <v>23</v>
      </c>
      <c r="EH146" s="2">
        <v>18</v>
      </c>
      <c r="EI146" s="2" t="s">
        <v>41</v>
      </c>
      <c r="EJ146" s="2">
        <v>1</v>
      </c>
      <c r="EK146" s="2">
        <v>22001</v>
      </c>
      <c r="EL146" s="2" t="s">
        <v>41</v>
      </c>
      <c r="EM146" s="2" t="s">
        <v>277</v>
      </c>
      <c r="EN146" s="2"/>
      <c r="EO146" s="2" t="s">
        <v>3</v>
      </c>
      <c r="EP146" s="2"/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203</v>
      </c>
      <c r="EX146" s="2">
        <v>0.09</v>
      </c>
      <c r="EY146" s="2">
        <v>0</v>
      </c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>
        <v>0</v>
      </c>
      <c r="FR146" s="2">
        <v>0</v>
      </c>
      <c r="FS146" s="2">
        <v>0</v>
      </c>
      <c r="FT146" s="2"/>
      <c r="FU146" s="2"/>
      <c r="FV146" s="2"/>
      <c r="FW146" s="2"/>
      <c r="FX146" s="2">
        <v>117</v>
      </c>
      <c r="FY146" s="2">
        <v>74</v>
      </c>
      <c r="FZ146" s="2"/>
      <c r="GA146" s="2" t="s">
        <v>3</v>
      </c>
      <c r="GB146" s="2"/>
      <c r="GC146" s="2"/>
      <c r="GD146" s="2">
        <v>1</v>
      </c>
      <c r="GE146" s="2"/>
      <c r="GF146" s="2">
        <v>1086366995</v>
      </c>
      <c r="GG146" s="2">
        <v>2</v>
      </c>
      <c r="GH146" s="2">
        <v>1</v>
      </c>
      <c r="GI146" s="2">
        <v>-2</v>
      </c>
      <c r="GJ146" s="2">
        <v>0</v>
      </c>
      <c r="GK146" s="2">
        <v>0</v>
      </c>
      <c r="GL146" s="2">
        <f t="shared" si="97"/>
        <v>0</v>
      </c>
      <c r="GM146" s="2">
        <f t="shared" si="98"/>
        <v>31.68</v>
      </c>
      <c r="GN146" s="2">
        <f t="shared" si="99"/>
        <v>31.68</v>
      </c>
      <c r="GO146" s="2">
        <f t="shared" si="100"/>
        <v>0</v>
      </c>
      <c r="GP146" s="2">
        <f t="shared" si="101"/>
        <v>0</v>
      </c>
      <c r="GQ146" s="2"/>
      <c r="GR146" s="2">
        <v>0</v>
      </c>
      <c r="GS146" s="2">
        <v>3</v>
      </c>
      <c r="GT146" s="2">
        <v>0</v>
      </c>
      <c r="GU146" s="2" t="s">
        <v>3</v>
      </c>
      <c r="GV146" s="2">
        <f t="shared" si="102"/>
        <v>0</v>
      </c>
      <c r="GW146" s="2">
        <v>1</v>
      </c>
      <c r="GX146" s="2">
        <f t="shared" si="103"/>
        <v>0</v>
      </c>
      <c r="GY146" s="2"/>
      <c r="GZ146" s="2"/>
      <c r="HA146" s="2">
        <v>0</v>
      </c>
      <c r="HB146" s="2">
        <v>0</v>
      </c>
      <c r="HC146" s="2">
        <f t="shared" si="104"/>
        <v>0</v>
      </c>
      <c r="HD146" s="2"/>
      <c r="HE146" s="2" t="s">
        <v>3</v>
      </c>
      <c r="HF146" s="2" t="s">
        <v>3</v>
      </c>
      <c r="HG146" s="2"/>
      <c r="HH146" s="2"/>
      <c r="HI146" s="2"/>
      <c r="HJ146" s="2"/>
      <c r="HK146" s="2"/>
      <c r="HL146" s="2"/>
      <c r="HM146" s="2" t="s">
        <v>3</v>
      </c>
      <c r="HN146" s="2" t="s">
        <v>43</v>
      </c>
      <c r="HO146" s="2" t="s">
        <v>44</v>
      </c>
      <c r="HP146" s="2" t="s">
        <v>41</v>
      </c>
      <c r="HQ146" s="2" t="s">
        <v>41</v>
      </c>
      <c r="HR146" s="2"/>
      <c r="HS146" s="2">
        <v>0</v>
      </c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>
        <v>0</v>
      </c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 x14ac:dyDescent="0.2">
      <c r="A147" s="2">
        <v>18</v>
      </c>
      <c r="B147" s="2">
        <v>1</v>
      </c>
      <c r="C147" s="2">
        <v>159</v>
      </c>
      <c r="D147" s="2"/>
      <c r="E147" s="2" t="s">
        <v>307</v>
      </c>
      <c r="F147" s="2" t="s">
        <v>308</v>
      </c>
      <c r="G147" s="2" t="s">
        <v>309</v>
      </c>
      <c r="H147" s="2" t="s">
        <v>243</v>
      </c>
      <c r="I147" s="2">
        <f>I146*J147</f>
        <v>5.0000000000000001E-4</v>
      </c>
      <c r="J147" s="2">
        <v>4.166666666666667</v>
      </c>
      <c r="K147" s="2">
        <v>4.1666667000000004</v>
      </c>
      <c r="L147" s="2"/>
      <c r="M147" s="2"/>
      <c r="N147" s="2"/>
      <c r="O147" s="2">
        <f t="shared" si="86"/>
        <v>95.27</v>
      </c>
      <c r="P147" s="2">
        <f>ROUND(CQ147*I147,2)</f>
        <v>95.27</v>
      </c>
      <c r="Q147" s="2">
        <f>ROUND(CR147*I147,2)</f>
        <v>0</v>
      </c>
      <c r="R147" s="2">
        <f>ROUND(CS147*I147,2)</f>
        <v>0</v>
      </c>
      <c r="S147" s="2">
        <f>ROUND(CT147*I147,2)</f>
        <v>0</v>
      </c>
      <c r="T147" s="2">
        <f t="shared" si="87"/>
        <v>0</v>
      </c>
      <c r="U147" s="2">
        <f>ROUND(CV147*I147,7)</f>
        <v>0</v>
      </c>
      <c r="V147" s="2">
        <f>ROUND(CW147*I147,7)</f>
        <v>0</v>
      </c>
      <c r="W147" s="2">
        <f t="shared" si="88"/>
        <v>0</v>
      </c>
      <c r="X147" s="2">
        <f t="shared" si="89"/>
        <v>0</v>
      </c>
      <c r="Y147" s="2">
        <f t="shared" si="90"/>
        <v>0</v>
      </c>
      <c r="Z147" s="2"/>
      <c r="AA147" s="2">
        <v>74014550</v>
      </c>
      <c r="AB147" s="2">
        <f t="shared" si="91"/>
        <v>112746.82</v>
      </c>
      <c r="AC147" s="2">
        <f>ROUND((ES147),6)</f>
        <v>112746.82</v>
      </c>
      <c r="AD147" s="2">
        <f>ROUND((((ET147)-(EU147))+AE147),6)</f>
        <v>0</v>
      </c>
      <c r="AE147" s="2">
        <f>ROUND((EU147),6)</f>
        <v>0</v>
      </c>
      <c r="AF147" s="2">
        <f>ROUND((EV147),6)</f>
        <v>0</v>
      </c>
      <c r="AG147" s="2">
        <f t="shared" si="92"/>
        <v>0</v>
      </c>
      <c r="AH147" s="2">
        <f>(EW147)</f>
        <v>0</v>
      </c>
      <c r="AI147" s="2">
        <f>(EX147)</f>
        <v>0</v>
      </c>
      <c r="AJ147" s="2">
        <f t="shared" si="93"/>
        <v>0</v>
      </c>
      <c r="AK147" s="2">
        <v>112746.82</v>
      </c>
      <c r="AL147" s="2">
        <v>112746.82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117</v>
      </c>
      <c r="AU147" s="2">
        <v>74</v>
      </c>
      <c r="AV147" s="2">
        <v>1</v>
      </c>
      <c r="AW147" s="2">
        <v>1</v>
      </c>
      <c r="AX147" s="2"/>
      <c r="AY147" s="2"/>
      <c r="AZ147" s="2">
        <v>1</v>
      </c>
      <c r="BA147" s="2">
        <v>1</v>
      </c>
      <c r="BB147" s="2">
        <v>1</v>
      </c>
      <c r="BC147" s="2">
        <v>1.69</v>
      </c>
      <c r="BD147" s="2" t="s">
        <v>3</v>
      </c>
      <c r="BE147" s="2" t="s">
        <v>3</v>
      </c>
      <c r="BF147" s="2" t="s">
        <v>3</v>
      </c>
      <c r="BG147" s="2" t="s">
        <v>3</v>
      </c>
      <c r="BH147" s="2">
        <v>3</v>
      </c>
      <c r="BI147" s="2">
        <v>1</v>
      </c>
      <c r="BJ147" s="2" t="s">
        <v>310</v>
      </c>
      <c r="BK147" s="2"/>
      <c r="BL147" s="2"/>
      <c r="BM147" s="2">
        <v>22001</v>
      </c>
      <c r="BN147" s="2">
        <v>0</v>
      </c>
      <c r="BO147" s="2" t="s">
        <v>308</v>
      </c>
      <c r="BP147" s="2">
        <v>1</v>
      </c>
      <c r="BQ147" s="2">
        <v>2</v>
      </c>
      <c r="BR147" s="2">
        <v>0</v>
      </c>
      <c r="BS147" s="2">
        <v>1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 t="s">
        <v>3</v>
      </c>
      <c r="BZ147" s="2">
        <v>117</v>
      </c>
      <c r="CA147" s="2">
        <v>74</v>
      </c>
      <c r="CB147" s="2" t="s">
        <v>3</v>
      </c>
      <c r="CC147" s="2"/>
      <c r="CD147" s="2"/>
      <c r="CE147" s="2">
        <v>0</v>
      </c>
      <c r="CF147" s="2">
        <v>0</v>
      </c>
      <c r="CG147" s="2">
        <v>0</v>
      </c>
      <c r="CH147" s="2"/>
      <c r="CI147" s="2"/>
      <c r="CJ147" s="2"/>
      <c r="CK147" s="2"/>
      <c r="CL147" s="2"/>
      <c r="CM147" s="2">
        <v>0</v>
      </c>
      <c r="CN147" s="2" t="s">
        <v>3</v>
      </c>
      <c r="CO147" s="2">
        <v>0</v>
      </c>
      <c r="CP147" s="2">
        <f t="shared" si="94"/>
        <v>95.27</v>
      </c>
      <c r="CQ147" s="2">
        <f>ROUND(AL147*BC147,2)</f>
        <v>190542.13</v>
      </c>
      <c r="CR147" s="2">
        <f>ROUND(AM147*BB147,2)</f>
        <v>0</v>
      </c>
      <c r="CS147" s="2">
        <f>ROUND(AN147*BS147,2)</f>
        <v>0</v>
      </c>
      <c r="CT147" s="2">
        <f>ROUND(AO147*BA147,2)</f>
        <v>0</v>
      </c>
      <c r="CU147" s="2">
        <f t="shared" si="95"/>
        <v>0</v>
      </c>
      <c r="CV147" s="2">
        <f>AH147</f>
        <v>0</v>
      </c>
      <c r="CW147" s="2">
        <f>AI147</f>
        <v>0</v>
      </c>
      <c r="CX147" s="2">
        <f t="shared" si="96"/>
        <v>0</v>
      </c>
      <c r="CY147" s="2">
        <f>(((S147+R147)*AT147)/100)</f>
        <v>0</v>
      </c>
      <c r="CZ147" s="2">
        <f>(((S147+R147)*AU147)/100)</f>
        <v>0</v>
      </c>
      <c r="DA147" s="2"/>
      <c r="DB147" s="2"/>
      <c r="DC147" s="2" t="s">
        <v>3</v>
      </c>
      <c r="DD147" s="2" t="s">
        <v>3</v>
      </c>
      <c r="DE147" s="2" t="s">
        <v>3</v>
      </c>
      <c r="DF147" s="2" t="s">
        <v>3</v>
      </c>
      <c r="DG147" s="2" t="s">
        <v>3</v>
      </c>
      <c r="DH147" s="2" t="s">
        <v>3</v>
      </c>
      <c r="DI147" s="2" t="s">
        <v>3</v>
      </c>
      <c r="DJ147" s="2" t="s">
        <v>3</v>
      </c>
      <c r="DK147" s="2" t="s">
        <v>3</v>
      </c>
      <c r="DL147" s="2" t="s">
        <v>3</v>
      </c>
      <c r="DM147" s="2" t="s">
        <v>3</v>
      </c>
      <c r="DN147" s="2">
        <v>0</v>
      </c>
      <c r="DO147" s="2">
        <v>0</v>
      </c>
      <c r="DP147" s="2">
        <v>1</v>
      </c>
      <c r="DQ147" s="2">
        <v>1</v>
      </c>
      <c r="DR147" s="2"/>
      <c r="DS147" s="2"/>
      <c r="DT147" s="2"/>
      <c r="DU147" s="2">
        <v>1009</v>
      </c>
      <c r="DV147" s="2" t="s">
        <v>243</v>
      </c>
      <c r="DW147" s="2" t="s">
        <v>243</v>
      </c>
      <c r="DX147" s="2">
        <v>1000</v>
      </c>
      <c r="DY147" s="2"/>
      <c r="DZ147" s="2" t="s">
        <v>3</v>
      </c>
      <c r="EA147" s="2" t="s">
        <v>3</v>
      </c>
      <c r="EB147" s="2" t="s">
        <v>3</v>
      </c>
      <c r="EC147" s="2" t="s">
        <v>3</v>
      </c>
      <c r="ED147" s="2"/>
      <c r="EE147" s="2">
        <v>72340630</v>
      </c>
      <c r="EF147" s="2">
        <v>2</v>
      </c>
      <c r="EG147" s="2" t="s">
        <v>23</v>
      </c>
      <c r="EH147" s="2">
        <v>18</v>
      </c>
      <c r="EI147" s="2" t="s">
        <v>41</v>
      </c>
      <c r="EJ147" s="2">
        <v>1</v>
      </c>
      <c r="EK147" s="2">
        <v>22001</v>
      </c>
      <c r="EL147" s="2" t="s">
        <v>41</v>
      </c>
      <c r="EM147" s="2" t="s">
        <v>277</v>
      </c>
      <c r="EN147" s="2"/>
      <c r="EO147" s="2" t="s">
        <v>3</v>
      </c>
      <c r="EP147" s="2"/>
      <c r="EQ147" s="2">
        <v>0</v>
      </c>
      <c r="ER147" s="2">
        <v>112746.82</v>
      </c>
      <c r="ES147" s="2">
        <v>112746.82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>
        <v>0</v>
      </c>
      <c r="FR147" s="2">
        <v>0</v>
      </c>
      <c r="FS147" s="2">
        <v>0</v>
      </c>
      <c r="FT147" s="2"/>
      <c r="FU147" s="2"/>
      <c r="FV147" s="2"/>
      <c r="FW147" s="2"/>
      <c r="FX147" s="2">
        <v>117</v>
      </c>
      <c r="FY147" s="2">
        <v>74</v>
      </c>
      <c r="FZ147" s="2"/>
      <c r="GA147" s="2" t="s">
        <v>3</v>
      </c>
      <c r="GB147" s="2"/>
      <c r="GC147" s="2"/>
      <c r="GD147" s="2">
        <v>1</v>
      </c>
      <c r="GE147" s="2"/>
      <c r="GF147" s="2">
        <v>-413789965</v>
      </c>
      <c r="GG147" s="2">
        <v>2</v>
      </c>
      <c r="GH147" s="2">
        <v>1</v>
      </c>
      <c r="GI147" s="2">
        <v>2</v>
      </c>
      <c r="GJ147" s="2">
        <v>0</v>
      </c>
      <c r="GK147" s="2">
        <v>0</v>
      </c>
      <c r="GL147" s="2">
        <f t="shared" si="97"/>
        <v>0</v>
      </c>
      <c r="GM147" s="2">
        <f t="shared" si="98"/>
        <v>95.27</v>
      </c>
      <c r="GN147" s="2">
        <f t="shared" si="99"/>
        <v>95.27</v>
      </c>
      <c r="GO147" s="2">
        <f t="shared" si="100"/>
        <v>0</v>
      </c>
      <c r="GP147" s="2">
        <f t="shared" si="101"/>
        <v>0</v>
      </c>
      <c r="GQ147" s="2"/>
      <c r="GR147" s="2">
        <v>0</v>
      </c>
      <c r="GS147" s="2">
        <v>3</v>
      </c>
      <c r="GT147" s="2">
        <v>0</v>
      </c>
      <c r="GU147" s="2" t="s">
        <v>3</v>
      </c>
      <c r="GV147" s="2">
        <f t="shared" si="102"/>
        <v>0</v>
      </c>
      <c r="GW147" s="2">
        <v>1</v>
      </c>
      <c r="GX147" s="2">
        <f t="shared" si="103"/>
        <v>0</v>
      </c>
      <c r="GY147" s="2"/>
      <c r="GZ147" s="2"/>
      <c r="HA147" s="2">
        <v>0</v>
      </c>
      <c r="HB147" s="2">
        <v>0</v>
      </c>
      <c r="HC147" s="2">
        <f t="shared" si="104"/>
        <v>0</v>
      </c>
      <c r="HD147" s="2"/>
      <c r="HE147" s="2" t="s">
        <v>3</v>
      </c>
      <c r="HF147" s="2" t="s">
        <v>3</v>
      </c>
      <c r="HG147" s="2"/>
      <c r="HH147" s="2"/>
      <c r="HI147" s="2"/>
      <c r="HJ147" s="2"/>
      <c r="HK147" s="2"/>
      <c r="HL147" s="2"/>
      <c r="HM147" s="2" t="s">
        <v>3</v>
      </c>
      <c r="HN147" s="2" t="s">
        <v>43</v>
      </c>
      <c r="HO147" s="2" t="s">
        <v>44</v>
      </c>
      <c r="HP147" s="2" t="s">
        <v>41</v>
      </c>
      <c r="HQ147" s="2" t="s">
        <v>41</v>
      </c>
      <c r="HR147" s="2"/>
      <c r="HS147" s="2">
        <v>0</v>
      </c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>
        <v>0</v>
      </c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 x14ac:dyDescent="0.2">
      <c r="A148" s="2">
        <v>18</v>
      </c>
      <c r="B148" s="2">
        <v>1</v>
      </c>
      <c r="C148" s="2">
        <v>160</v>
      </c>
      <c r="D148" s="2"/>
      <c r="E148" s="2" t="s">
        <v>311</v>
      </c>
      <c r="F148" s="2" t="s">
        <v>312</v>
      </c>
      <c r="G148" s="2" t="s">
        <v>313</v>
      </c>
      <c r="H148" s="2" t="s">
        <v>314</v>
      </c>
      <c r="I148" s="2">
        <f>I146*J148</f>
        <v>0.20760000000000001</v>
      </c>
      <c r="J148" s="2">
        <v>1730</v>
      </c>
      <c r="K148" s="2">
        <v>1730</v>
      </c>
      <c r="L148" s="2"/>
      <c r="M148" s="2"/>
      <c r="N148" s="2"/>
      <c r="O148" s="2">
        <f t="shared" si="86"/>
        <v>43.15</v>
      </c>
      <c r="P148" s="2">
        <f>ROUND(CQ148*I148,2)</f>
        <v>43.15</v>
      </c>
      <c r="Q148" s="2">
        <f>ROUND(CR148*I148,2)</f>
        <v>0</v>
      </c>
      <c r="R148" s="2">
        <f>ROUND(CS148*I148,2)</f>
        <v>0</v>
      </c>
      <c r="S148" s="2">
        <f>ROUND(CT148*I148,2)</f>
        <v>0</v>
      </c>
      <c r="T148" s="2">
        <f t="shared" si="87"/>
        <v>0</v>
      </c>
      <c r="U148" s="2">
        <f>ROUND(CV148*I148,7)</f>
        <v>0</v>
      </c>
      <c r="V148" s="2">
        <f>ROUND(CW148*I148,7)</f>
        <v>0</v>
      </c>
      <c r="W148" s="2">
        <f t="shared" si="88"/>
        <v>0</v>
      </c>
      <c r="X148" s="2">
        <f t="shared" si="89"/>
        <v>0</v>
      </c>
      <c r="Y148" s="2">
        <f t="shared" si="90"/>
        <v>0</v>
      </c>
      <c r="Z148" s="2"/>
      <c r="AA148" s="2">
        <v>74014550</v>
      </c>
      <c r="AB148" s="2">
        <f t="shared" si="91"/>
        <v>122.98</v>
      </c>
      <c r="AC148" s="2">
        <f>ROUND((ES148),6)</f>
        <v>122.98</v>
      </c>
      <c r="AD148" s="2">
        <f>ROUND((((ET148)-(EU148))+AE148),6)</f>
        <v>0</v>
      </c>
      <c r="AE148" s="2">
        <f>ROUND((EU148),6)</f>
        <v>0</v>
      </c>
      <c r="AF148" s="2">
        <f>ROUND((EV148),6)</f>
        <v>0</v>
      </c>
      <c r="AG148" s="2">
        <f t="shared" si="92"/>
        <v>0</v>
      </c>
      <c r="AH148" s="2">
        <f>(EW148)</f>
        <v>0</v>
      </c>
      <c r="AI148" s="2">
        <f>(EX148)</f>
        <v>0</v>
      </c>
      <c r="AJ148" s="2">
        <f t="shared" si="93"/>
        <v>0</v>
      </c>
      <c r="AK148" s="2">
        <v>122.98</v>
      </c>
      <c r="AL148" s="2">
        <v>122.98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117</v>
      </c>
      <c r="AU148" s="2">
        <v>74</v>
      </c>
      <c r="AV148" s="2">
        <v>1</v>
      </c>
      <c r="AW148" s="2">
        <v>1</v>
      </c>
      <c r="AX148" s="2"/>
      <c r="AY148" s="2"/>
      <c r="AZ148" s="2">
        <v>1</v>
      </c>
      <c r="BA148" s="2">
        <v>1</v>
      </c>
      <c r="BB148" s="2">
        <v>1</v>
      </c>
      <c r="BC148" s="2">
        <v>1.69</v>
      </c>
      <c r="BD148" s="2" t="s">
        <v>3</v>
      </c>
      <c r="BE148" s="2" t="s">
        <v>3</v>
      </c>
      <c r="BF148" s="2" t="s">
        <v>3</v>
      </c>
      <c r="BG148" s="2" t="s">
        <v>3</v>
      </c>
      <c r="BH148" s="2">
        <v>3</v>
      </c>
      <c r="BI148" s="2">
        <v>1</v>
      </c>
      <c r="BJ148" s="2" t="s">
        <v>315</v>
      </c>
      <c r="BK148" s="2"/>
      <c r="BL148" s="2"/>
      <c r="BM148" s="2">
        <v>22001</v>
      </c>
      <c r="BN148" s="2">
        <v>0</v>
      </c>
      <c r="BO148" s="2" t="s">
        <v>312</v>
      </c>
      <c r="BP148" s="2">
        <v>1</v>
      </c>
      <c r="BQ148" s="2">
        <v>2</v>
      </c>
      <c r="BR148" s="2">
        <v>0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 t="s">
        <v>3</v>
      </c>
      <c r="BZ148" s="2">
        <v>117</v>
      </c>
      <c r="CA148" s="2">
        <v>74</v>
      </c>
      <c r="CB148" s="2" t="s">
        <v>3</v>
      </c>
      <c r="CC148" s="2"/>
      <c r="CD148" s="2"/>
      <c r="CE148" s="2">
        <v>0</v>
      </c>
      <c r="CF148" s="2">
        <v>0</v>
      </c>
      <c r="CG148" s="2">
        <v>0</v>
      </c>
      <c r="CH148" s="2"/>
      <c r="CI148" s="2"/>
      <c r="CJ148" s="2"/>
      <c r="CK148" s="2"/>
      <c r="CL148" s="2"/>
      <c r="CM148" s="2">
        <v>0</v>
      </c>
      <c r="CN148" s="2" t="s">
        <v>3</v>
      </c>
      <c r="CO148" s="2">
        <v>0</v>
      </c>
      <c r="CP148" s="2">
        <f t="shared" si="94"/>
        <v>43.15</v>
      </c>
      <c r="CQ148" s="2">
        <f>ROUND(AL148*BC148,2)</f>
        <v>207.84</v>
      </c>
      <c r="CR148" s="2">
        <f>ROUND(AM148*BB148,2)</f>
        <v>0</v>
      </c>
      <c r="CS148" s="2">
        <f>ROUND(AN148*BS148,2)</f>
        <v>0</v>
      </c>
      <c r="CT148" s="2">
        <f>ROUND(AO148*BA148,2)</f>
        <v>0</v>
      </c>
      <c r="CU148" s="2">
        <f t="shared" si="95"/>
        <v>0</v>
      </c>
      <c r="CV148" s="2">
        <f>AH148</f>
        <v>0</v>
      </c>
      <c r="CW148" s="2">
        <f>AI148</f>
        <v>0</v>
      </c>
      <c r="CX148" s="2">
        <f t="shared" si="96"/>
        <v>0</v>
      </c>
      <c r="CY148" s="2">
        <f>(((S148+R148)*AT148)/100)</f>
        <v>0</v>
      </c>
      <c r="CZ148" s="2">
        <f>(((S148+R148)*AU148)/100)</f>
        <v>0</v>
      </c>
      <c r="DA148" s="2"/>
      <c r="DB148" s="2"/>
      <c r="DC148" s="2" t="s">
        <v>3</v>
      </c>
      <c r="DD148" s="2" t="s">
        <v>3</v>
      </c>
      <c r="DE148" s="2" t="s">
        <v>3</v>
      </c>
      <c r="DF148" s="2" t="s">
        <v>3</v>
      </c>
      <c r="DG148" s="2" t="s">
        <v>3</v>
      </c>
      <c r="DH148" s="2" t="s">
        <v>3</v>
      </c>
      <c r="DI148" s="2" t="s">
        <v>3</v>
      </c>
      <c r="DJ148" s="2" t="s">
        <v>3</v>
      </c>
      <c r="DK148" s="2" t="s">
        <v>3</v>
      </c>
      <c r="DL148" s="2" t="s">
        <v>3</v>
      </c>
      <c r="DM148" s="2" t="s">
        <v>3</v>
      </c>
      <c r="DN148" s="2">
        <v>0</v>
      </c>
      <c r="DO148" s="2">
        <v>0</v>
      </c>
      <c r="DP148" s="2">
        <v>1</v>
      </c>
      <c r="DQ148" s="2">
        <v>1</v>
      </c>
      <c r="DR148" s="2"/>
      <c r="DS148" s="2"/>
      <c r="DT148" s="2"/>
      <c r="DU148" s="2">
        <v>1009</v>
      </c>
      <c r="DV148" s="2" t="s">
        <v>314</v>
      </c>
      <c r="DW148" s="2" t="s">
        <v>314</v>
      </c>
      <c r="DX148" s="2">
        <v>1</v>
      </c>
      <c r="DY148" s="2"/>
      <c r="DZ148" s="2" t="s">
        <v>3</v>
      </c>
      <c r="EA148" s="2" t="s">
        <v>3</v>
      </c>
      <c r="EB148" s="2" t="s">
        <v>3</v>
      </c>
      <c r="EC148" s="2" t="s">
        <v>3</v>
      </c>
      <c r="ED148" s="2"/>
      <c r="EE148" s="2">
        <v>72340630</v>
      </c>
      <c r="EF148" s="2">
        <v>2</v>
      </c>
      <c r="EG148" s="2" t="s">
        <v>23</v>
      </c>
      <c r="EH148" s="2">
        <v>18</v>
      </c>
      <c r="EI148" s="2" t="s">
        <v>41</v>
      </c>
      <c r="EJ148" s="2">
        <v>1</v>
      </c>
      <c r="EK148" s="2">
        <v>22001</v>
      </c>
      <c r="EL148" s="2" t="s">
        <v>41</v>
      </c>
      <c r="EM148" s="2" t="s">
        <v>277</v>
      </c>
      <c r="EN148" s="2"/>
      <c r="EO148" s="2" t="s">
        <v>3</v>
      </c>
      <c r="EP148" s="2"/>
      <c r="EQ148" s="2">
        <v>0</v>
      </c>
      <c r="ER148" s="2">
        <v>122.98</v>
      </c>
      <c r="ES148" s="2">
        <v>122.98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>
        <v>0</v>
      </c>
      <c r="FR148" s="2">
        <v>0</v>
      </c>
      <c r="FS148" s="2">
        <v>0</v>
      </c>
      <c r="FT148" s="2"/>
      <c r="FU148" s="2"/>
      <c r="FV148" s="2"/>
      <c r="FW148" s="2"/>
      <c r="FX148" s="2">
        <v>117</v>
      </c>
      <c r="FY148" s="2">
        <v>74</v>
      </c>
      <c r="FZ148" s="2"/>
      <c r="GA148" s="2" t="s">
        <v>3</v>
      </c>
      <c r="GB148" s="2"/>
      <c r="GC148" s="2"/>
      <c r="GD148" s="2">
        <v>1</v>
      </c>
      <c r="GE148" s="2"/>
      <c r="GF148" s="2">
        <v>-1647963506</v>
      </c>
      <c r="GG148" s="2">
        <v>2</v>
      </c>
      <c r="GH148" s="2">
        <v>1</v>
      </c>
      <c r="GI148" s="2">
        <v>2</v>
      </c>
      <c r="GJ148" s="2">
        <v>0</v>
      </c>
      <c r="GK148" s="2">
        <v>0</v>
      </c>
      <c r="GL148" s="2">
        <f t="shared" si="97"/>
        <v>0</v>
      </c>
      <c r="GM148" s="2">
        <f t="shared" si="98"/>
        <v>43.15</v>
      </c>
      <c r="GN148" s="2">
        <f t="shared" si="99"/>
        <v>43.15</v>
      </c>
      <c r="GO148" s="2">
        <f t="shared" si="100"/>
        <v>0</v>
      </c>
      <c r="GP148" s="2">
        <f t="shared" si="101"/>
        <v>0</v>
      </c>
      <c r="GQ148" s="2"/>
      <c r="GR148" s="2">
        <v>0</v>
      </c>
      <c r="GS148" s="2">
        <v>3</v>
      </c>
      <c r="GT148" s="2">
        <v>0</v>
      </c>
      <c r="GU148" s="2" t="s">
        <v>3</v>
      </c>
      <c r="GV148" s="2">
        <f t="shared" si="102"/>
        <v>0</v>
      </c>
      <c r="GW148" s="2">
        <v>1</v>
      </c>
      <c r="GX148" s="2">
        <f t="shared" si="103"/>
        <v>0</v>
      </c>
      <c r="GY148" s="2"/>
      <c r="GZ148" s="2"/>
      <c r="HA148" s="2">
        <v>0</v>
      </c>
      <c r="HB148" s="2">
        <v>0</v>
      </c>
      <c r="HC148" s="2">
        <f t="shared" si="104"/>
        <v>0</v>
      </c>
      <c r="HD148" s="2"/>
      <c r="HE148" s="2" t="s">
        <v>3</v>
      </c>
      <c r="HF148" s="2" t="s">
        <v>3</v>
      </c>
      <c r="HG148" s="2"/>
      <c r="HH148" s="2"/>
      <c r="HI148" s="2"/>
      <c r="HJ148" s="2"/>
      <c r="HK148" s="2"/>
      <c r="HL148" s="2"/>
      <c r="HM148" s="2" t="s">
        <v>3</v>
      </c>
      <c r="HN148" s="2" t="s">
        <v>43</v>
      </c>
      <c r="HO148" s="2" t="s">
        <v>44</v>
      </c>
      <c r="HP148" s="2" t="s">
        <v>41</v>
      </c>
      <c r="HQ148" s="2" t="s">
        <v>41</v>
      </c>
      <c r="HR148" s="2"/>
      <c r="HS148" s="2">
        <v>0</v>
      </c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>
        <v>0</v>
      </c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50" spans="1:255" x14ac:dyDescent="0.2">
      <c r="A150" s="3">
        <v>51</v>
      </c>
      <c r="B150" s="3">
        <f>B132</f>
        <v>1</v>
      </c>
      <c r="C150" s="3">
        <f>A132</f>
        <v>4</v>
      </c>
      <c r="D150" s="3">
        <f>ROW(A132)</f>
        <v>132</v>
      </c>
      <c r="E150" s="3"/>
      <c r="F150" s="3" t="str">
        <f>IF(F132&lt;&gt;"",F132,"")</f>
        <v>Новый раздел</v>
      </c>
      <c r="G150" s="3" t="str">
        <f>IF(G132&lt;&gt;"",G132,"")</f>
        <v>Вывод провода-спутника под КИК-3шт</v>
      </c>
      <c r="H150" s="3">
        <v>0</v>
      </c>
      <c r="I150" s="3"/>
      <c r="J150" s="3"/>
      <c r="K150" s="3"/>
      <c r="L150" s="3"/>
      <c r="M150" s="3"/>
      <c r="N150" s="3"/>
      <c r="O150" s="3">
        <f t="shared" ref="O150:T150" si="105">ROUND(AB150,2)</f>
        <v>6355.54</v>
      </c>
      <c r="P150" s="3">
        <f t="shared" si="105"/>
        <v>4084.95</v>
      </c>
      <c r="Q150" s="3">
        <f t="shared" si="105"/>
        <v>1180.33</v>
      </c>
      <c r="R150" s="3">
        <f t="shared" si="105"/>
        <v>386.68</v>
      </c>
      <c r="S150" s="3">
        <f t="shared" si="105"/>
        <v>703.58</v>
      </c>
      <c r="T150" s="3">
        <f t="shared" si="105"/>
        <v>0</v>
      </c>
      <c r="U150" s="3">
        <f>AH150</f>
        <v>1.671135</v>
      </c>
      <c r="V150" s="3">
        <f>AI150</f>
        <v>0.83757840000000006</v>
      </c>
      <c r="W150" s="3">
        <f>ROUND(AJ150,2)</f>
        <v>0</v>
      </c>
      <c r="X150" s="3">
        <f>ROUND(AK150,2)</f>
        <v>1264.23</v>
      </c>
      <c r="Y150" s="3">
        <f>ROUND(AL150,2)</f>
        <v>794.66</v>
      </c>
      <c r="Z150" s="3"/>
      <c r="AA150" s="3"/>
      <c r="AB150" s="3">
        <f>ROUND(SUMIF(AA136:AA148,"=74014550",O136:O148),2)</f>
        <v>6355.54</v>
      </c>
      <c r="AC150" s="3">
        <f>ROUND(SUMIF(AA136:AA148,"=74014550",P136:P148),2)</f>
        <v>4084.95</v>
      </c>
      <c r="AD150" s="3">
        <f>ROUND(SUMIF(AA136:AA148,"=74014550",Q136:Q148),2)</f>
        <v>1180.33</v>
      </c>
      <c r="AE150" s="3">
        <f>ROUND(SUMIF(AA136:AA148,"=74014550",R136:R148),2)</f>
        <v>386.68</v>
      </c>
      <c r="AF150" s="3">
        <f>ROUND(SUMIF(AA136:AA148,"=74014550",S136:S148),2)</f>
        <v>703.58</v>
      </c>
      <c r="AG150" s="3">
        <f>ROUND(SUMIF(AA136:AA148,"=74014550",T136:T148),2)</f>
        <v>0</v>
      </c>
      <c r="AH150" s="3">
        <f>SUMIF(AA136:AA148,"=74014550",U136:U148)</f>
        <v>1.671135</v>
      </c>
      <c r="AI150" s="3">
        <f>SUMIF(AA136:AA148,"=74014550",V136:V148)</f>
        <v>0.83757840000000006</v>
      </c>
      <c r="AJ150" s="3">
        <f>ROUND(SUMIF(AA136:AA148,"=74014550",W136:W148),2)</f>
        <v>0</v>
      </c>
      <c r="AK150" s="3">
        <f>ROUND(SUMIF(AA136:AA148,"=74014550",X136:X148),2)</f>
        <v>1264.23</v>
      </c>
      <c r="AL150" s="3">
        <f>ROUND(SUMIF(AA136:AA148,"=74014550",Y136:Y148),2)</f>
        <v>794.66</v>
      </c>
      <c r="AM150" s="3"/>
      <c r="AN150" s="3"/>
      <c r="AO150" s="3">
        <f t="shared" ref="AO150:BD150" si="106">ROUND(BX150,2)</f>
        <v>0</v>
      </c>
      <c r="AP150" s="3">
        <f t="shared" si="106"/>
        <v>0</v>
      </c>
      <c r="AQ150" s="3">
        <f t="shared" si="106"/>
        <v>0</v>
      </c>
      <c r="AR150" s="3">
        <f t="shared" si="106"/>
        <v>8414.43</v>
      </c>
      <c r="AS150" s="3">
        <f t="shared" si="106"/>
        <v>8414.43</v>
      </c>
      <c r="AT150" s="3">
        <f t="shared" si="106"/>
        <v>0</v>
      </c>
      <c r="AU150" s="3">
        <f t="shared" si="106"/>
        <v>0</v>
      </c>
      <c r="AV150" s="3">
        <f t="shared" si="106"/>
        <v>4084.95</v>
      </c>
      <c r="AW150" s="3">
        <f t="shared" si="106"/>
        <v>4084.95</v>
      </c>
      <c r="AX150" s="3">
        <f t="shared" si="106"/>
        <v>0</v>
      </c>
      <c r="AY150" s="3">
        <f t="shared" si="106"/>
        <v>4084.95</v>
      </c>
      <c r="AZ150" s="3">
        <f t="shared" si="106"/>
        <v>0</v>
      </c>
      <c r="BA150" s="3">
        <f t="shared" si="106"/>
        <v>0</v>
      </c>
      <c r="BB150" s="3">
        <f t="shared" si="106"/>
        <v>0</v>
      </c>
      <c r="BC150" s="3">
        <f t="shared" si="106"/>
        <v>0</v>
      </c>
      <c r="BD150" s="3">
        <f t="shared" si="106"/>
        <v>0</v>
      </c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>
        <f>ROUND(SUMIF(AA136:AA148,"=74014550",FQ136:FQ148),2)</f>
        <v>0</v>
      </c>
      <c r="BY150" s="3">
        <f>ROUND(SUMIF(AA136:AA148,"=74014550",FR136:FR148),2)</f>
        <v>0</v>
      </c>
      <c r="BZ150" s="3">
        <f>ROUND(SUMIF(AA136:AA148,"=74014550",GL136:GL148),2)</f>
        <v>0</v>
      </c>
      <c r="CA150" s="3">
        <f>ROUND(SUMIF(AA136:AA148,"=74014550",GM136:GM148),2)</f>
        <v>8414.43</v>
      </c>
      <c r="CB150" s="3">
        <f>ROUND(SUMIF(AA136:AA148,"=74014550",GN136:GN148),2)</f>
        <v>8414.43</v>
      </c>
      <c r="CC150" s="3">
        <f>ROUND(SUMIF(AA136:AA148,"=74014550",GO136:GO148),2)</f>
        <v>0</v>
      </c>
      <c r="CD150" s="3">
        <f>ROUND(SUMIF(AA136:AA148,"=74014550",GP136:GP148),2)</f>
        <v>0</v>
      </c>
      <c r="CE150" s="3">
        <f>AC150-BX150</f>
        <v>4084.95</v>
      </c>
      <c r="CF150" s="3">
        <f>AC150-BY150</f>
        <v>4084.95</v>
      </c>
      <c r="CG150" s="3">
        <f>BX150-BZ150</f>
        <v>0</v>
      </c>
      <c r="CH150" s="3">
        <f>AC150-BX150-BY150+BZ150</f>
        <v>4084.95</v>
      </c>
      <c r="CI150" s="3">
        <f>BY150-BZ150</f>
        <v>0</v>
      </c>
      <c r="CJ150" s="3">
        <f>ROUND(SUMIF(AA136:AA148,"=74014550",GX136:GX148),2)</f>
        <v>0</v>
      </c>
      <c r="CK150" s="3">
        <f>ROUND(SUMIF(AA136:AA148,"=74014550",GY136:GY148),2)</f>
        <v>0</v>
      </c>
      <c r="CL150" s="3">
        <f>ROUND(SUMIF(AA136:AA148,"=74014550",GZ136:GZ148),2)</f>
        <v>0</v>
      </c>
      <c r="CM150" s="3">
        <f>ROUND(SUMIF(AA136:AA148,"=74014550",HD136:HD148),2)</f>
        <v>0</v>
      </c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>
        <v>0</v>
      </c>
    </row>
    <row r="152" spans="1:255" x14ac:dyDescent="0.2">
      <c r="A152" s="5">
        <v>50</v>
      </c>
      <c r="B152" s="5">
        <v>0</v>
      </c>
      <c r="C152" s="5">
        <v>0</v>
      </c>
      <c r="D152" s="5">
        <v>1</v>
      </c>
      <c r="E152" s="5">
        <v>201</v>
      </c>
      <c r="F152" s="5">
        <f>ROUND(Source!O150,O152)</f>
        <v>6355.54</v>
      </c>
      <c r="G152" s="5" t="s">
        <v>61</v>
      </c>
      <c r="H152" s="5" t="s">
        <v>62</v>
      </c>
      <c r="I152" s="5"/>
      <c r="J152" s="5"/>
      <c r="K152" s="5">
        <v>201</v>
      </c>
      <c r="L152" s="5">
        <v>1</v>
      </c>
      <c r="M152" s="5">
        <v>3</v>
      </c>
      <c r="N152" s="5" t="s">
        <v>3</v>
      </c>
      <c r="O152" s="5">
        <v>2</v>
      </c>
      <c r="P152" s="5"/>
      <c r="Q152" s="5"/>
      <c r="R152" s="5"/>
      <c r="S152" s="5"/>
      <c r="T152" s="5"/>
      <c r="U152" s="5"/>
      <c r="V152" s="5"/>
      <c r="W152" s="5">
        <v>6355.54</v>
      </c>
      <c r="X152" s="5">
        <v>1</v>
      </c>
      <c r="Y152" s="5">
        <v>6355.54</v>
      </c>
      <c r="Z152" s="5"/>
      <c r="AA152" s="5"/>
      <c r="AB152" s="5"/>
    </row>
    <row r="153" spans="1:255" x14ac:dyDescent="0.2">
      <c r="A153" s="5">
        <v>50</v>
      </c>
      <c r="B153" s="5">
        <v>0</v>
      </c>
      <c r="C153" s="5">
        <v>0</v>
      </c>
      <c r="D153" s="5">
        <v>1</v>
      </c>
      <c r="E153" s="5">
        <v>202</v>
      </c>
      <c r="F153" s="5">
        <f>ROUND(Source!P150,O153)</f>
        <v>4084.95</v>
      </c>
      <c r="G153" s="5" t="s">
        <v>63</v>
      </c>
      <c r="H153" s="5" t="s">
        <v>64</v>
      </c>
      <c r="I153" s="5"/>
      <c r="J153" s="5"/>
      <c r="K153" s="5">
        <v>202</v>
      </c>
      <c r="L153" s="5">
        <v>2</v>
      </c>
      <c r="M153" s="5">
        <v>3</v>
      </c>
      <c r="N153" s="5" t="s">
        <v>3</v>
      </c>
      <c r="O153" s="5">
        <v>2</v>
      </c>
      <c r="P153" s="5"/>
      <c r="Q153" s="5"/>
      <c r="R153" s="5"/>
      <c r="S153" s="5"/>
      <c r="T153" s="5"/>
      <c r="U153" s="5"/>
      <c r="V153" s="5"/>
      <c r="W153" s="5">
        <v>4084.95</v>
      </c>
      <c r="X153" s="5">
        <v>1</v>
      </c>
      <c r="Y153" s="5">
        <v>4084.95</v>
      </c>
      <c r="Z153" s="5"/>
      <c r="AA153" s="5"/>
      <c r="AB153" s="5"/>
    </row>
    <row r="154" spans="1:255" x14ac:dyDescent="0.2">
      <c r="A154" s="5">
        <v>50</v>
      </c>
      <c r="B154" s="5">
        <v>0</v>
      </c>
      <c r="C154" s="5">
        <v>0</v>
      </c>
      <c r="D154" s="5">
        <v>1</v>
      </c>
      <c r="E154" s="5">
        <v>222</v>
      </c>
      <c r="F154" s="5">
        <f>ROUND(Source!AO150,O154)</f>
        <v>0</v>
      </c>
      <c r="G154" s="5" t="s">
        <v>65</v>
      </c>
      <c r="H154" s="5" t="s">
        <v>66</v>
      </c>
      <c r="I154" s="5"/>
      <c r="J154" s="5"/>
      <c r="K154" s="5">
        <v>222</v>
      </c>
      <c r="L154" s="5">
        <v>3</v>
      </c>
      <c r="M154" s="5">
        <v>3</v>
      </c>
      <c r="N154" s="5" t="s">
        <v>3</v>
      </c>
      <c r="O154" s="5">
        <v>2</v>
      </c>
      <c r="P154" s="5"/>
      <c r="Q154" s="5"/>
      <c r="R154" s="5"/>
      <c r="S154" s="5"/>
      <c r="T154" s="5"/>
      <c r="U154" s="5"/>
      <c r="V154" s="5"/>
      <c r="W154" s="5">
        <v>0</v>
      </c>
      <c r="X154" s="5">
        <v>1</v>
      </c>
      <c r="Y154" s="5">
        <v>0</v>
      </c>
      <c r="Z154" s="5"/>
      <c r="AA154" s="5"/>
      <c r="AB154" s="5"/>
    </row>
    <row r="155" spans="1:255" x14ac:dyDescent="0.2">
      <c r="A155" s="5">
        <v>50</v>
      </c>
      <c r="B155" s="5">
        <v>0</v>
      </c>
      <c r="C155" s="5">
        <v>0</v>
      </c>
      <c r="D155" s="5">
        <v>1</v>
      </c>
      <c r="E155" s="5">
        <v>225</v>
      </c>
      <c r="F155" s="5">
        <f>ROUND(Source!AV150,O155)</f>
        <v>4084.95</v>
      </c>
      <c r="G155" s="5" t="s">
        <v>67</v>
      </c>
      <c r="H155" s="5" t="s">
        <v>68</v>
      </c>
      <c r="I155" s="5"/>
      <c r="J155" s="5"/>
      <c r="K155" s="5">
        <v>225</v>
      </c>
      <c r="L155" s="5">
        <v>4</v>
      </c>
      <c r="M155" s="5">
        <v>3</v>
      </c>
      <c r="N155" s="5" t="s">
        <v>3</v>
      </c>
      <c r="O155" s="5">
        <v>2</v>
      </c>
      <c r="P155" s="5"/>
      <c r="Q155" s="5"/>
      <c r="R155" s="5"/>
      <c r="S155" s="5"/>
      <c r="T155" s="5"/>
      <c r="U155" s="5"/>
      <c r="V155" s="5"/>
      <c r="W155" s="5">
        <v>4084.95</v>
      </c>
      <c r="X155" s="5">
        <v>1</v>
      </c>
      <c r="Y155" s="5">
        <v>4084.95</v>
      </c>
      <c r="Z155" s="5"/>
      <c r="AA155" s="5"/>
      <c r="AB155" s="5"/>
    </row>
    <row r="156" spans="1:255" x14ac:dyDescent="0.2">
      <c r="A156" s="5">
        <v>50</v>
      </c>
      <c r="B156" s="5">
        <v>0</v>
      </c>
      <c r="C156" s="5">
        <v>0</v>
      </c>
      <c r="D156" s="5">
        <v>1</v>
      </c>
      <c r="E156" s="5">
        <v>226</v>
      </c>
      <c r="F156" s="5">
        <f>ROUND(Source!AW150,O156)</f>
        <v>4084.95</v>
      </c>
      <c r="G156" s="5" t="s">
        <v>69</v>
      </c>
      <c r="H156" s="5" t="s">
        <v>70</v>
      </c>
      <c r="I156" s="5"/>
      <c r="J156" s="5"/>
      <c r="K156" s="5">
        <v>226</v>
      </c>
      <c r="L156" s="5">
        <v>5</v>
      </c>
      <c r="M156" s="5">
        <v>3</v>
      </c>
      <c r="N156" s="5" t="s">
        <v>3</v>
      </c>
      <c r="O156" s="5">
        <v>2</v>
      </c>
      <c r="P156" s="5"/>
      <c r="Q156" s="5"/>
      <c r="R156" s="5"/>
      <c r="S156" s="5"/>
      <c r="T156" s="5"/>
      <c r="U156" s="5"/>
      <c r="V156" s="5"/>
      <c r="W156" s="5">
        <v>4084.95</v>
      </c>
      <c r="X156" s="5">
        <v>1</v>
      </c>
      <c r="Y156" s="5">
        <v>4084.95</v>
      </c>
      <c r="Z156" s="5"/>
      <c r="AA156" s="5"/>
      <c r="AB156" s="5"/>
    </row>
    <row r="157" spans="1:255" x14ac:dyDescent="0.2">
      <c r="A157" s="5">
        <v>50</v>
      </c>
      <c r="B157" s="5">
        <v>0</v>
      </c>
      <c r="C157" s="5">
        <v>0</v>
      </c>
      <c r="D157" s="5">
        <v>1</v>
      </c>
      <c r="E157" s="5">
        <v>227</v>
      </c>
      <c r="F157" s="5">
        <f>ROUND(Source!AX150,O157)</f>
        <v>0</v>
      </c>
      <c r="G157" s="5" t="s">
        <v>71</v>
      </c>
      <c r="H157" s="5" t="s">
        <v>72</v>
      </c>
      <c r="I157" s="5"/>
      <c r="J157" s="5"/>
      <c r="K157" s="5">
        <v>227</v>
      </c>
      <c r="L157" s="5">
        <v>6</v>
      </c>
      <c r="M157" s="5">
        <v>3</v>
      </c>
      <c r="N157" s="5" t="s">
        <v>3</v>
      </c>
      <c r="O157" s="5">
        <v>2</v>
      </c>
      <c r="P157" s="5"/>
      <c r="Q157" s="5"/>
      <c r="R157" s="5"/>
      <c r="S157" s="5"/>
      <c r="T157" s="5"/>
      <c r="U157" s="5"/>
      <c r="V157" s="5"/>
      <c r="W157" s="5">
        <v>0</v>
      </c>
      <c r="X157" s="5">
        <v>1</v>
      </c>
      <c r="Y157" s="5">
        <v>0</v>
      </c>
      <c r="Z157" s="5"/>
      <c r="AA157" s="5"/>
      <c r="AB157" s="5"/>
    </row>
    <row r="158" spans="1:255" x14ac:dyDescent="0.2">
      <c r="A158" s="5">
        <v>50</v>
      </c>
      <c r="B158" s="5">
        <v>0</v>
      </c>
      <c r="C158" s="5">
        <v>0</v>
      </c>
      <c r="D158" s="5">
        <v>1</v>
      </c>
      <c r="E158" s="5">
        <v>228</v>
      </c>
      <c r="F158" s="5">
        <f>ROUND(Source!AY150,O158)</f>
        <v>4084.95</v>
      </c>
      <c r="G158" s="5" t="s">
        <v>73</v>
      </c>
      <c r="H158" s="5" t="s">
        <v>74</v>
      </c>
      <c r="I158" s="5"/>
      <c r="J158" s="5"/>
      <c r="K158" s="5">
        <v>228</v>
      </c>
      <c r="L158" s="5">
        <v>7</v>
      </c>
      <c r="M158" s="5">
        <v>3</v>
      </c>
      <c r="N158" s="5" t="s">
        <v>3</v>
      </c>
      <c r="O158" s="5">
        <v>2</v>
      </c>
      <c r="P158" s="5"/>
      <c r="Q158" s="5"/>
      <c r="R158" s="5"/>
      <c r="S158" s="5"/>
      <c r="T158" s="5"/>
      <c r="U158" s="5"/>
      <c r="V158" s="5"/>
      <c r="W158" s="5">
        <v>4084.95</v>
      </c>
      <c r="X158" s="5">
        <v>1</v>
      </c>
      <c r="Y158" s="5">
        <v>4084.95</v>
      </c>
      <c r="Z158" s="5"/>
      <c r="AA158" s="5"/>
      <c r="AB158" s="5"/>
    </row>
    <row r="159" spans="1:255" x14ac:dyDescent="0.2">
      <c r="A159" s="5">
        <v>50</v>
      </c>
      <c r="B159" s="5">
        <v>0</v>
      </c>
      <c r="C159" s="5">
        <v>0</v>
      </c>
      <c r="D159" s="5">
        <v>1</v>
      </c>
      <c r="E159" s="5">
        <v>216</v>
      </c>
      <c r="F159" s="5">
        <f>ROUND(Source!AP150,O159)</f>
        <v>0</v>
      </c>
      <c r="G159" s="5" t="s">
        <v>75</v>
      </c>
      <c r="H159" s="5" t="s">
        <v>76</v>
      </c>
      <c r="I159" s="5"/>
      <c r="J159" s="5"/>
      <c r="K159" s="5">
        <v>216</v>
      </c>
      <c r="L159" s="5">
        <v>8</v>
      </c>
      <c r="M159" s="5">
        <v>3</v>
      </c>
      <c r="N159" s="5" t="s">
        <v>3</v>
      </c>
      <c r="O159" s="5">
        <v>2</v>
      </c>
      <c r="P159" s="5"/>
      <c r="Q159" s="5"/>
      <c r="R159" s="5"/>
      <c r="S159" s="5"/>
      <c r="T159" s="5"/>
      <c r="U159" s="5"/>
      <c r="V159" s="5"/>
      <c r="W159" s="5">
        <v>0</v>
      </c>
      <c r="X159" s="5">
        <v>1</v>
      </c>
      <c r="Y159" s="5">
        <v>0</v>
      </c>
      <c r="Z159" s="5"/>
      <c r="AA159" s="5"/>
      <c r="AB159" s="5"/>
    </row>
    <row r="160" spans="1:255" x14ac:dyDescent="0.2">
      <c r="A160" s="5">
        <v>50</v>
      </c>
      <c r="B160" s="5">
        <v>0</v>
      </c>
      <c r="C160" s="5">
        <v>0</v>
      </c>
      <c r="D160" s="5">
        <v>1</v>
      </c>
      <c r="E160" s="5">
        <v>223</v>
      </c>
      <c r="F160" s="5">
        <f>ROUND(Source!AQ150,O160)</f>
        <v>0</v>
      </c>
      <c r="G160" s="5" t="s">
        <v>77</v>
      </c>
      <c r="H160" s="5" t="s">
        <v>78</v>
      </c>
      <c r="I160" s="5"/>
      <c r="J160" s="5"/>
      <c r="K160" s="5">
        <v>223</v>
      </c>
      <c r="L160" s="5">
        <v>9</v>
      </c>
      <c r="M160" s="5">
        <v>3</v>
      </c>
      <c r="N160" s="5" t="s">
        <v>3</v>
      </c>
      <c r="O160" s="5">
        <v>2</v>
      </c>
      <c r="P160" s="5"/>
      <c r="Q160" s="5"/>
      <c r="R160" s="5"/>
      <c r="S160" s="5"/>
      <c r="T160" s="5"/>
      <c r="U160" s="5"/>
      <c r="V160" s="5"/>
      <c r="W160" s="5">
        <v>0</v>
      </c>
      <c r="X160" s="5">
        <v>1</v>
      </c>
      <c r="Y160" s="5">
        <v>0</v>
      </c>
      <c r="Z160" s="5"/>
      <c r="AA160" s="5"/>
      <c r="AB160" s="5"/>
    </row>
    <row r="161" spans="1:28" x14ac:dyDescent="0.2">
      <c r="A161" s="5">
        <v>50</v>
      </c>
      <c r="B161" s="5">
        <v>0</v>
      </c>
      <c r="C161" s="5">
        <v>0</v>
      </c>
      <c r="D161" s="5">
        <v>1</v>
      </c>
      <c r="E161" s="5">
        <v>229</v>
      </c>
      <c r="F161" s="5">
        <f>ROUND(Source!AZ150,O161)</f>
        <v>0</v>
      </c>
      <c r="G161" s="5" t="s">
        <v>79</v>
      </c>
      <c r="H161" s="5" t="s">
        <v>80</v>
      </c>
      <c r="I161" s="5"/>
      <c r="J161" s="5"/>
      <c r="K161" s="5">
        <v>229</v>
      </c>
      <c r="L161" s="5">
        <v>10</v>
      </c>
      <c r="M161" s="5">
        <v>3</v>
      </c>
      <c r="N161" s="5" t="s">
        <v>3</v>
      </c>
      <c r="O161" s="5">
        <v>2</v>
      </c>
      <c r="P161" s="5"/>
      <c r="Q161" s="5"/>
      <c r="R161" s="5"/>
      <c r="S161" s="5"/>
      <c r="T161" s="5"/>
      <c r="U161" s="5"/>
      <c r="V161" s="5"/>
      <c r="W161" s="5">
        <v>0</v>
      </c>
      <c r="X161" s="5">
        <v>1</v>
      </c>
      <c r="Y161" s="5">
        <v>0</v>
      </c>
      <c r="Z161" s="5"/>
      <c r="AA161" s="5"/>
      <c r="AB161" s="5"/>
    </row>
    <row r="162" spans="1:28" x14ac:dyDescent="0.2">
      <c r="A162" s="5">
        <v>50</v>
      </c>
      <c r="B162" s="5">
        <v>0</v>
      </c>
      <c r="C162" s="5">
        <v>0</v>
      </c>
      <c r="D162" s="5">
        <v>1</v>
      </c>
      <c r="E162" s="5">
        <v>203</v>
      </c>
      <c r="F162" s="5">
        <f>ROUND(Source!Q150,O162)</f>
        <v>1180.33</v>
      </c>
      <c r="G162" s="5" t="s">
        <v>81</v>
      </c>
      <c r="H162" s="5" t="s">
        <v>82</v>
      </c>
      <c r="I162" s="5"/>
      <c r="J162" s="5"/>
      <c r="K162" s="5">
        <v>203</v>
      </c>
      <c r="L162" s="5">
        <v>11</v>
      </c>
      <c r="M162" s="5">
        <v>3</v>
      </c>
      <c r="N162" s="5" t="s">
        <v>3</v>
      </c>
      <c r="O162" s="5">
        <v>2</v>
      </c>
      <c r="P162" s="5"/>
      <c r="Q162" s="5"/>
      <c r="R162" s="5"/>
      <c r="S162" s="5"/>
      <c r="T162" s="5"/>
      <c r="U162" s="5"/>
      <c r="V162" s="5"/>
      <c r="W162" s="5">
        <v>1180.33</v>
      </c>
      <c r="X162" s="5">
        <v>1</v>
      </c>
      <c r="Y162" s="5">
        <v>1180.33</v>
      </c>
      <c r="Z162" s="5"/>
      <c r="AA162" s="5"/>
      <c r="AB162" s="5"/>
    </row>
    <row r="163" spans="1:28" x14ac:dyDescent="0.2">
      <c r="A163" s="5">
        <v>50</v>
      </c>
      <c r="B163" s="5">
        <v>0</v>
      </c>
      <c r="C163" s="5">
        <v>0</v>
      </c>
      <c r="D163" s="5">
        <v>1</v>
      </c>
      <c r="E163" s="5">
        <v>231</v>
      </c>
      <c r="F163" s="5">
        <f>ROUND(Source!BB150,O163)</f>
        <v>0</v>
      </c>
      <c r="G163" s="5" t="s">
        <v>83</v>
      </c>
      <c r="H163" s="5" t="s">
        <v>84</v>
      </c>
      <c r="I163" s="5"/>
      <c r="J163" s="5"/>
      <c r="K163" s="5">
        <v>231</v>
      </c>
      <c r="L163" s="5">
        <v>12</v>
      </c>
      <c r="M163" s="5">
        <v>3</v>
      </c>
      <c r="N163" s="5" t="s">
        <v>3</v>
      </c>
      <c r="O163" s="5">
        <v>2</v>
      </c>
      <c r="P163" s="5"/>
      <c r="Q163" s="5"/>
      <c r="R163" s="5"/>
      <c r="S163" s="5"/>
      <c r="T163" s="5"/>
      <c r="U163" s="5"/>
      <c r="V163" s="5"/>
      <c r="W163" s="5">
        <v>0</v>
      </c>
      <c r="X163" s="5">
        <v>1</v>
      </c>
      <c r="Y163" s="5">
        <v>0</v>
      </c>
      <c r="Z163" s="5"/>
      <c r="AA163" s="5"/>
      <c r="AB163" s="5"/>
    </row>
    <row r="164" spans="1:28" x14ac:dyDescent="0.2">
      <c r="A164" s="5">
        <v>50</v>
      </c>
      <c r="B164" s="5">
        <v>0</v>
      </c>
      <c r="C164" s="5">
        <v>0</v>
      </c>
      <c r="D164" s="5">
        <v>1</v>
      </c>
      <c r="E164" s="5">
        <v>204</v>
      </c>
      <c r="F164" s="5">
        <f>ROUND(Source!R150,O164)</f>
        <v>386.68</v>
      </c>
      <c r="G164" s="5" t="s">
        <v>85</v>
      </c>
      <c r="H164" s="5" t="s">
        <v>86</v>
      </c>
      <c r="I164" s="5"/>
      <c r="J164" s="5"/>
      <c r="K164" s="5">
        <v>204</v>
      </c>
      <c r="L164" s="5">
        <v>13</v>
      </c>
      <c r="M164" s="5">
        <v>3</v>
      </c>
      <c r="N164" s="5" t="s">
        <v>3</v>
      </c>
      <c r="O164" s="5">
        <v>2</v>
      </c>
      <c r="P164" s="5"/>
      <c r="Q164" s="5"/>
      <c r="R164" s="5"/>
      <c r="S164" s="5"/>
      <c r="T164" s="5"/>
      <c r="U164" s="5"/>
      <c r="V164" s="5"/>
      <c r="W164" s="5">
        <v>386.68000000000006</v>
      </c>
      <c r="X164" s="5">
        <v>1</v>
      </c>
      <c r="Y164" s="5">
        <v>386.68000000000006</v>
      </c>
      <c r="Z164" s="5"/>
      <c r="AA164" s="5"/>
      <c r="AB164" s="5"/>
    </row>
    <row r="165" spans="1:28" x14ac:dyDescent="0.2">
      <c r="A165" s="5">
        <v>50</v>
      </c>
      <c r="B165" s="5">
        <v>0</v>
      </c>
      <c r="C165" s="5">
        <v>0</v>
      </c>
      <c r="D165" s="5">
        <v>1</v>
      </c>
      <c r="E165" s="5">
        <v>205</v>
      </c>
      <c r="F165" s="5">
        <f>ROUND(Source!S150,O165)</f>
        <v>703.58</v>
      </c>
      <c r="G165" s="5" t="s">
        <v>87</v>
      </c>
      <c r="H165" s="5" t="s">
        <v>88</v>
      </c>
      <c r="I165" s="5"/>
      <c r="J165" s="5"/>
      <c r="K165" s="5">
        <v>205</v>
      </c>
      <c r="L165" s="5">
        <v>14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703.57999999999993</v>
      </c>
      <c r="X165" s="5">
        <v>1</v>
      </c>
      <c r="Y165" s="5">
        <v>703.57999999999993</v>
      </c>
      <c r="Z165" s="5"/>
      <c r="AA165" s="5"/>
      <c r="AB165" s="5"/>
    </row>
    <row r="166" spans="1:28" x14ac:dyDescent="0.2">
      <c r="A166" s="5">
        <v>50</v>
      </c>
      <c r="B166" s="5">
        <v>0</v>
      </c>
      <c r="C166" s="5">
        <v>0</v>
      </c>
      <c r="D166" s="5">
        <v>1</v>
      </c>
      <c r="E166" s="5">
        <v>232</v>
      </c>
      <c r="F166" s="5">
        <f>ROUND(Source!BC150,O166)</f>
        <v>0</v>
      </c>
      <c r="G166" s="5" t="s">
        <v>89</v>
      </c>
      <c r="H166" s="5" t="s">
        <v>90</v>
      </c>
      <c r="I166" s="5"/>
      <c r="J166" s="5"/>
      <c r="K166" s="5">
        <v>232</v>
      </c>
      <c r="L166" s="5">
        <v>15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0</v>
      </c>
      <c r="X166" s="5">
        <v>1</v>
      </c>
      <c r="Y166" s="5">
        <v>0</v>
      </c>
      <c r="Z166" s="5"/>
      <c r="AA166" s="5"/>
      <c r="AB166" s="5"/>
    </row>
    <row r="167" spans="1:28" x14ac:dyDescent="0.2">
      <c r="A167" s="5">
        <v>50</v>
      </c>
      <c r="B167" s="5">
        <v>0</v>
      </c>
      <c r="C167" s="5">
        <v>0</v>
      </c>
      <c r="D167" s="5">
        <v>1</v>
      </c>
      <c r="E167" s="5">
        <v>214</v>
      </c>
      <c r="F167" s="5">
        <f>ROUND(Source!AS150,O167)</f>
        <v>8414.43</v>
      </c>
      <c r="G167" s="5" t="s">
        <v>91</v>
      </c>
      <c r="H167" s="5" t="s">
        <v>92</v>
      </c>
      <c r="I167" s="5"/>
      <c r="J167" s="5"/>
      <c r="K167" s="5">
        <v>214</v>
      </c>
      <c r="L167" s="5">
        <v>16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8414.43</v>
      </c>
      <c r="X167" s="5">
        <v>1</v>
      </c>
      <c r="Y167" s="5">
        <v>8414.43</v>
      </c>
      <c r="Z167" s="5"/>
      <c r="AA167" s="5"/>
      <c r="AB167" s="5"/>
    </row>
    <row r="168" spans="1:28" x14ac:dyDescent="0.2">
      <c r="A168" s="5">
        <v>50</v>
      </c>
      <c r="B168" s="5">
        <v>0</v>
      </c>
      <c r="C168" s="5">
        <v>0</v>
      </c>
      <c r="D168" s="5">
        <v>1</v>
      </c>
      <c r="E168" s="5">
        <v>215</v>
      </c>
      <c r="F168" s="5">
        <f>ROUND(Source!AT150,O168)</f>
        <v>0</v>
      </c>
      <c r="G168" s="5" t="s">
        <v>93</v>
      </c>
      <c r="H168" s="5" t="s">
        <v>94</v>
      </c>
      <c r="I168" s="5"/>
      <c r="J168" s="5"/>
      <c r="K168" s="5">
        <v>215</v>
      </c>
      <c r="L168" s="5">
        <v>17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0</v>
      </c>
      <c r="X168" s="5">
        <v>1</v>
      </c>
      <c r="Y168" s="5">
        <v>0</v>
      </c>
      <c r="Z168" s="5"/>
      <c r="AA168" s="5"/>
      <c r="AB168" s="5"/>
    </row>
    <row r="169" spans="1:28" x14ac:dyDescent="0.2">
      <c r="A169" s="5">
        <v>50</v>
      </c>
      <c r="B169" s="5">
        <v>0</v>
      </c>
      <c r="C169" s="5">
        <v>0</v>
      </c>
      <c r="D169" s="5">
        <v>1</v>
      </c>
      <c r="E169" s="5">
        <v>217</v>
      </c>
      <c r="F169" s="5">
        <f>ROUND(Source!AU150,O169)</f>
        <v>0</v>
      </c>
      <c r="G169" s="5" t="s">
        <v>95</v>
      </c>
      <c r="H169" s="5" t="s">
        <v>96</v>
      </c>
      <c r="I169" s="5"/>
      <c r="J169" s="5"/>
      <c r="K169" s="5">
        <v>217</v>
      </c>
      <c r="L169" s="5">
        <v>18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0</v>
      </c>
      <c r="X169" s="5">
        <v>1</v>
      </c>
      <c r="Y169" s="5">
        <v>0</v>
      </c>
      <c r="Z169" s="5"/>
      <c r="AA169" s="5"/>
      <c r="AB169" s="5"/>
    </row>
    <row r="170" spans="1:28" x14ac:dyDescent="0.2">
      <c r="A170" s="5">
        <v>50</v>
      </c>
      <c r="B170" s="5">
        <v>0</v>
      </c>
      <c r="C170" s="5">
        <v>0</v>
      </c>
      <c r="D170" s="5">
        <v>1</v>
      </c>
      <c r="E170" s="5">
        <v>230</v>
      </c>
      <c r="F170" s="5">
        <f>ROUND(Source!BA150,O170)</f>
        <v>0</v>
      </c>
      <c r="G170" s="5" t="s">
        <v>97</v>
      </c>
      <c r="H170" s="5" t="s">
        <v>98</v>
      </c>
      <c r="I170" s="5"/>
      <c r="J170" s="5"/>
      <c r="K170" s="5">
        <v>230</v>
      </c>
      <c r="L170" s="5">
        <v>19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0</v>
      </c>
      <c r="X170" s="5">
        <v>1</v>
      </c>
      <c r="Y170" s="5">
        <v>0</v>
      </c>
      <c r="Z170" s="5"/>
      <c r="AA170" s="5"/>
      <c r="AB170" s="5"/>
    </row>
    <row r="171" spans="1:28" x14ac:dyDescent="0.2">
      <c r="A171" s="5">
        <v>50</v>
      </c>
      <c r="B171" s="5">
        <v>0</v>
      </c>
      <c r="C171" s="5">
        <v>0</v>
      </c>
      <c r="D171" s="5">
        <v>1</v>
      </c>
      <c r="E171" s="5">
        <v>206</v>
      </c>
      <c r="F171" s="5">
        <f>ROUND(Source!T150,O171)</f>
        <v>0</v>
      </c>
      <c r="G171" s="5" t="s">
        <v>99</v>
      </c>
      <c r="H171" s="5" t="s">
        <v>100</v>
      </c>
      <c r="I171" s="5"/>
      <c r="J171" s="5"/>
      <c r="K171" s="5">
        <v>206</v>
      </c>
      <c r="L171" s="5">
        <v>20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0</v>
      </c>
      <c r="X171" s="5">
        <v>1</v>
      </c>
      <c r="Y171" s="5">
        <v>0</v>
      </c>
      <c r="Z171" s="5"/>
      <c r="AA171" s="5"/>
      <c r="AB171" s="5"/>
    </row>
    <row r="172" spans="1:28" x14ac:dyDescent="0.2">
      <c r="A172" s="5">
        <v>50</v>
      </c>
      <c r="B172" s="5">
        <v>0</v>
      </c>
      <c r="C172" s="5">
        <v>0</v>
      </c>
      <c r="D172" s="5">
        <v>1</v>
      </c>
      <c r="E172" s="5">
        <v>207</v>
      </c>
      <c r="F172" s="5">
        <f>ROUND(Source!U150,O172)</f>
        <v>1.671135</v>
      </c>
      <c r="G172" s="5" t="s">
        <v>101</v>
      </c>
      <c r="H172" s="5" t="s">
        <v>102</v>
      </c>
      <c r="I172" s="5"/>
      <c r="J172" s="5"/>
      <c r="K172" s="5">
        <v>207</v>
      </c>
      <c r="L172" s="5">
        <v>21</v>
      </c>
      <c r="M172" s="5">
        <v>3</v>
      </c>
      <c r="N172" s="5" t="s">
        <v>3</v>
      </c>
      <c r="O172" s="5">
        <v>7</v>
      </c>
      <c r="P172" s="5"/>
      <c r="Q172" s="5"/>
      <c r="R172" s="5"/>
      <c r="S172" s="5"/>
      <c r="T172" s="5"/>
      <c r="U172" s="5"/>
      <c r="V172" s="5"/>
      <c r="W172" s="5">
        <v>1.671135</v>
      </c>
      <c r="X172" s="5">
        <v>1</v>
      </c>
      <c r="Y172" s="5">
        <v>1.671135</v>
      </c>
      <c r="Z172" s="5"/>
      <c r="AA172" s="5"/>
      <c r="AB172" s="5"/>
    </row>
    <row r="173" spans="1:28" x14ac:dyDescent="0.2">
      <c r="A173" s="5">
        <v>50</v>
      </c>
      <c r="B173" s="5">
        <v>0</v>
      </c>
      <c r="C173" s="5">
        <v>0</v>
      </c>
      <c r="D173" s="5">
        <v>1</v>
      </c>
      <c r="E173" s="5">
        <v>208</v>
      </c>
      <c r="F173" s="5">
        <f>ROUND(Source!V150,O173)</f>
        <v>0.83757839999999995</v>
      </c>
      <c r="G173" s="5" t="s">
        <v>103</v>
      </c>
      <c r="H173" s="5" t="s">
        <v>104</v>
      </c>
      <c r="I173" s="5"/>
      <c r="J173" s="5"/>
      <c r="K173" s="5">
        <v>208</v>
      </c>
      <c r="L173" s="5">
        <v>22</v>
      </c>
      <c r="M173" s="5">
        <v>3</v>
      </c>
      <c r="N173" s="5" t="s">
        <v>3</v>
      </c>
      <c r="O173" s="5">
        <v>7</v>
      </c>
      <c r="P173" s="5"/>
      <c r="Q173" s="5"/>
      <c r="R173" s="5"/>
      <c r="S173" s="5"/>
      <c r="T173" s="5"/>
      <c r="U173" s="5"/>
      <c r="V173" s="5"/>
      <c r="W173" s="5">
        <v>0.83757839999999995</v>
      </c>
      <c r="X173" s="5">
        <v>1</v>
      </c>
      <c r="Y173" s="5">
        <v>0.83757839999999995</v>
      </c>
      <c r="Z173" s="5"/>
      <c r="AA173" s="5"/>
      <c r="AB173" s="5"/>
    </row>
    <row r="174" spans="1:28" x14ac:dyDescent="0.2">
      <c r="A174" s="5">
        <v>50</v>
      </c>
      <c r="B174" s="5">
        <v>0</v>
      </c>
      <c r="C174" s="5">
        <v>0</v>
      </c>
      <c r="D174" s="5">
        <v>1</v>
      </c>
      <c r="E174" s="5">
        <v>209</v>
      </c>
      <c r="F174" s="5">
        <f>ROUND(Source!W150,O174)</f>
        <v>0</v>
      </c>
      <c r="G174" s="5" t="s">
        <v>105</v>
      </c>
      <c r="H174" s="5" t="s">
        <v>106</v>
      </c>
      <c r="I174" s="5"/>
      <c r="J174" s="5"/>
      <c r="K174" s="5">
        <v>209</v>
      </c>
      <c r="L174" s="5">
        <v>23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0</v>
      </c>
      <c r="X174" s="5">
        <v>1</v>
      </c>
      <c r="Y174" s="5">
        <v>0</v>
      </c>
      <c r="Z174" s="5"/>
      <c r="AA174" s="5"/>
      <c r="AB174" s="5"/>
    </row>
    <row r="175" spans="1:28" x14ac:dyDescent="0.2">
      <c r="A175" s="5">
        <v>50</v>
      </c>
      <c r="B175" s="5">
        <v>0</v>
      </c>
      <c r="C175" s="5">
        <v>0</v>
      </c>
      <c r="D175" s="5">
        <v>1</v>
      </c>
      <c r="E175" s="5">
        <v>233</v>
      </c>
      <c r="F175" s="5">
        <f>ROUND(Source!BD150,O175)</f>
        <v>0</v>
      </c>
      <c r="G175" s="5" t="s">
        <v>107</v>
      </c>
      <c r="H175" s="5" t="s">
        <v>108</v>
      </c>
      <c r="I175" s="5"/>
      <c r="J175" s="5"/>
      <c r="K175" s="5">
        <v>233</v>
      </c>
      <c r="L175" s="5">
        <v>24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0</v>
      </c>
      <c r="X175" s="5">
        <v>1</v>
      </c>
      <c r="Y175" s="5">
        <v>0</v>
      </c>
      <c r="Z175" s="5"/>
      <c r="AA175" s="5"/>
      <c r="AB175" s="5"/>
    </row>
    <row r="176" spans="1:28" x14ac:dyDescent="0.2">
      <c r="A176" s="5">
        <v>50</v>
      </c>
      <c r="B176" s="5">
        <v>0</v>
      </c>
      <c r="C176" s="5">
        <v>0</v>
      </c>
      <c r="D176" s="5">
        <v>1</v>
      </c>
      <c r="E176" s="5">
        <v>210</v>
      </c>
      <c r="F176" s="5">
        <f>ROUND(Source!X150,O176)</f>
        <v>1264.23</v>
      </c>
      <c r="G176" s="5" t="s">
        <v>109</v>
      </c>
      <c r="H176" s="5" t="s">
        <v>110</v>
      </c>
      <c r="I176" s="5"/>
      <c r="J176" s="5"/>
      <c r="K176" s="5">
        <v>210</v>
      </c>
      <c r="L176" s="5">
        <v>25</v>
      </c>
      <c r="M176" s="5">
        <v>3</v>
      </c>
      <c r="N176" s="5" t="s">
        <v>3</v>
      </c>
      <c r="O176" s="5">
        <v>2</v>
      </c>
      <c r="P176" s="5"/>
      <c r="Q176" s="5"/>
      <c r="R176" s="5"/>
      <c r="S176" s="5"/>
      <c r="T176" s="5"/>
      <c r="U176" s="5"/>
      <c r="V176" s="5"/>
      <c r="W176" s="5">
        <v>1264.23</v>
      </c>
      <c r="X176" s="5">
        <v>1</v>
      </c>
      <c r="Y176" s="5">
        <v>1264.23</v>
      </c>
      <c r="Z176" s="5"/>
      <c r="AA176" s="5"/>
      <c r="AB176" s="5"/>
    </row>
    <row r="177" spans="1:255" x14ac:dyDescent="0.2">
      <c r="A177" s="5">
        <v>50</v>
      </c>
      <c r="B177" s="5">
        <v>0</v>
      </c>
      <c r="C177" s="5">
        <v>0</v>
      </c>
      <c r="D177" s="5">
        <v>1</v>
      </c>
      <c r="E177" s="5">
        <v>211</v>
      </c>
      <c r="F177" s="5">
        <f>ROUND(Source!Y150,O177)</f>
        <v>794.66</v>
      </c>
      <c r="G177" s="5" t="s">
        <v>111</v>
      </c>
      <c r="H177" s="5" t="s">
        <v>112</v>
      </c>
      <c r="I177" s="5"/>
      <c r="J177" s="5"/>
      <c r="K177" s="5">
        <v>211</v>
      </c>
      <c r="L177" s="5">
        <v>26</v>
      </c>
      <c r="M177" s="5">
        <v>3</v>
      </c>
      <c r="N177" s="5" t="s">
        <v>3</v>
      </c>
      <c r="O177" s="5">
        <v>2</v>
      </c>
      <c r="P177" s="5"/>
      <c r="Q177" s="5"/>
      <c r="R177" s="5"/>
      <c r="S177" s="5"/>
      <c r="T177" s="5"/>
      <c r="U177" s="5"/>
      <c r="V177" s="5"/>
      <c r="W177" s="5">
        <v>794.66</v>
      </c>
      <c r="X177" s="5">
        <v>1</v>
      </c>
      <c r="Y177" s="5">
        <v>794.66</v>
      </c>
      <c r="Z177" s="5"/>
      <c r="AA177" s="5"/>
      <c r="AB177" s="5"/>
    </row>
    <row r="178" spans="1:255" x14ac:dyDescent="0.2">
      <c r="A178" s="5">
        <v>50</v>
      </c>
      <c r="B178" s="5">
        <v>0</v>
      </c>
      <c r="C178" s="5">
        <v>0</v>
      </c>
      <c r="D178" s="5">
        <v>1</v>
      </c>
      <c r="E178" s="5">
        <v>224</v>
      </c>
      <c r="F178" s="5">
        <f>ROUND(Source!AR150,O178)</f>
        <v>8414.43</v>
      </c>
      <c r="G178" s="5" t="s">
        <v>113</v>
      </c>
      <c r="H178" s="5" t="s">
        <v>114</v>
      </c>
      <c r="I178" s="5"/>
      <c r="J178" s="5"/>
      <c r="K178" s="5">
        <v>224</v>
      </c>
      <c r="L178" s="5">
        <v>27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8414.43</v>
      </c>
      <c r="X178" s="5">
        <v>1</v>
      </c>
      <c r="Y178" s="5">
        <v>8414.43</v>
      </c>
      <c r="Z178" s="5"/>
      <c r="AA178" s="5"/>
      <c r="AB178" s="5"/>
    </row>
    <row r="180" spans="1:255" x14ac:dyDescent="0.2">
      <c r="A180" s="1">
        <v>4</v>
      </c>
      <c r="B180" s="1">
        <v>1</v>
      </c>
      <c r="C180" s="1"/>
      <c r="D180" s="1">
        <f>ROW(A208)</f>
        <v>208</v>
      </c>
      <c r="E180" s="1"/>
      <c r="F180" s="1" t="s">
        <v>16</v>
      </c>
      <c r="G180" s="1" t="s">
        <v>316</v>
      </c>
      <c r="H180" s="1" t="s">
        <v>3</v>
      </c>
      <c r="I180" s="1">
        <v>0</v>
      </c>
      <c r="J180" s="1"/>
      <c r="K180" s="1">
        <v>0</v>
      </c>
      <c r="L180" s="1"/>
      <c r="M180" s="1" t="s">
        <v>3</v>
      </c>
      <c r="N180" s="1"/>
      <c r="O180" s="1"/>
      <c r="P180" s="1"/>
      <c r="Q180" s="1"/>
      <c r="R180" s="1"/>
      <c r="S180" s="1">
        <v>0</v>
      </c>
      <c r="T180" s="1"/>
      <c r="U180" s="1" t="s">
        <v>3</v>
      </c>
      <c r="V180" s="1">
        <v>0</v>
      </c>
      <c r="W180" s="1"/>
      <c r="X180" s="1"/>
      <c r="Y180" s="1"/>
      <c r="Z180" s="1"/>
      <c r="AA180" s="1"/>
      <c r="AB180" s="1" t="s">
        <v>3</v>
      </c>
      <c r="AC180" s="1" t="s">
        <v>3</v>
      </c>
      <c r="AD180" s="1" t="s">
        <v>3</v>
      </c>
      <c r="AE180" s="1" t="s">
        <v>3</v>
      </c>
      <c r="AF180" s="1" t="s">
        <v>3</v>
      </c>
      <c r="AG180" s="1" t="s">
        <v>3</v>
      </c>
      <c r="AH180" s="1"/>
      <c r="AI180" s="1"/>
      <c r="AJ180" s="1"/>
      <c r="AK180" s="1"/>
      <c r="AL180" s="1"/>
      <c r="AM180" s="1"/>
      <c r="AN180" s="1"/>
      <c r="AO180" s="1"/>
      <c r="AP180" s="1" t="s">
        <v>3</v>
      </c>
      <c r="AQ180" s="1" t="s">
        <v>3</v>
      </c>
      <c r="AR180" s="1" t="s">
        <v>3</v>
      </c>
      <c r="AS180" s="1"/>
      <c r="AT180" s="1"/>
      <c r="AU180" s="1"/>
      <c r="AV180" s="1"/>
      <c r="AW180" s="1"/>
      <c r="AX180" s="1"/>
      <c r="AY180" s="1"/>
      <c r="AZ180" s="1" t="s">
        <v>3</v>
      </c>
      <c r="BA180" s="1"/>
      <c r="BB180" s="1" t="s">
        <v>3</v>
      </c>
      <c r="BC180" s="1" t="s">
        <v>3</v>
      </c>
      <c r="BD180" s="1" t="s">
        <v>3</v>
      </c>
      <c r="BE180" s="1" t="s">
        <v>3</v>
      </c>
      <c r="BF180" s="1" t="s">
        <v>3</v>
      </c>
      <c r="BG180" s="1" t="s">
        <v>3</v>
      </c>
      <c r="BH180" s="1" t="s">
        <v>3</v>
      </c>
      <c r="BI180" s="1" t="s">
        <v>3</v>
      </c>
      <c r="BJ180" s="1" t="s">
        <v>3</v>
      </c>
      <c r="BK180" s="1" t="s">
        <v>3</v>
      </c>
      <c r="BL180" s="1" t="s">
        <v>3</v>
      </c>
      <c r="BM180" s="1" t="s">
        <v>3</v>
      </c>
      <c r="BN180" s="1" t="s">
        <v>3</v>
      </c>
      <c r="BO180" s="1" t="s">
        <v>3</v>
      </c>
      <c r="BP180" s="1" t="s">
        <v>3</v>
      </c>
      <c r="BQ180" s="1"/>
      <c r="BR180" s="1"/>
      <c r="BS180" s="1"/>
      <c r="BT180" s="1"/>
      <c r="BU180" s="1"/>
      <c r="BV180" s="1"/>
      <c r="BW180" s="1"/>
      <c r="BX180" s="1">
        <v>0</v>
      </c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>
        <v>0</v>
      </c>
    </row>
    <row r="182" spans="1:255" x14ac:dyDescent="0.2">
      <c r="A182" s="3">
        <v>52</v>
      </c>
      <c r="B182" s="3">
        <f t="shared" ref="B182:G182" si="107">B208</f>
        <v>1</v>
      </c>
      <c r="C182" s="3">
        <f t="shared" si="107"/>
        <v>4</v>
      </c>
      <c r="D182" s="3">
        <f t="shared" si="107"/>
        <v>180</v>
      </c>
      <c r="E182" s="3">
        <f t="shared" si="107"/>
        <v>0</v>
      </c>
      <c r="F182" s="3" t="str">
        <f t="shared" si="107"/>
        <v>Новый раздел</v>
      </c>
      <c r="G182" s="3" t="str">
        <f t="shared" si="107"/>
        <v>Прокладка газопровода ПЭ100 ГАЗ SDR 11 д.63*5,8мм в футляре ПЭ100 SDR 11  д.110*10мм совместно с проводом-спутником П-274М методом наклонно-направленного бурения длиной 21м</v>
      </c>
      <c r="H182" s="3"/>
      <c r="I182" s="3"/>
      <c r="J182" s="3"/>
      <c r="K182" s="3"/>
      <c r="L182" s="3"/>
      <c r="M182" s="3"/>
      <c r="N182" s="3"/>
      <c r="O182" s="3">
        <f t="shared" ref="O182:AT182" si="108">O208</f>
        <v>75288.36</v>
      </c>
      <c r="P182" s="3">
        <f t="shared" si="108"/>
        <v>29822.17</v>
      </c>
      <c r="Q182" s="3">
        <f t="shared" si="108"/>
        <v>25192.06</v>
      </c>
      <c r="R182" s="3">
        <f t="shared" si="108"/>
        <v>6827.55</v>
      </c>
      <c r="S182" s="3">
        <f t="shared" si="108"/>
        <v>13446.58</v>
      </c>
      <c r="T182" s="3">
        <f t="shared" si="108"/>
        <v>0</v>
      </c>
      <c r="U182" s="3">
        <f t="shared" si="108"/>
        <v>32.084289999999996</v>
      </c>
      <c r="V182" s="3">
        <f t="shared" si="108"/>
        <v>13.885150000000001</v>
      </c>
      <c r="W182" s="3">
        <f t="shared" si="108"/>
        <v>0</v>
      </c>
      <c r="X182" s="3">
        <f t="shared" si="108"/>
        <v>22403.62</v>
      </c>
      <c r="Y182" s="3">
        <f t="shared" si="108"/>
        <v>11708.34</v>
      </c>
      <c r="Z182" s="3">
        <f t="shared" si="108"/>
        <v>0</v>
      </c>
      <c r="AA182" s="3">
        <f t="shared" si="108"/>
        <v>0</v>
      </c>
      <c r="AB182" s="3">
        <f t="shared" si="108"/>
        <v>75288.36</v>
      </c>
      <c r="AC182" s="3">
        <f t="shared" si="108"/>
        <v>29822.17</v>
      </c>
      <c r="AD182" s="3">
        <f t="shared" si="108"/>
        <v>25192.06</v>
      </c>
      <c r="AE182" s="3">
        <f t="shared" si="108"/>
        <v>6827.55</v>
      </c>
      <c r="AF182" s="3">
        <f t="shared" si="108"/>
        <v>13446.58</v>
      </c>
      <c r="AG182" s="3">
        <f t="shared" si="108"/>
        <v>0</v>
      </c>
      <c r="AH182" s="3">
        <f t="shared" si="108"/>
        <v>32.084289999999996</v>
      </c>
      <c r="AI182" s="3">
        <f t="shared" si="108"/>
        <v>13.885150000000001</v>
      </c>
      <c r="AJ182" s="3">
        <f t="shared" si="108"/>
        <v>0</v>
      </c>
      <c r="AK182" s="3">
        <f t="shared" si="108"/>
        <v>22403.62</v>
      </c>
      <c r="AL182" s="3">
        <f t="shared" si="108"/>
        <v>11708.34</v>
      </c>
      <c r="AM182" s="3">
        <f t="shared" si="108"/>
        <v>0</v>
      </c>
      <c r="AN182" s="3">
        <f t="shared" si="108"/>
        <v>0</v>
      </c>
      <c r="AO182" s="3">
        <f t="shared" si="108"/>
        <v>0</v>
      </c>
      <c r="AP182" s="3">
        <f t="shared" si="108"/>
        <v>0</v>
      </c>
      <c r="AQ182" s="3">
        <f t="shared" si="108"/>
        <v>0</v>
      </c>
      <c r="AR182" s="3">
        <f t="shared" si="108"/>
        <v>109400.32000000001</v>
      </c>
      <c r="AS182" s="3">
        <f t="shared" si="108"/>
        <v>108285.89</v>
      </c>
      <c r="AT182" s="3">
        <f t="shared" si="108"/>
        <v>1114.43</v>
      </c>
      <c r="AU182" s="3">
        <f t="shared" ref="AU182:BZ182" si="109">AU208</f>
        <v>0</v>
      </c>
      <c r="AV182" s="3">
        <f t="shared" si="109"/>
        <v>29822.17</v>
      </c>
      <c r="AW182" s="3">
        <f t="shared" si="109"/>
        <v>29822.17</v>
      </c>
      <c r="AX182" s="3">
        <f t="shared" si="109"/>
        <v>0</v>
      </c>
      <c r="AY182" s="3">
        <f t="shared" si="109"/>
        <v>29822.17</v>
      </c>
      <c r="AZ182" s="3">
        <f t="shared" si="109"/>
        <v>0</v>
      </c>
      <c r="BA182" s="3">
        <f t="shared" si="109"/>
        <v>0</v>
      </c>
      <c r="BB182" s="3">
        <f t="shared" si="109"/>
        <v>0</v>
      </c>
      <c r="BC182" s="3">
        <f t="shared" si="109"/>
        <v>0</v>
      </c>
      <c r="BD182" s="3">
        <f t="shared" si="109"/>
        <v>0</v>
      </c>
      <c r="BE182" s="3">
        <f t="shared" si="109"/>
        <v>0</v>
      </c>
      <c r="BF182" s="3">
        <f t="shared" si="109"/>
        <v>0</v>
      </c>
      <c r="BG182" s="3">
        <f t="shared" si="109"/>
        <v>0</v>
      </c>
      <c r="BH182" s="3">
        <f t="shared" si="109"/>
        <v>0</v>
      </c>
      <c r="BI182" s="3">
        <f t="shared" si="109"/>
        <v>0</v>
      </c>
      <c r="BJ182" s="3">
        <f t="shared" si="109"/>
        <v>0</v>
      </c>
      <c r="BK182" s="3">
        <f t="shared" si="109"/>
        <v>0</v>
      </c>
      <c r="BL182" s="3">
        <f t="shared" si="109"/>
        <v>0</v>
      </c>
      <c r="BM182" s="3">
        <f t="shared" si="109"/>
        <v>0</v>
      </c>
      <c r="BN182" s="3">
        <f t="shared" si="109"/>
        <v>0</v>
      </c>
      <c r="BO182" s="3">
        <f t="shared" si="109"/>
        <v>0</v>
      </c>
      <c r="BP182" s="3">
        <f t="shared" si="109"/>
        <v>0</v>
      </c>
      <c r="BQ182" s="3">
        <f t="shared" si="109"/>
        <v>0</v>
      </c>
      <c r="BR182" s="3">
        <f t="shared" si="109"/>
        <v>0</v>
      </c>
      <c r="BS182" s="3">
        <f t="shared" si="109"/>
        <v>0</v>
      </c>
      <c r="BT182" s="3">
        <f t="shared" si="109"/>
        <v>0</v>
      </c>
      <c r="BU182" s="3">
        <f t="shared" si="109"/>
        <v>0</v>
      </c>
      <c r="BV182" s="3">
        <f t="shared" si="109"/>
        <v>0</v>
      </c>
      <c r="BW182" s="3">
        <f t="shared" si="109"/>
        <v>0</v>
      </c>
      <c r="BX182" s="3">
        <f t="shared" si="109"/>
        <v>0</v>
      </c>
      <c r="BY182" s="3">
        <f t="shared" si="109"/>
        <v>0</v>
      </c>
      <c r="BZ182" s="3">
        <f t="shared" si="109"/>
        <v>0</v>
      </c>
      <c r="CA182" s="3">
        <f t="shared" ref="CA182:DF182" si="110">CA208</f>
        <v>109400.32000000001</v>
      </c>
      <c r="CB182" s="3">
        <f t="shared" si="110"/>
        <v>108285.89</v>
      </c>
      <c r="CC182" s="3">
        <f t="shared" si="110"/>
        <v>1114.43</v>
      </c>
      <c r="CD182" s="3">
        <f t="shared" si="110"/>
        <v>0</v>
      </c>
      <c r="CE182" s="3">
        <f t="shared" si="110"/>
        <v>29822.17</v>
      </c>
      <c r="CF182" s="3">
        <f t="shared" si="110"/>
        <v>29822.17</v>
      </c>
      <c r="CG182" s="3">
        <f t="shared" si="110"/>
        <v>0</v>
      </c>
      <c r="CH182" s="3">
        <f t="shared" si="110"/>
        <v>29822.17</v>
      </c>
      <c r="CI182" s="3">
        <f t="shared" si="110"/>
        <v>0</v>
      </c>
      <c r="CJ182" s="3">
        <f t="shared" si="110"/>
        <v>0</v>
      </c>
      <c r="CK182" s="3">
        <f t="shared" si="110"/>
        <v>0</v>
      </c>
      <c r="CL182" s="3">
        <f t="shared" si="110"/>
        <v>0</v>
      </c>
      <c r="CM182" s="3">
        <f t="shared" si="110"/>
        <v>0</v>
      </c>
      <c r="CN182" s="3">
        <f t="shared" si="110"/>
        <v>0</v>
      </c>
      <c r="CO182" s="3">
        <f t="shared" si="110"/>
        <v>0</v>
      </c>
      <c r="CP182" s="3">
        <f t="shared" si="110"/>
        <v>0</v>
      </c>
      <c r="CQ182" s="3">
        <f t="shared" si="110"/>
        <v>0</v>
      </c>
      <c r="CR182" s="3">
        <f t="shared" si="110"/>
        <v>0</v>
      </c>
      <c r="CS182" s="3">
        <f t="shared" si="110"/>
        <v>0</v>
      </c>
      <c r="CT182" s="3">
        <f t="shared" si="110"/>
        <v>0</v>
      </c>
      <c r="CU182" s="3">
        <f t="shared" si="110"/>
        <v>0</v>
      </c>
      <c r="CV182" s="3">
        <f t="shared" si="110"/>
        <v>0</v>
      </c>
      <c r="CW182" s="3">
        <f t="shared" si="110"/>
        <v>0</v>
      </c>
      <c r="CX182" s="3">
        <f t="shared" si="110"/>
        <v>0</v>
      </c>
      <c r="CY182" s="3">
        <f t="shared" si="110"/>
        <v>0</v>
      </c>
      <c r="CZ182" s="3">
        <f t="shared" si="110"/>
        <v>0</v>
      </c>
      <c r="DA182" s="3">
        <f t="shared" si="110"/>
        <v>0</v>
      </c>
      <c r="DB182" s="3">
        <f t="shared" si="110"/>
        <v>0</v>
      </c>
      <c r="DC182" s="3">
        <f t="shared" si="110"/>
        <v>0</v>
      </c>
      <c r="DD182" s="3">
        <f t="shared" si="110"/>
        <v>0</v>
      </c>
      <c r="DE182" s="3">
        <f t="shared" si="110"/>
        <v>0</v>
      </c>
      <c r="DF182" s="3">
        <f t="shared" si="110"/>
        <v>0</v>
      </c>
      <c r="DG182" s="4">
        <f t="shared" ref="DG182:EL182" si="111">DG208</f>
        <v>0</v>
      </c>
      <c r="DH182" s="4">
        <f t="shared" si="111"/>
        <v>0</v>
      </c>
      <c r="DI182" s="4">
        <f t="shared" si="111"/>
        <v>0</v>
      </c>
      <c r="DJ182" s="4">
        <f t="shared" si="111"/>
        <v>0</v>
      </c>
      <c r="DK182" s="4">
        <f t="shared" si="111"/>
        <v>0</v>
      </c>
      <c r="DL182" s="4">
        <f t="shared" si="111"/>
        <v>0</v>
      </c>
      <c r="DM182" s="4">
        <f t="shared" si="111"/>
        <v>0</v>
      </c>
      <c r="DN182" s="4">
        <f t="shared" si="111"/>
        <v>0</v>
      </c>
      <c r="DO182" s="4">
        <f t="shared" si="111"/>
        <v>0</v>
      </c>
      <c r="DP182" s="4">
        <f t="shared" si="111"/>
        <v>0</v>
      </c>
      <c r="DQ182" s="4">
        <f t="shared" si="111"/>
        <v>0</v>
      </c>
      <c r="DR182" s="4">
        <f t="shared" si="111"/>
        <v>0</v>
      </c>
      <c r="DS182" s="4">
        <f t="shared" si="111"/>
        <v>0</v>
      </c>
      <c r="DT182" s="4">
        <f t="shared" si="111"/>
        <v>0</v>
      </c>
      <c r="DU182" s="4">
        <f t="shared" si="111"/>
        <v>0</v>
      </c>
      <c r="DV182" s="4">
        <f t="shared" si="111"/>
        <v>0</v>
      </c>
      <c r="DW182" s="4">
        <f t="shared" si="111"/>
        <v>0</v>
      </c>
      <c r="DX182" s="4">
        <f t="shared" si="111"/>
        <v>0</v>
      </c>
      <c r="DY182" s="4">
        <f t="shared" si="111"/>
        <v>0</v>
      </c>
      <c r="DZ182" s="4">
        <f t="shared" si="111"/>
        <v>0</v>
      </c>
      <c r="EA182" s="4">
        <f t="shared" si="111"/>
        <v>0</v>
      </c>
      <c r="EB182" s="4">
        <f t="shared" si="111"/>
        <v>0</v>
      </c>
      <c r="EC182" s="4">
        <f t="shared" si="111"/>
        <v>0</v>
      </c>
      <c r="ED182" s="4">
        <f t="shared" si="111"/>
        <v>0</v>
      </c>
      <c r="EE182" s="4">
        <f t="shared" si="111"/>
        <v>0</v>
      </c>
      <c r="EF182" s="4">
        <f t="shared" si="111"/>
        <v>0</v>
      </c>
      <c r="EG182" s="4">
        <f t="shared" si="111"/>
        <v>0</v>
      </c>
      <c r="EH182" s="4">
        <f t="shared" si="111"/>
        <v>0</v>
      </c>
      <c r="EI182" s="4">
        <f t="shared" si="111"/>
        <v>0</v>
      </c>
      <c r="EJ182" s="4">
        <f t="shared" si="111"/>
        <v>0</v>
      </c>
      <c r="EK182" s="4">
        <f t="shared" si="111"/>
        <v>0</v>
      </c>
      <c r="EL182" s="4">
        <f t="shared" si="111"/>
        <v>0</v>
      </c>
      <c r="EM182" s="4">
        <f t="shared" ref="EM182:FR182" si="112">EM208</f>
        <v>0</v>
      </c>
      <c r="EN182" s="4">
        <f t="shared" si="112"/>
        <v>0</v>
      </c>
      <c r="EO182" s="4">
        <f t="shared" si="112"/>
        <v>0</v>
      </c>
      <c r="EP182" s="4">
        <f t="shared" si="112"/>
        <v>0</v>
      </c>
      <c r="EQ182" s="4">
        <f t="shared" si="112"/>
        <v>0</v>
      </c>
      <c r="ER182" s="4">
        <f t="shared" si="112"/>
        <v>0</v>
      </c>
      <c r="ES182" s="4">
        <f t="shared" si="112"/>
        <v>0</v>
      </c>
      <c r="ET182" s="4">
        <f t="shared" si="112"/>
        <v>0</v>
      </c>
      <c r="EU182" s="4">
        <f t="shared" si="112"/>
        <v>0</v>
      </c>
      <c r="EV182" s="4">
        <f t="shared" si="112"/>
        <v>0</v>
      </c>
      <c r="EW182" s="4">
        <f t="shared" si="112"/>
        <v>0</v>
      </c>
      <c r="EX182" s="4">
        <f t="shared" si="112"/>
        <v>0</v>
      </c>
      <c r="EY182" s="4">
        <f t="shared" si="112"/>
        <v>0</v>
      </c>
      <c r="EZ182" s="4">
        <f t="shared" si="112"/>
        <v>0</v>
      </c>
      <c r="FA182" s="4">
        <f t="shared" si="112"/>
        <v>0</v>
      </c>
      <c r="FB182" s="4">
        <f t="shared" si="112"/>
        <v>0</v>
      </c>
      <c r="FC182" s="4">
        <f t="shared" si="112"/>
        <v>0</v>
      </c>
      <c r="FD182" s="4">
        <f t="shared" si="112"/>
        <v>0</v>
      </c>
      <c r="FE182" s="4">
        <f t="shared" si="112"/>
        <v>0</v>
      </c>
      <c r="FF182" s="4">
        <f t="shared" si="112"/>
        <v>0</v>
      </c>
      <c r="FG182" s="4">
        <f t="shared" si="112"/>
        <v>0</v>
      </c>
      <c r="FH182" s="4">
        <f t="shared" si="112"/>
        <v>0</v>
      </c>
      <c r="FI182" s="4">
        <f t="shared" si="112"/>
        <v>0</v>
      </c>
      <c r="FJ182" s="4">
        <f t="shared" si="112"/>
        <v>0</v>
      </c>
      <c r="FK182" s="4">
        <f t="shared" si="112"/>
        <v>0</v>
      </c>
      <c r="FL182" s="4">
        <f t="shared" si="112"/>
        <v>0</v>
      </c>
      <c r="FM182" s="4">
        <f t="shared" si="112"/>
        <v>0</v>
      </c>
      <c r="FN182" s="4">
        <f t="shared" si="112"/>
        <v>0</v>
      </c>
      <c r="FO182" s="4">
        <f t="shared" si="112"/>
        <v>0</v>
      </c>
      <c r="FP182" s="4">
        <f t="shared" si="112"/>
        <v>0</v>
      </c>
      <c r="FQ182" s="4">
        <f t="shared" si="112"/>
        <v>0</v>
      </c>
      <c r="FR182" s="4">
        <f t="shared" si="112"/>
        <v>0</v>
      </c>
      <c r="FS182" s="4">
        <f t="shared" ref="FS182:GX182" si="113">FS208</f>
        <v>0</v>
      </c>
      <c r="FT182" s="4">
        <f t="shared" si="113"/>
        <v>0</v>
      </c>
      <c r="FU182" s="4">
        <f t="shared" si="113"/>
        <v>0</v>
      </c>
      <c r="FV182" s="4">
        <f t="shared" si="113"/>
        <v>0</v>
      </c>
      <c r="FW182" s="4">
        <f t="shared" si="113"/>
        <v>0</v>
      </c>
      <c r="FX182" s="4">
        <f t="shared" si="113"/>
        <v>0</v>
      </c>
      <c r="FY182" s="4">
        <f t="shared" si="113"/>
        <v>0</v>
      </c>
      <c r="FZ182" s="4">
        <f t="shared" si="113"/>
        <v>0</v>
      </c>
      <c r="GA182" s="4">
        <f t="shared" si="113"/>
        <v>0</v>
      </c>
      <c r="GB182" s="4">
        <f t="shared" si="113"/>
        <v>0</v>
      </c>
      <c r="GC182" s="4">
        <f t="shared" si="113"/>
        <v>0</v>
      </c>
      <c r="GD182" s="4">
        <f t="shared" si="113"/>
        <v>0</v>
      </c>
      <c r="GE182" s="4">
        <f t="shared" si="113"/>
        <v>0</v>
      </c>
      <c r="GF182" s="4">
        <f t="shared" si="113"/>
        <v>0</v>
      </c>
      <c r="GG182" s="4">
        <f t="shared" si="113"/>
        <v>0</v>
      </c>
      <c r="GH182" s="4">
        <f t="shared" si="113"/>
        <v>0</v>
      </c>
      <c r="GI182" s="4">
        <f t="shared" si="113"/>
        <v>0</v>
      </c>
      <c r="GJ182" s="4">
        <f t="shared" si="113"/>
        <v>0</v>
      </c>
      <c r="GK182" s="4">
        <f t="shared" si="113"/>
        <v>0</v>
      </c>
      <c r="GL182" s="4">
        <f t="shared" si="113"/>
        <v>0</v>
      </c>
      <c r="GM182" s="4">
        <f t="shared" si="113"/>
        <v>0</v>
      </c>
      <c r="GN182" s="4">
        <f t="shared" si="113"/>
        <v>0</v>
      </c>
      <c r="GO182" s="4">
        <f t="shared" si="113"/>
        <v>0</v>
      </c>
      <c r="GP182" s="4">
        <f t="shared" si="113"/>
        <v>0</v>
      </c>
      <c r="GQ182" s="4">
        <f t="shared" si="113"/>
        <v>0</v>
      </c>
      <c r="GR182" s="4">
        <f t="shared" si="113"/>
        <v>0</v>
      </c>
      <c r="GS182" s="4">
        <f t="shared" si="113"/>
        <v>0</v>
      </c>
      <c r="GT182" s="4">
        <f t="shared" si="113"/>
        <v>0</v>
      </c>
      <c r="GU182" s="4">
        <f t="shared" si="113"/>
        <v>0</v>
      </c>
      <c r="GV182" s="4">
        <f t="shared" si="113"/>
        <v>0</v>
      </c>
      <c r="GW182" s="4">
        <f t="shared" si="113"/>
        <v>0</v>
      </c>
      <c r="GX182" s="4">
        <f t="shared" si="113"/>
        <v>0</v>
      </c>
    </row>
    <row r="184" spans="1:255" x14ac:dyDescent="0.2">
      <c r="A184" s="2">
        <v>17</v>
      </c>
      <c r="B184" s="2">
        <v>1</v>
      </c>
      <c r="C184" s="2">
        <f>ROW(SmtRes!A168)</f>
        <v>168</v>
      </c>
      <c r="D184" s="2">
        <f>ROW(EtalonRes!A184)</f>
        <v>184</v>
      </c>
      <c r="E184" s="2" t="s">
        <v>317</v>
      </c>
      <c r="F184" s="2" t="s">
        <v>19</v>
      </c>
      <c r="G184" s="2" t="s">
        <v>20</v>
      </c>
      <c r="H184" s="2" t="s">
        <v>21</v>
      </c>
      <c r="I184" s="2">
        <f>ROUND(30/1000,7)</f>
        <v>0.03</v>
      </c>
      <c r="J184" s="2">
        <v>0</v>
      </c>
      <c r="K184" s="2">
        <f>ROUND(30/1000,7)</f>
        <v>0.03</v>
      </c>
      <c r="L184" s="2"/>
      <c r="M184" s="2"/>
      <c r="N184" s="2"/>
      <c r="O184" s="2">
        <f t="shared" ref="O184:O200" si="114">ROUND(CP184,2)</f>
        <v>1507.9</v>
      </c>
      <c r="P184" s="2">
        <f>SUMIF(SmtRes!AQ167:'SmtRes'!AQ168,"=1",SmtRes!DF167:'SmtRes'!DF168)</f>
        <v>0</v>
      </c>
      <c r="Q184" s="2">
        <f>SUMIF(SmtRes!AQ167:'SmtRes'!AQ168,"=1",SmtRes!DG167:'SmtRes'!DG168)</f>
        <v>1096.6099999999999</v>
      </c>
      <c r="R184" s="2">
        <f>SUMIF(SmtRes!AQ167:'SmtRes'!AQ168,"=1",SmtRes!DH167:'SmtRes'!DH168)</f>
        <v>411.29</v>
      </c>
      <c r="S184" s="2">
        <f>SUMIF(SmtRes!AQ167:'SmtRes'!AQ168,"=1",SmtRes!DI167:'SmtRes'!DI168)</f>
        <v>0</v>
      </c>
      <c r="T184" s="2">
        <f t="shared" ref="T184:T206" si="115">ROUND(CU184*I184,2)</f>
        <v>0</v>
      </c>
      <c r="U184" s="2">
        <f>SUMIF(SmtRes!AQ167:'SmtRes'!AQ168,"=1",SmtRes!CV167:'SmtRes'!CV168)</f>
        <v>0</v>
      </c>
      <c r="V184" s="2">
        <f>SUMIF(SmtRes!AQ167:'SmtRes'!AQ168,"=1",SmtRes!CW167:'SmtRes'!CW168)</f>
        <v>0.76500000000000001</v>
      </c>
      <c r="W184" s="2">
        <f t="shared" ref="W184:W206" si="116">ROUND(CX184*I184,2)</f>
        <v>0</v>
      </c>
      <c r="X184" s="2">
        <f t="shared" ref="X184:X206" si="117">ROUND(CY184,2)</f>
        <v>378.39</v>
      </c>
      <c r="Y184" s="2">
        <f t="shared" ref="Y184:Y206" si="118">ROUND(CZ184,2)</f>
        <v>189.19</v>
      </c>
      <c r="Z184" s="2"/>
      <c r="AA184" s="2">
        <v>74014550</v>
      </c>
      <c r="AB184" s="2">
        <f t="shared" ref="AB184:AB206" si="119">ROUND((AC184+AD184+AF184),6)</f>
        <v>26877.764999999999</v>
      </c>
      <c r="AC184" s="2">
        <f>ROUND((0),6)</f>
        <v>0</v>
      </c>
      <c r="AD184" s="2">
        <f>ROUND((((SUM(SmtRes!BR167:'SmtRes'!BR168))-(SUM(SmtRes!BS167:'SmtRes'!BS168)))+AE184),6)</f>
        <v>26877.764999999999</v>
      </c>
      <c r="AE184" s="2">
        <f>ROUND((SUM(SmtRes!BS167:'SmtRes'!BS168)),6)</f>
        <v>13709.82</v>
      </c>
      <c r="AF184" s="2">
        <f>ROUND((0),6)</f>
        <v>0</v>
      </c>
      <c r="AG184" s="2">
        <f t="shared" ref="AG184:AG206" si="120">ROUND((AP184),6)</f>
        <v>0</v>
      </c>
      <c r="AH184" s="2">
        <f>(0)</f>
        <v>0</v>
      </c>
      <c r="AI184" s="2">
        <f>(SUM(SmtRes!BV167:'SmtRes'!BV168))</f>
        <v>25.5</v>
      </c>
      <c r="AJ184" s="2">
        <f t="shared" ref="AJ184:AJ206" si="121">(AS184)</f>
        <v>0</v>
      </c>
      <c r="AK184" s="2">
        <v>40587.584999999999</v>
      </c>
      <c r="AL184" s="2">
        <v>0</v>
      </c>
      <c r="AM184" s="2">
        <v>26877.764999999999</v>
      </c>
      <c r="AN184" s="2">
        <v>13709.82</v>
      </c>
      <c r="AO184" s="2">
        <v>0</v>
      </c>
      <c r="AP184" s="2">
        <v>0</v>
      </c>
      <c r="AQ184" s="2">
        <v>0</v>
      </c>
      <c r="AR184" s="2">
        <v>25.5</v>
      </c>
      <c r="AS184" s="2">
        <v>0</v>
      </c>
      <c r="AT184" s="2">
        <v>92</v>
      </c>
      <c r="AU184" s="2">
        <v>46</v>
      </c>
      <c r="AV184" s="2">
        <v>1</v>
      </c>
      <c r="AW184" s="2">
        <v>1</v>
      </c>
      <c r="AX184" s="2"/>
      <c r="AY184" s="2"/>
      <c r="AZ184" s="2">
        <v>1</v>
      </c>
      <c r="BA184" s="2">
        <v>1</v>
      </c>
      <c r="BB184" s="2">
        <v>1</v>
      </c>
      <c r="BC184" s="2">
        <v>1</v>
      </c>
      <c r="BD184" s="2" t="s">
        <v>3</v>
      </c>
      <c r="BE184" s="2" t="s">
        <v>3</v>
      </c>
      <c r="BF184" s="2" t="s">
        <v>3</v>
      </c>
      <c r="BG184" s="2" t="s">
        <v>3</v>
      </c>
      <c r="BH184" s="2">
        <v>0</v>
      </c>
      <c r="BI184" s="2">
        <v>1</v>
      </c>
      <c r="BJ184" s="2" t="s">
        <v>22</v>
      </c>
      <c r="BK184" s="2"/>
      <c r="BL184" s="2"/>
      <c r="BM184" s="2">
        <v>1001</v>
      </c>
      <c r="BN184" s="2">
        <v>0</v>
      </c>
      <c r="BO184" s="2" t="s">
        <v>3</v>
      </c>
      <c r="BP184" s="2">
        <v>0</v>
      </c>
      <c r="BQ184" s="2">
        <v>2</v>
      </c>
      <c r="BR184" s="2">
        <v>0</v>
      </c>
      <c r="BS184" s="2">
        <v>1</v>
      </c>
      <c r="BT184" s="2">
        <v>1</v>
      </c>
      <c r="BU184" s="2">
        <v>1</v>
      </c>
      <c r="BV184" s="2">
        <v>1</v>
      </c>
      <c r="BW184" s="2">
        <v>1</v>
      </c>
      <c r="BX184" s="2">
        <v>1</v>
      </c>
      <c r="BY184" s="2" t="s">
        <v>3</v>
      </c>
      <c r="BZ184" s="2">
        <v>92</v>
      </c>
      <c r="CA184" s="2">
        <v>46</v>
      </c>
      <c r="CB184" s="2" t="s">
        <v>3</v>
      </c>
      <c r="CC184" s="2"/>
      <c r="CD184" s="2"/>
      <c r="CE184" s="2">
        <v>0</v>
      </c>
      <c r="CF184" s="2">
        <v>0</v>
      </c>
      <c r="CG184" s="2">
        <v>0</v>
      </c>
      <c r="CH184" s="2"/>
      <c r="CI184" s="2"/>
      <c r="CJ184" s="2"/>
      <c r="CK184" s="2"/>
      <c r="CL184" s="2"/>
      <c r="CM184" s="2">
        <v>0</v>
      </c>
      <c r="CN184" s="2" t="s">
        <v>3</v>
      </c>
      <c r="CO184" s="2">
        <v>0</v>
      </c>
      <c r="CP184" s="2">
        <f t="shared" ref="CP184:CP200" si="122">(P184+Q184+S184+R184)</f>
        <v>1507.8999999999999</v>
      </c>
      <c r="CQ184" s="2">
        <f>SUMIF(SmtRes!AQ167:'SmtRes'!AQ168,"=1",SmtRes!AA167:'SmtRes'!AA168)</f>
        <v>0</v>
      </c>
      <c r="CR184" s="2">
        <f>SUMIF(SmtRes!AQ167:'SmtRes'!AQ168,"=1",SmtRes!AB167:'SmtRes'!AB168)</f>
        <v>1433.48</v>
      </c>
      <c r="CS184" s="2">
        <f>SUMIF(SmtRes!AQ167:'SmtRes'!AQ168,"=1",SmtRes!AC167:'SmtRes'!AC168)</f>
        <v>537.64</v>
      </c>
      <c r="CT184" s="2">
        <f>SUMIF(SmtRes!AQ167:'SmtRes'!AQ168,"=1",SmtRes!AD167:'SmtRes'!AD168)</f>
        <v>0</v>
      </c>
      <c r="CU184" s="2">
        <f t="shared" ref="CU184:CU200" si="123">AG184</f>
        <v>0</v>
      </c>
      <c r="CV184" s="2">
        <f>SUMIF(SmtRes!AQ167:'SmtRes'!AQ168,"=1",SmtRes!BU167:'SmtRes'!BU168)</f>
        <v>0</v>
      </c>
      <c r="CW184" s="2">
        <f>SUMIF(SmtRes!AQ167:'SmtRes'!AQ168,"=1",SmtRes!BV167:'SmtRes'!BV168)</f>
        <v>25.5</v>
      </c>
      <c r="CX184" s="2">
        <f t="shared" ref="CX184:CX200" si="124">AJ184</f>
        <v>0</v>
      </c>
      <c r="CY184" s="2">
        <f t="shared" ref="CY184:CY192" si="125">(((S184+R184)*AT184)/100)</f>
        <v>378.38679999999999</v>
      </c>
      <c r="CZ184" s="2">
        <f t="shared" ref="CZ184:CZ192" si="126">(((S184+R184)*AU184)/100)</f>
        <v>189.1934</v>
      </c>
      <c r="DA184" s="2"/>
      <c r="DB184" s="2"/>
      <c r="DC184" s="2" t="s">
        <v>3</v>
      </c>
      <c r="DD184" s="2" t="s">
        <v>3</v>
      </c>
      <c r="DE184" s="2" t="s">
        <v>3</v>
      </c>
      <c r="DF184" s="2" t="s">
        <v>3</v>
      </c>
      <c r="DG184" s="2" t="s">
        <v>3</v>
      </c>
      <c r="DH184" s="2" t="s">
        <v>3</v>
      </c>
      <c r="DI184" s="2" t="s">
        <v>3</v>
      </c>
      <c r="DJ184" s="2" t="s">
        <v>3</v>
      </c>
      <c r="DK184" s="2" t="s">
        <v>3</v>
      </c>
      <c r="DL184" s="2" t="s">
        <v>3</v>
      </c>
      <c r="DM184" s="2" t="s">
        <v>3</v>
      </c>
      <c r="DN184" s="2">
        <v>0</v>
      </c>
      <c r="DO184" s="2">
        <v>0</v>
      </c>
      <c r="DP184" s="2">
        <v>1</v>
      </c>
      <c r="DQ184" s="2">
        <v>1</v>
      </c>
      <c r="DR184" s="2"/>
      <c r="DS184" s="2"/>
      <c r="DT184" s="2"/>
      <c r="DU184" s="2">
        <v>1007</v>
      </c>
      <c r="DV184" s="2" t="s">
        <v>21</v>
      </c>
      <c r="DW184" s="2" t="s">
        <v>21</v>
      </c>
      <c r="DX184" s="2">
        <v>1000</v>
      </c>
      <c r="DY184" s="2"/>
      <c r="DZ184" s="2" t="s">
        <v>3</v>
      </c>
      <c r="EA184" s="2" t="s">
        <v>3</v>
      </c>
      <c r="EB184" s="2" t="s">
        <v>3</v>
      </c>
      <c r="EC184" s="2" t="s">
        <v>3</v>
      </c>
      <c r="ED184" s="2"/>
      <c r="EE184" s="2">
        <v>72340571</v>
      </c>
      <c r="EF184" s="2">
        <v>2</v>
      </c>
      <c r="EG184" s="2" t="s">
        <v>23</v>
      </c>
      <c r="EH184" s="2">
        <v>1</v>
      </c>
      <c r="EI184" s="2" t="s">
        <v>17</v>
      </c>
      <c r="EJ184" s="2">
        <v>1</v>
      </c>
      <c r="EK184" s="2">
        <v>1001</v>
      </c>
      <c r="EL184" s="2" t="s">
        <v>24</v>
      </c>
      <c r="EM184" s="2" t="s">
        <v>25</v>
      </c>
      <c r="EN184" s="2"/>
      <c r="EO184" s="2" t="s">
        <v>3</v>
      </c>
      <c r="EP184" s="2"/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25.5</v>
      </c>
      <c r="EY184" s="2">
        <v>0</v>
      </c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>
        <v>0</v>
      </c>
      <c r="FR184" s="2">
        <v>0</v>
      </c>
      <c r="FS184" s="2">
        <v>0</v>
      </c>
      <c r="FT184" s="2"/>
      <c r="FU184" s="2"/>
      <c r="FV184" s="2"/>
      <c r="FW184" s="2"/>
      <c r="FX184" s="2">
        <v>92</v>
      </c>
      <c r="FY184" s="2">
        <v>46</v>
      </c>
      <c r="FZ184" s="2"/>
      <c r="GA184" s="2" t="s">
        <v>3</v>
      </c>
      <c r="GB184" s="2"/>
      <c r="GC184" s="2"/>
      <c r="GD184" s="2">
        <v>1</v>
      </c>
      <c r="GE184" s="2"/>
      <c r="GF184" s="2">
        <v>1103103698</v>
      </c>
      <c r="GG184" s="2">
        <v>2</v>
      </c>
      <c r="GH184" s="2">
        <v>1</v>
      </c>
      <c r="GI184" s="2">
        <v>-2</v>
      </c>
      <c r="GJ184" s="2">
        <v>0</v>
      </c>
      <c r="GK184" s="2">
        <v>0</v>
      </c>
      <c r="GL184" s="2">
        <f t="shared" ref="GL184:GL206" si="127">ROUND(IF(AND(BH184=3,BI184=3,FS184&lt;&gt;0),P184,0),2)</f>
        <v>0</v>
      </c>
      <c r="GM184" s="2">
        <f t="shared" ref="GM184:GM206" si="128">ROUND(O184+X184+Y184,2)+GX184</f>
        <v>2075.48</v>
      </c>
      <c r="GN184" s="2">
        <f t="shared" ref="GN184:GN206" si="129">IF(OR(BI184=0,BI184=1),GM184-GX184,0)</f>
        <v>2075.48</v>
      </c>
      <c r="GO184" s="2">
        <f t="shared" ref="GO184:GO206" si="130">IF(BI184=2,GM184-GX184,0)</f>
        <v>0</v>
      </c>
      <c r="GP184" s="2">
        <f t="shared" ref="GP184:GP206" si="131">IF(BI184=4,GM184-GX184,0)</f>
        <v>0</v>
      </c>
      <c r="GQ184" s="2"/>
      <c r="GR184" s="2">
        <v>0</v>
      </c>
      <c r="GS184" s="2">
        <v>3</v>
      </c>
      <c r="GT184" s="2">
        <v>0</v>
      </c>
      <c r="GU184" s="2" t="s">
        <v>3</v>
      </c>
      <c r="GV184" s="2">
        <f t="shared" ref="GV184:GV206" si="132">ROUND((GT184),6)</f>
        <v>0</v>
      </c>
      <c r="GW184" s="2">
        <v>1</v>
      </c>
      <c r="GX184" s="2">
        <f t="shared" ref="GX184:GX206" si="133">ROUND(HC184*I184,2)</f>
        <v>0</v>
      </c>
      <c r="GY184" s="2"/>
      <c r="GZ184" s="2"/>
      <c r="HA184" s="2">
        <v>0</v>
      </c>
      <c r="HB184" s="2">
        <v>0</v>
      </c>
      <c r="HC184" s="2">
        <f t="shared" ref="HC184:HC200" si="134">GV184*GW184</f>
        <v>0</v>
      </c>
      <c r="HD184" s="2"/>
      <c r="HE184" s="2" t="s">
        <v>3</v>
      </c>
      <c r="HF184" s="2" t="s">
        <v>3</v>
      </c>
      <c r="HG184" s="2"/>
      <c r="HH184" s="2"/>
      <c r="HI184" s="2"/>
      <c r="HJ184" s="2"/>
      <c r="HK184" s="2"/>
      <c r="HL184" s="2"/>
      <c r="HM184" s="2" t="s">
        <v>3</v>
      </c>
      <c r="HN184" s="2" t="s">
        <v>26</v>
      </c>
      <c r="HO184" s="2" t="s">
        <v>27</v>
      </c>
      <c r="HP184" s="2" t="s">
        <v>24</v>
      </c>
      <c r="HQ184" s="2" t="s">
        <v>24</v>
      </c>
      <c r="HR184" s="2"/>
      <c r="HS184" s="2">
        <v>0</v>
      </c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>
        <v>0</v>
      </c>
      <c r="IL184" s="2"/>
      <c r="IM184" s="2"/>
      <c r="IN184" s="2"/>
      <c r="IO184" s="2"/>
      <c r="IP184" s="2"/>
      <c r="IQ184" s="2"/>
      <c r="IR184" s="2"/>
      <c r="IS184" s="2"/>
      <c r="IT184" s="2"/>
      <c r="IU184" s="2"/>
    </row>
    <row r="185" spans="1:255" x14ac:dyDescent="0.2">
      <c r="A185" s="2">
        <v>17</v>
      </c>
      <c r="B185" s="2">
        <v>1</v>
      </c>
      <c r="C185" s="2">
        <f>ROW(SmtRes!A170)</f>
        <v>170</v>
      </c>
      <c r="D185" s="2">
        <f>ROW(EtalonRes!A186)</f>
        <v>186</v>
      </c>
      <c r="E185" s="2" t="s">
        <v>318</v>
      </c>
      <c r="F185" s="2" t="s">
        <v>54</v>
      </c>
      <c r="G185" s="2" t="s">
        <v>55</v>
      </c>
      <c r="H185" s="2" t="s">
        <v>21</v>
      </c>
      <c r="I185" s="2">
        <f>ROUND(30/1000,7)</f>
        <v>0.03</v>
      </c>
      <c r="J185" s="2">
        <v>0</v>
      </c>
      <c r="K185" s="2">
        <f>ROUND(30/1000,7)</f>
        <v>0.03</v>
      </c>
      <c r="L185" s="2"/>
      <c r="M185" s="2"/>
      <c r="N185" s="2"/>
      <c r="O185" s="2">
        <f t="shared" si="114"/>
        <v>393.57</v>
      </c>
      <c r="P185" s="2">
        <f>SUMIF(SmtRes!AQ169:'SmtRes'!AQ170,"=1",SmtRes!DF169:'SmtRes'!DF170)</f>
        <v>0</v>
      </c>
      <c r="Q185" s="2">
        <f>SUMIF(SmtRes!AQ169:'SmtRes'!AQ170,"=1",SmtRes!DG169:'SmtRes'!DG170)</f>
        <v>282.35000000000002</v>
      </c>
      <c r="R185" s="2">
        <f>SUMIF(SmtRes!AQ169:'SmtRes'!AQ170,"=1",SmtRes!DH169:'SmtRes'!DH170)</f>
        <v>111.22</v>
      </c>
      <c r="S185" s="2">
        <f>SUMIF(SmtRes!AQ169:'SmtRes'!AQ170,"=1",SmtRes!DI169:'SmtRes'!DI170)</f>
        <v>0</v>
      </c>
      <c r="T185" s="2">
        <f t="shared" si="115"/>
        <v>0</v>
      </c>
      <c r="U185" s="2">
        <f>SUMIF(SmtRes!AQ169:'SmtRes'!AQ170,"=1",SmtRes!CV169:'SmtRes'!CV170)</f>
        <v>0</v>
      </c>
      <c r="V185" s="2">
        <f>SUMIF(SmtRes!AQ169:'SmtRes'!AQ170,"=1",SmtRes!CW169:'SmtRes'!CW170)</f>
        <v>0.24179999999999999</v>
      </c>
      <c r="W185" s="2">
        <f t="shared" si="116"/>
        <v>0</v>
      </c>
      <c r="X185" s="2">
        <f t="shared" si="117"/>
        <v>102.32</v>
      </c>
      <c r="Y185" s="2">
        <f t="shared" si="118"/>
        <v>51.16</v>
      </c>
      <c r="Z185" s="2"/>
      <c r="AA185" s="2">
        <v>74014550</v>
      </c>
      <c r="AB185" s="2">
        <f t="shared" si="119"/>
        <v>6674.9696000000004</v>
      </c>
      <c r="AC185" s="2">
        <f>ROUND((0),6)</f>
        <v>0</v>
      </c>
      <c r="AD185" s="2">
        <f>ROUND((((SUM(SmtRes!BR169:'SmtRes'!BR170))-(SUM(SmtRes!BS169:'SmtRes'!BS170)))+AE185),6)</f>
        <v>6674.9696000000004</v>
      </c>
      <c r="AE185" s="2">
        <f>ROUND((SUM(SmtRes!BS169:'SmtRes'!BS170)),6)</f>
        <v>3707.4387999999999</v>
      </c>
      <c r="AF185" s="2">
        <f>ROUND((0),6)</f>
        <v>0</v>
      </c>
      <c r="AG185" s="2">
        <f t="shared" si="120"/>
        <v>0</v>
      </c>
      <c r="AH185" s="2">
        <f>(0)</f>
        <v>0</v>
      </c>
      <c r="AI185" s="2">
        <f>(SUM(SmtRes!BV169:'SmtRes'!BV170))</f>
        <v>8.06</v>
      </c>
      <c r="AJ185" s="2">
        <f t="shared" si="121"/>
        <v>0</v>
      </c>
      <c r="AK185" s="2">
        <v>10382.4084</v>
      </c>
      <c r="AL185" s="2">
        <v>0</v>
      </c>
      <c r="AM185" s="2">
        <v>6674.9696000000004</v>
      </c>
      <c r="AN185" s="2">
        <v>3707.4388000000004</v>
      </c>
      <c r="AO185" s="2">
        <v>0</v>
      </c>
      <c r="AP185" s="2">
        <v>0</v>
      </c>
      <c r="AQ185" s="2">
        <v>0</v>
      </c>
      <c r="AR185" s="2">
        <v>8.06</v>
      </c>
      <c r="AS185" s="2">
        <v>0</v>
      </c>
      <c r="AT185" s="2">
        <v>92</v>
      </c>
      <c r="AU185" s="2">
        <v>46</v>
      </c>
      <c r="AV185" s="2">
        <v>1</v>
      </c>
      <c r="AW185" s="2">
        <v>1</v>
      </c>
      <c r="AX185" s="2"/>
      <c r="AY185" s="2"/>
      <c r="AZ185" s="2">
        <v>1</v>
      </c>
      <c r="BA185" s="2">
        <v>1</v>
      </c>
      <c r="BB185" s="2">
        <v>1</v>
      </c>
      <c r="BC185" s="2">
        <v>1</v>
      </c>
      <c r="BD185" s="2" t="s">
        <v>3</v>
      </c>
      <c r="BE185" s="2" t="s">
        <v>3</v>
      </c>
      <c r="BF185" s="2" t="s">
        <v>3</v>
      </c>
      <c r="BG185" s="2" t="s">
        <v>3</v>
      </c>
      <c r="BH185" s="2">
        <v>0</v>
      </c>
      <c r="BI185" s="2">
        <v>1</v>
      </c>
      <c r="BJ185" s="2" t="s">
        <v>56</v>
      </c>
      <c r="BK185" s="2"/>
      <c r="BL185" s="2"/>
      <c r="BM185" s="2">
        <v>1001</v>
      </c>
      <c r="BN185" s="2">
        <v>0</v>
      </c>
      <c r="BO185" s="2" t="s">
        <v>3</v>
      </c>
      <c r="BP185" s="2">
        <v>0</v>
      </c>
      <c r="BQ185" s="2">
        <v>2</v>
      </c>
      <c r="BR185" s="2">
        <v>0</v>
      </c>
      <c r="BS185" s="2">
        <v>1</v>
      </c>
      <c r="BT185" s="2">
        <v>1</v>
      </c>
      <c r="BU185" s="2">
        <v>1</v>
      </c>
      <c r="BV185" s="2">
        <v>1</v>
      </c>
      <c r="BW185" s="2">
        <v>1</v>
      </c>
      <c r="BX185" s="2">
        <v>1</v>
      </c>
      <c r="BY185" s="2" t="s">
        <v>3</v>
      </c>
      <c r="BZ185" s="2">
        <v>92</v>
      </c>
      <c r="CA185" s="2">
        <v>46</v>
      </c>
      <c r="CB185" s="2" t="s">
        <v>3</v>
      </c>
      <c r="CC185" s="2"/>
      <c r="CD185" s="2"/>
      <c r="CE185" s="2">
        <v>0</v>
      </c>
      <c r="CF185" s="2">
        <v>0</v>
      </c>
      <c r="CG185" s="2">
        <v>0</v>
      </c>
      <c r="CH185" s="2"/>
      <c r="CI185" s="2"/>
      <c r="CJ185" s="2"/>
      <c r="CK185" s="2"/>
      <c r="CL185" s="2"/>
      <c r="CM185" s="2">
        <v>0</v>
      </c>
      <c r="CN185" s="2" t="s">
        <v>3</v>
      </c>
      <c r="CO185" s="2">
        <v>0</v>
      </c>
      <c r="CP185" s="2">
        <f t="shared" si="122"/>
        <v>393.57000000000005</v>
      </c>
      <c r="CQ185" s="2">
        <f>SUMIF(SmtRes!AQ169:'SmtRes'!AQ170,"=1",SmtRes!AA169:'SmtRes'!AA170)</f>
        <v>0</v>
      </c>
      <c r="CR185" s="2">
        <f>SUMIF(SmtRes!AQ169:'SmtRes'!AQ170,"=1",SmtRes!AB169:'SmtRes'!AB170)</f>
        <v>1167.71</v>
      </c>
      <c r="CS185" s="2">
        <f>SUMIF(SmtRes!AQ169:'SmtRes'!AQ170,"=1",SmtRes!AC169:'SmtRes'!AC170)</f>
        <v>459.98</v>
      </c>
      <c r="CT185" s="2">
        <f>SUMIF(SmtRes!AQ169:'SmtRes'!AQ170,"=1",SmtRes!AD169:'SmtRes'!AD170)</f>
        <v>0</v>
      </c>
      <c r="CU185" s="2">
        <f t="shared" si="123"/>
        <v>0</v>
      </c>
      <c r="CV185" s="2">
        <f>SUMIF(SmtRes!AQ169:'SmtRes'!AQ170,"=1",SmtRes!BU169:'SmtRes'!BU170)</f>
        <v>0</v>
      </c>
      <c r="CW185" s="2">
        <f>SUMIF(SmtRes!AQ169:'SmtRes'!AQ170,"=1",SmtRes!BV169:'SmtRes'!BV170)</f>
        <v>8.06</v>
      </c>
      <c r="CX185" s="2">
        <f t="shared" si="124"/>
        <v>0</v>
      </c>
      <c r="CY185" s="2">
        <f t="shared" si="125"/>
        <v>102.3224</v>
      </c>
      <c r="CZ185" s="2">
        <f t="shared" si="126"/>
        <v>51.161200000000001</v>
      </c>
      <c r="DA185" s="2"/>
      <c r="DB185" s="2"/>
      <c r="DC185" s="2" t="s">
        <v>3</v>
      </c>
      <c r="DD185" s="2" t="s">
        <v>3</v>
      </c>
      <c r="DE185" s="2" t="s">
        <v>3</v>
      </c>
      <c r="DF185" s="2" t="s">
        <v>3</v>
      </c>
      <c r="DG185" s="2" t="s">
        <v>3</v>
      </c>
      <c r="DH185" s="2" t="s">
        <v>3</v>
      </c>
      <c r="DI185" s="2" t="s">
        <v>3</v>
      </c>
      <c r="DJ185" s="2" t="s">
        <v>3</v>
      </c>
      <c r="DK185" s="2" t="s">
        <v>3</v>
      </c>
      <c r="DL185" s="2" t="s">
        <v>3</v>
      </c>
      <c r="DM185" s="2" t="s">
        <v>3</v>
      </c>
      <c r="DN185" s="2">
        <v>0</v>
      </c>
      <c r="DO185" s="2">
        <v>0</v>
      </c>
      <c r="DP185" s="2">
        <v>1</v>
      </c>
      <c r="DQ185" s="2">
        <v>1</v>
      </c>
      <c r="DR185" s="2"/>
      <c r="DS185" s="2"/>
      <c r="DT185" s="2"/>
      <c r="DU185" s="2">
        <v>1007</v>
      </c>
      <c r="DV185" s="2" t="s">
        <v>21</v>
      </c>
      <c r="DW185" s="2" t="s">
        <v>21</v>
      </c>
      <c r="DX185" s="2">
        <v>1000</v>
      </c>
      <c r="DY185" s="2"/>
      <c r="DZ185" s="2" t="s">
        <v>3</v>
      </c>
      <c r="EA185" s="2" t="s">
        <v>3</v>
      </c>
      <c r="EB185" s="2" t="s">
        <v>3</v>
      </c>
      <c r="EC185" s="2" t="s">
        <v>3</v>
      </c>
      <c r="ED185" s="2"/>
      <c r="EE185" s="2">
        <v>72340571</v>
      </c>
      <c r="EF185" s="2">
        <v>2</v>
      </c>
      <c r="EG185" s="2" t="s">
        <v>23</v>
      </c>
      <c r="EH185" s="2">
        <v>1</v>
      </c>
      <c r="EI185" s="2" t="s">
        <v>17</v>
      </c>
      <c r="EJ185" s="2">
        <v>1</v>
      </c>
      <c r="EK185" s="2">
        <v>1001</v>
      </c>
      <c r="EL185" s="2" t="s">
        <v>24</v>
      </c>
      <c r="EM185" s="2" t="s">
        <v>25</v>
      </c>
      <c r="EN185" s="2"/>
      <c r="EO185" s="2" t="s">
        <v>3</v>
      </c>
      <c r="EP185" s="2"/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8.06</v>
      </c>
      <c r="EY185" s="2">
        <v>0</v>
      </c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>
        <v>0</v>
      </c>
      <c r="FR185" s="2">
        <v>0</v>
      </c>
      <c r="FS185" s="2">
        <v>0</v>
      </c>
      <c r="FT185" s="2"/>
      <c r="FU185" s="2"/>
      <c r="FV185" s="2"/>
      <c r="FW185" s="2"/>
      <c r="FX185" s="2">
        <v>92</v>
      </c>
      <c r="FY185" s="2">
        <v>46</v>
      </c>
      <c r="FZ185" s="2"/>
      <c r="GA185" s="2" t="s">
        <v>3</v>
      </c>
      <c r="GB185" s="2"/>
      <c r="GC185" s="2"/>
      <c r="GD185" s="2">
        <v>1</v>
      </c>
      <c r="GE185" s="2"/>
      <c r="GF185" s="2">
        <v>2021498894</v>
      </c>
      <c r="GG185" s="2">
        <v>2</v>
      </c>
      <c r="GH185" s="2">
        <v>1</v>
      </c>
      <c r="GI185" s="2">
        <v>-2</v>
      </c>
      <c r="GJ185" s="2">
        <v>0</v>
      </c>
      <c r="GK185" s="2">
        <v>0</v>
      </c>
      <c r="GL185" s="2">
        <f t="shared" si="127"/>
        <v>0</v>
      </c>
      <c r="GM185" s="2">
        <f t="shared" si="128"/>
        <v>547.04999999999995</v>
      </c>
      <c r="GN185" s="2">
        <f t="shared" si="129"/>
        <v>547.04999999999995</v>
      </c>
      <c r="GO185" s="2">
        <f t="shared" si="130"/>
        <v>0</v>
      </c>
      <c r="GP185" s="2">
        <f t="shared" si="131"/>
        <v>0</v>
      </c>
      <c r="GQ185" s="2"/>
      <c r="GR185" s="2">
        <v>0</v>
      </c>
      <c r="GS185" s="2">
        <v>3</v>
      </c>
      <c r="GT185" s="2">
        <v>0</v>
      </c>
      <c r="GU185" s="2" t="s">
        <v>3</v>
      </c>
      <c r="GV185" s="2">
        <f t="shared" si="132"/>
        <v>0</v>
      </c>
      <c r="GW185" s="2">
        <v>1</v>
      </c>
      <c r="GX185" s="2">
        <f t="shared" si="133"/>
        <v>0</v>
      </c>
      <c r="GY185" s="2"/>
      <c r="GZ185" s="2"/>
      <c r="HA185" s="2">
        <v>0</v>
      </c>
      <c r="HB185" s="2">
        <v>0</v>
      </c>
      <c r="HC185" s="2">
        <f t="shared" si="134"/>
        <v>0</v>
      </c>
      <c r="HD185" s="2"/>
      <c r="HE185" s="2" t="s">
        <v>3</v>
      </c>
      <c r="HF185" s="2" t="s">
        <v>3</v>
      </c>
      <c r="HG185" s="2"/>
      <c r="HH185" s="2"/>
      <c r="HI185" s="2"/>
      <c r="HJ185" s="2"/>
      <c r="HK185" s="2"/>
      <c r="HL185" s="2"/>
      <c r="HM185" s="2" t="s">
        <v>3</v>
      </c>
      <c r="HN185" s="2" t="s">
        <v>26</v>
      </c>
      <c r="HO185" s="2" t="s">
        <v>27</v>
      </c>
      <c r="HP185" s="2" t="s">
        <v>24</v>
      </c>
      <c r="HQ185" s="2" t="s">
        <v>24</v>
      </c>
      <c r="HR185" s="2"/>
      <c r="HS185" s="2">
        <v>0</v>
      </c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>
        <v>0</v>
      </c>
      <c r="IL185" s="2"/>
      <c r="IM185" s="2"/>
      <c r="IN185" s="2"/>
      <c r="IO185" s="2"/>
      <c r="IP185" s="2"/>
      <c r="IQ185" s="2"/>
      <c r="IR185" s="2"/>
      <c r="IS185" s="2"/>
      <c r="IT185" s="2"/>
      <c r="IU185" s="2"/>
    </row>
    <row r="186" spans="1:255" x14ac:dyDescent="0.2">
      <c r="A186" s="2">
        <v>17</v>
      </c>
      <c r="B186" s="2">
        <v>1</v>
      </c>
      <c r="C186" s="2">
        <f>ROW(SmtRes!A182)</f>
        <v>182</v>
      </c>
      <c r="D186" s="2">
        <f>ROW(EtalonRes!A200)</f>
        <v>200</v>
      </c>
      <c r="E186" s="2" t="s">
        <v>319</v>
      </c>
      <c r="F186" s="2" t="s">
        <v>320</v>
      </c>
      <c r="G186" s="2" t="s">
        <v>321</v>
      </c>
      <c r="H186" s="2" t="s">
        <v>125</v>
      </c>
      <c r="I186" s="2">
        <v>21</v>
      </c>
      <c r="J186" s="2">
        <v>0</v>
      </c>
      <c r="K186" s="2">
        <v>21</v>
      </c>
      <c r="L186" s="2"/>
      <c r="M186" s="2"/>
      <c r="N186" s="2"/>
      <c r="O186" s="2">
        <f t="shared" si="114"/>
        <v>33486.79</v>
      </c>
      <c r="P186" s="2">
        <f>SUMIF(SmtRes!AQ171:'SmtRes'!AQ182,"=1",SmtRes!DF171:'SmtRes'!DF182)</f>
        <v>395.48</v>
      </c>
      <c r="Q186" s="2">
        <f>SUMIF(SmtRes!AQ171:'SmtRes'!AQ182,"=1",SmtRes!DG171:'SmtRes'!DG182)</f>
        <v>22483.290000000005</v>
      </c>
      <c r="R186" s="2">
        <f>SUMIF(SmtRes!AQ171:'SmtRes'!AQ182,"=1",SmtRes!DH171:'SmtRes'!DH182)</f>
        <v>5888.5899999999992</v>
      </c>
      <c r="S186" s="2">
        <f>SUMIF(SmtRes!AQ171:'SmtRes'!AQ182,"=1",SmtRes!DI171:'SmtRes'!DI182)</f>
        <v>4719.43</v>
      </c>
      <c r="T186" s="2">
        <f t="shared" si="115"/>
        <v>0</v>
      </c>
      <c r="U186" s="2">
        <f>SUMIF(SmtRes!AQ171:'SmtRes'!AQ182,"=1",SmtRes!CV171:'SmtRes'!CV182)</f>
        <v>10.395</v>
      </c>
      <c r="V186" s="2">
        <f>SUMIF(SmtRes!AQ171:'SmtRes'!AQ182,"=1",SmtRes!CW171:'SmtRes'!CW182)</f>
        <v>11.980500000000001</v>
      </c>
      <c r="W186" s="2">
        <f t="shared" si="116"/>
        <v>0</v>
      </c>
      <c r="X186" s="2">
        <f t="shared" si="117"/>
        <v>11244.5</v>
      </c>
      <c r="Y186" s="2">
        <f t="shared" si="118"/>
        <v>4773.6099999999997</v>
      </c>
      <c r="Z186" s="2"/>
      <c r="AA186" s="2">
        <v>74014550</v>
      </c>
      <c r="AB186" s="2">
        <f t="shared" si="119"/>
        <v>1032.407821</v>
      </c>
      <c r="AC186" s="2">
        <f>ROUND((SUM(SmtRes!BQ171:'SmtRes'!BQ182)),6)</f>
        <v>13.168941</v>
      </c>
      <c r="AD186" s="2">
        <f>ROUND((((SUM(SmtRes!BR171:'SmtRes'!BR182))-(SUM(SmtRes!BS171:'SmtRes'!BS182)))+AE186),6)</f>
        <v>794.50392999999997</v>
      </c>
      <c r="AE186" s="2">
        <f>ROUND((SUM(SmtRes!BS171:'SmtRes'!BS182)),6)</f>
        <v>280.40881999999999</v>
      </c>
      <c r="AF186" s="2">
        <f>ROUND((SUM(SmtRes!BT171:'SmtRes'!BT182)),6)</f>
        <v>224.73495</v>
      </c>
      <c r="AG186" s="2">
        <f t="shared" si="120"/>
        <v>0</v>
      </c>
      <c r="AH186" s="2">
        <f>(SUM(SmtRes!BU171:'SmtRes'!BU182))</f>
        <v>0.495</v>
      </c>
      <c r="AI186" s="2">
        <f>(SUM(SmtRes!BV171:'SmtRes'!BV182))</f>
        <v>0.57050000000000001</v>
      </c>
      <c r="AJ186" s="2">
        <f t="shared" si="121"/>
        <v>0</v>
      </c>
      <c r="AK186" s="2">
        <v>2625.6332820999996</v>
      </c>
      <c r="AL186" s="2">
        <v>26.337882099999998</v>
      </c>
      <c r="AM186" s="2">
        <v>1589.0078599999999</v>
      </c>
      <c r="AN186" s="2">
        <v>560.81763999999998</v>
      </c>
      <c r="AO186" s="2">
        <v>449.4699</v>
      </c>
      <c r="AP186" s="2">
        <v>0</v>
      </c>
      <c r="AQ186" s="2">
        <v>0.99</v>
      </c>
      <c r="AR186" s="2">
        <v>1.141</v>
      </c>
      <c r="AS186" s="2">
        <v>0</v>
      </c>
      <c r="AT186" s="2">
        <v>106</v>
      </c>
      <c r="AU186" s="2">
        <v>45</v>
      </c>
      <c r="AV186" s="2">
        <v>1</v>
      </c>
      <c r="AW186" s="2">
        <v>1</v>
      </c>
      <c r="AX186" s="2"/>
      <c r="AY186" s="2"/>
      <c r="AZ186" s="2">
        <v>1</v>
      </c>
      <c r="BA186" s="2">
        <v>1</v>
      </c>
      <c r="BB186" s="2">
        <v>1</v>
      </c>
      <c r="BC186" s="2">
        <v>1</v>
      </c>
      <c r="BD186" s="2" t="s">
        <v>3</v>
      </c>
      <c r="BE186" s="2" t="s">
        <v>3</v>
      </c>
      <c r="BF186" s="2" t="s">
        <v>3</v>
      </c>
      <c r="BG186" s="2" t="s">
        <v>3</v>
      </c>
      <c r="BH186" s="2">
        <v>0</v>
      </c>
      <c r="BI186" s="2">
        <v>1</v>
      </c>
      <c r="BJ186" s="2" t="s">
        <v>322</v>
      </c>
      <c r="BK186" s="2"/>
      <c r="BL186" s="2"/>
      <c r="BM186" s="2">
        <v>4001</v>
      </c>
      <c r="BN186" s="2">
        <v>0</v>
      </c>
      <c r="BO186" s="2" t="s">
        <v>3</v>
      </c>
      <c r="BP186" s="2">
        <v>0</v>
      </c>
      <c r="BQ186" s="2">
        <v>2</v>
      </c>
      <c r="BR186" s="2">
        <v>0</v>
      </c>
      <c r="BS186" s="2">
        <v>1</v>
      </c>
      <c r="BT186" s="2">
        <v>1</v>
      </c>
      <c r="BU186" s="2">
        <v>1</v>
      </c>
      <c r="BV186" s="2">
        <v>1</v>
      </c>
      <c r="BW186" s="2">
        <v>1</v>
      </c>
      <c r="BX186" s="2">
        <v>1</v>
      </c>
      <c r="BY186" s="2" t="s">
        <v>3</v>
      </c>
      <c r="BZ186" s="2">
        <v>106</v>
      </c>
      <c r="CA186" s="2">
        <v>45</v>
      </c>
      <c r="CB186" s="2" t="s">
        <v>3</v>
      </c>
      <c r="CC186" s="2"/>
      <c r="CD186" s="2"/>
      <c r="CE186" s="2">
        <v>0</v>
      </c>
      <c r="CF186" s="2">
        <v>0</v>
      </c>
      <c r="CG186" s="2">
        <v>0</v>
      </c>
      <c r="CH186" s="2"/>
      <c r="CI186" s="2"/>
      <c r="CJ186" s="2"/>
      <c r="CK186" s="2"/>
      <c r="CL186" s="2"/>
      <c r="CM186" s="2">
        <v>0</v>
      </c>
      <c r="CN186" s="2" t="s">
        <v>3</v>
      </c>
      <c r="CO186" s="2">
        <v>0</v>
      </c>
      <c r="CP186" s="2">
        <f t="shared" si="122"/>
        <v>33486.79</v>
      </c>
      <c r="CQ186" s="2">
        <f>SUMIF(SmtRes!AQ171:'SmtRes'!AQ182,"=1",SmtRes!AA171:'SmtRes'!AA182)</f>
        <v>51341.16</v>
      </c>
      <c r="CR186" s="2">
        <f>SUMIF(SmtRes!AQ171:'SmtRes'!AQ182,"=1",SmtRes!AB171:'SmtRes'!AB182)</f>
        <v>10096.460000000001</v>
      </c>
      <c r="CS186" s="2">
        <f>SUMIF(SmtRes!AQ171:'SmtRes'!AQ182,"=1",SmtRes!AC171:'SmtRes'!AC182)</f>
        <v>2933.12</v>
      </c>
      <c r="CT186" s="2">
        <f>SUMIF(SmtRes!AQ171:'SmtRes'!AQ182,"=1",SmtRes!AD171:'SmtRes'!AD182)</f>
        <v>454.01</v>
      </c>
      <c r="CU186" s="2">
        <f t="shared" si="123"/>
        <v>0</v>
      </c>
      <c r="CV186" s="2">
        <f>SUMIF(SmtRes!AQ171:'SmtRes'!AQ182,"=1",SmtRes!BU171:'SmtRes'!BU182)</f>
        <v>0.495</v>
      </c>
      <c r="CW186" s="2">
        <f>SUMIF(SmtRes!AQ171:'SmtRes'!AQ182,"=1",SmtRes!BV171:'SmtRes'!BV182)</f>
        <v>0.57050000000000001</v>
      </c>
      <c r="CX186" s="2">
        <f t="shared" si="124"/>
        <v>0</v>
      </c>
      <c r="CY186" s="2">
        <f t="shared" si="125"/>
        <v>11244.501200000001</v>
      </c>
      <c r="CZ186" s="2">
        <f t="shared" si="126"/>
        <v>4773.6090000000004</v>
      </c>
      <c r="DA186" s="2"/>
      <c r="DB186" s="2"/>
      <c r="DC186" s="2" t="s">
        <v>3</v>
      </c>
      <c r="DD186" s="2" t="s">
        <v>323</v>
      </c>
      <c r="DE186" s="2" t="s">
        <v>323</v>
      </c>
      <c r="DF186" s="2" t="s">
        <v>323</v>
      </c>
      <c r="DG186" s="2" t="s">
        <v>323</v>
      </c>
      <c r="DH186" s="2" t="s">
        <v>3</v>
      </c>
      <c r="DI186" s="2" t="s">
        <v>323</v>
      </c>
      <c r="DJ186" s="2" t="s">
        <v>323</v>
      </c>
      <c r="DK186" s="2" t="s">
        <v>3</v>
      </c>
      <c r="DL186" s="2" t="s">
        <v>3</v>
      </c>
      <c r="DM186" s="2" t="s">
        <v>3</v>
      </c>
      <c r="DN186" s="2">
        <v>0</v>
      </c>
      <c r="DO186" s="2">
        <v>0</v>
      </c>
      <c r="DP186" s="2">
        <v>1</v>
      </c>
      <c r="DQ186" s="2">
        <v>1</v>
      </c>
      <c r="DR186" s="2"/>
      <c r="DS186" s="2"/>
      <c r="DT186" s="2"/>
      <c r="DU186" s="2">
        <v>1003</v>
      </c>
      <c r="DV186" s="2" t="s">
        <v>125</v>
      </c>
      <c r="DW186" s="2" t="s">
        <v>125</v>
      </c>
      <c r="DX186" s="2">
        <v>1</v>
      </c>
      <c r="DY186" s="2"/>
      <c r="DZ186" s="2" t="s">
        <v>3</v>
      </c>
      <c r="EA186" s="2" t="s">
        <v>3</v>
      </c>
      <c r="EB186" s="2" t="s">
        <v>3</v>
      </c>
      <c r="EC186" s="2" t="s">
        <v>3</v>
      </c>
      <c r="ED186" s="2"/>
      <c r="EE186" s="2">
        <v>72340580</v>
      </c>
      <c r="EF186" s="2">
        <v>2</v>
      </c>
      <c r="EG186" s="2" t="s">
        <v>23</v>
      </c>
      <c r="EH186" s="2">
        <v>4</v>
      </c>
      <c r="EI186" s="2" t="s">
        <v>324</v>
      </c>
      <c r="EJ186" s="2">
        <v>1</v>
      </c>
      <c r="EK186" s="2">
        <v>4001</v>
      </c>
      <c r="EL186" s="2" t="s">
        <v>324</v>
      </c>
      <c r="EM186" s="2" t="s">
        <v>325</v>
      </c>
      <c r="EN186" s="2"/>
      <c r="EO186" s="2" t="s">
        <v>3</v>
      </c>
      <c r="EP186" s="2"/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0.99</v>
      </c>
      <c r="EX186" s="2">
        <v>1.1399999999999999</v>
      </c>
      <c r="EY186" s="2">
        <v>0</v>
      </c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>
        <v>0</v>
      </c>
      <c r="FR186" s="2">
        <v>0</v>
      </c>
      <c r="FS186" s="2">
        <v>0</v>
      </c>
      <c r="FT186" s="2"/>
      <c r="FU186" s="2"/>
      <c r="FV186" s="2"/>
      <c r="FW186" s="2"/>
      <c r="FX186" s="2">
        <v>106</v>
      </c>
      <c r="FY186" s="2">
        <v>45</v>
      </c>
      <c r="FZ186" s="2"/>
      <c r="GA186" s="2" t="s">
        <v>3</v>
      </c>
      <c r="GB186" s="2"/>
      <c r="GC186" s="2"/>
      <c r="GD186" s="2">
        <v>1</v>
      </c>
      <c r="GE186" s="2"/>
      <c r="GF186" s="2">
        <v>879202426</v>
      </c>
      <c r="GG186" s="2">
        <v>2</v>
      </c>
      <c r="GH186" s="2">
        <v>1</v>
      </c>
      <c r="GI186" s="2">
        <v>-2</v>
      </c>
      <c r="GJ186" s="2">
        <v>0</v>
      </c>
      <c r="GK186" s="2">
        <v>0</v>
      </c>
      <c r="GL186" s="2">
        <f t="shared" si="127"/>
        <v>0</v>
      </c>
      <c r="GM186" s="2">
        <f t="shared" si="128"/>
        <v>49504.9</v>
      </c>
      <c r="GN186" s="2">
        <f t="shared" si="129"/>
        <v>49504.9</v>
      </c>
      <c r="GO186" s="2">
        <f t="shared" si="130"/>
        <v>0</v>
      </c>
      <c r="GP186" s="2">
        <f t="shared" si="131"/>
        <v>0</v>
      </c>
      <c r="GQ186" s="2"/>
      <c r="GR186" s="2">
        <v>0</v>
      </c>
      <c r="GS186" s="2">
        <v>3</v>
      </c>
      <c r="GT186" s="2">
        <v>0</v>
      </c>
      <c r="GU186" s="2" t="s">
        <v>3</v>
      </c>
      <c r="GV186" s="2">
        <f t="shared" si="132"/>
        <v>0</v>
      </c>
      <c r="GW186" s="2">
        <v>1</v>
      </c>
      <c r="GX186" s="2">
        <f t="shared" si="133"/>
        <v>0</v>
      </c>
      <c r="GY186" s="2"/>
      <c r="GZ186" s="2"/>
      <c r="HA186" s="2">
        <v>0</v>
      </c>
      <c r="HB186" s="2">
        <v>0</v>
      </c>
      <c r="HC186" s="2">
        <f t="shared" si="134"/>
        <v>0</v>
      </c>
      <c r="HD186" s="2"/>
      <c r="HE186" s="2" t="s">
        <v>3</v>
      </c>
      <c r="HF186" s="2" t="s">
        <v>3</v>
      </c>
      <c r="HG186" s="2"/>
      <c r="HH186" s="2"/>
      <c r="HI186" s="2"/>
      <c r="HJ186" s="2"/>
      <c r="HK186" s="2"/>
      <c r="HL186" s="2"/>
      <c r="HM186" s="2" t="s">
        <v>3</v>
      </c>
      <c r="HN186" s="2" t="s">
        <v>326</v>
      </c>
      <c r="HO186" s="2" t="s">
        <v>327</v>
      </c>
      <c r="HP186" s="2" t="s">
        <v>324</v>
      </c>
      <c r="HQ186" s="2" t="s">
        <v>324</v>
      </c>
      <c r="HR186" s="2"/>
      <c r="HS186" s="2">
        <v>0</v>
      </c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>
        <v>0</v>
      </c>
      <c r="IL186" s="2"/>
      <c r="IM186" s="2"/>
      <c r="IN186" s="2"/>
      <c r="IO186" s="2"/>
      <c r="IP186" s="2"/>
      <c r="IQ186" s="2"/>
      <c r="IR186" s="2"/>
      <c r="IS186" s="2"/>
      <c r="IT186" s="2"/>
      <c r="IU186" s="2"/>
    </row>
    <row r="187" spans="1:255" x14ac:dyDescent="0.2">
      <c r="A187" s="2">
        <v>17</v>
      </c>
      <c r="B187" s="2">
        <v>1</v>
      </c>
      <c r="C187" s="2">
        <f>ROW(SmtRes!A186)</f>
        <v>186</v>
      </c>
      <c r="D187" s="2">
        <f>ROW(EtalonRes!A204)</f>
        <v>204</v>
      </c>
      <c r="E187" s="2" t="s">
        <v>328</v>
      </c>
      <c r="F187" s="2" t="s">
        <v>329</v>
      </c>
      <c r="G187" s="2" t="s">
        <v>330</v>
      </c>
      <c r="H187" s="2" t="s">
        <v>119</v>
      </c>
      <c r="I187" s="2">
        <f>ROUND(21/100,7)</f>
        <v>0.21</v>
      </c>
      <c r="J187" s="2">
        <v>0</v>
      </c>
      <c r="K187" s="2">
        <f>ROUND(21/100,7)</f>
        <v>0.21</v>
      </c>
      <c r="L187" s="2"/>
      <c r="M187" s="2"/>
      <c r="N187" s="2"/>
      <c r="O187" s="2">
        <f t="shared" si="114"/>
        <v>430.37</v>
      </c>
      <c r="P187" s="2">
        <f>SUMIF(SmtRes!AQ183:'SmtRes'!AQ186,"=1",SmtRes!DF183:'SmtRes'!DF186)</f>
        <v>0</v>
      </c>
      <c r="Q187" s="2">
        <f>SUMIF(SmtRes!AQ183:'SmtRes'!AQ186,"=1",SmtRes!DG183:'SmtRes'!DG186)</f>
        <v>182.27</v>
      </c>
      <c r="R187" s="2">
        <f>SUMIF(SmtRes!AQ183:'SmtRes'!AQ186,"=1",SmtRes!DH183:'SmtRes'!DH186)</f>
        <v>71.48</v>
      </c>
      <c r="S187" s="2">
        <f>SUMIF(SmtRes!AQ183:'SmtRes'!AQ186,"=1",SmtRes!DI183:'SmtRes'!DI186)</f>
        <v>176.62</v>
      </c>
      <c r="T187" s="2">
        <f t="shared" si="115"/>
        <v>0</v>
      </c>
      <c r="U187" s="2">
        <f>SUMIF(SmtRes!AQ183:'SmtRes'!AQ186,"=1",SmtRes!CV183:'SmtRes'!CV186)</f>
        <v>0.4788</v>
      </c>
      <c r="V187" s="2">
        <f>SUMIF(SmtRes!AQ183:'SmtRes'!AQ186,"=1",SmtRes!CW183:'SmtRes'!CW186)</f>
        <v>0.15540000000000001</v>
      </c>
      <c r="W187" s="2">
        <f t="shared" si="116"/>
        <v>0</v>
      </c>
      <c r="X187" s="2">
        <f t="shared" si="117"/>
        <v>290.27999999999997</v>
      </c>
      <c r="Y187" s="2">
        <f t="shared" si="118"/>
        <v>183.59</v>
      </c>
      <c r="Z187" s="2"/>
      <c r="AA187" s="2">
        <v>74014550</v>
      </c>
      <c r="AB187" s="2">
        <f t="shared" si="119"/>
        <v>1576.6138000000001</v>
      </c>
      <c r="AC187" s="2">
        <f>ROUND((0),6)</f>
        <v>0</v>
      </c>
      <c r="AD187" s="2">
        <f>ROUND((((SUM(SmtRes!BR183:'SmtRes'!BR186))-(SUM(SmtRes!BS183:'SmtRes'!BS186)))+AE187),6)</f>
        <v>735.56740000000002</v>
      </c>
      <c r="AE187" s="2">
        <f>ROUND((SUM(SmtRes!BS183:'SmtRes'!BS186)),6)</f>
        <v>340.3852</v>
      </c>
      <c r="AF187" s="2">
        <f>ROUND((SUM(SmtRes!BT183:'SmtRes'!BT186)),6)</f>
        <v>841.04639999999995</v>
      </c>
      <c r="AG187" s="2">
        <f t="shared" si="120"/>
        <v>0</v>
      </c>
      <c r="AH187" s="2">
        <f>(SUM(SmtRes!BU183:'SmtRes'!BU186))</f>
        <v>2.2799999999999998</v>
      </c>
      <c r="AI187" s="2">
        <f>(SUM(SmtRes!BV183:'SmtRes'!BV186))</f>
        <v>0.74</v>
      </c>
      <c r="AJ187" s="2">
        <f t="shared" si="121"/>
        <v>0</v>
      </c>
      <c r="AK187" s="2">
        <v>1916.999</v>
      </c>
      <c r="AL187" s="2">
        <v>0</v>
      </c>
      <c r="AM187" s="2">
        <v>735.56740000000002</v>
      </c>
      <c r="AN187" s="2">
        <v>340.3852</v>
      </c>
      <c r="AO187" s="2">
        <v>841.04639999999995</v>
      </c>
      <c r="AP187" s="2">
        <v>0</v>
      </c>
      <c r="AQ187" s="2">
        <v>2.2799999999999998</v>
      </c>
      <c r="AR187" s="2">
        <v>0.74</v>
      </c>
      <c r="AS187" s="2">
        <v>0</v>
      </c>
      <c r="AT187" s="2">
        <v>117</v>
      </c>
      <c r="AU187" s="2">
        <v>74</v>
      </c>
      <c r="AV187" s="2">
        <v>1</v>
      </c>
      <c r="AW187" s="2">
        <v>1</v>
      </c>
      <c r="AX187" s="2"/>
      <c r="AY187" s="2"/>
      <c r="AZ187" s="2">
        <v>1</v>
      </c>
      <c r="BA187" s="2">
        <v>1</v>
      </c>
      <c r="BB187" s="2">
        <v>1</v>
      </c>
      <c r="BC187" s="2">
        <v>1</v>
      </c>
      <c r="BD187" s="2" t="s">
        <v>3</v>
      </c>
      <c r="BE187" s="2" t="s">
        <v>3</v>
      </c>
      <c r="BF187" s="2" t="s">
        <v>3</v>
      </c>
      <c r="BG187" s="2" t="s">
        <v>3</v>
      </c>
      <c r="BH187" s="2">
        <v>0</v>
      </c>
      <c r="BI187" s="2">
        <v>1</v>
      </c>
      <c r="BJ187" s="2" t="s">
        <v>331</v>
      </c>
      <c r="BK187" s="2"/>
      <c r="BL187" s="2"/>
      <c r="BM187" s="2">
        <v>24001</v>
      </c>
      <c r="BN187" s="2">
        <v>0</v>
      </c>
      <c r="BO187" s="2" t="s">
        <v>3</v>
      </c>
      <c r="BP187" s="2">
        <v>0</v>
      </c>
      <c r="BQ187" s="2">
        <v>2</v>
      </c>
      <c r="BR187" s="2">
        <v>0</v>
      </c>
      <c r="BS187" s="2">
        <v>1</v>
      </c>
      <c r="BT187" s="2">
        <v>1</v>
      </c>
      <c r="BU187" s="2">
        <v>1</v>
      </c>
      <c r="BV187" s="2">
        <v>1</v>
      </c>
      <c r="BW187" s="2">
        <v>1</v>
      </c>
      <c r="BX187" s="2">
        <v>1</v>
      </c>
      <c r="BY187" s="2" t="s">
        <v>3</v>
      </c>
      <c r="BZ187" s="2">
        <v>117</v>
      </c>
      <c r="CA187" s="2">
        <v>74</v>
      </c>
      <c r="CB187" s="2" t="s">
        <v>3</v>
      </c>
      <c r="CC187" s="2"/>
      <c r="CD187" s="2"/>
      <c r="CE187" s="2">
        <v>0</v>
      </c>
      <c r="CF187" s="2">
        <v>0</v>
      </c>
      <c r="CG187" s="2">
        <v>0</v>
      </c>
      <c r="CH187" s="2"/>
      <c r="CI187" s="2"/>
      <c r="CJ187" s="2"/>
      <c r="CK187" s="2"/>
      <c r="CL187" s="2"/>
      <c r="CM187" s="2">
        <v>0</v>
      </c>
      <c r="CN187" s="2" t="s">
        <v>3</v>
      </c>
      <c r="CO187" s="2">
        <v>0</v>
      </c>
      <c r="CP187" s="2">
        <f t="shared" si="122"/>
        <v>430.37</v>
      </c>
      <c r="CQ187" s="2">
        <f>SUMIF(SmtRes!AQ183:'SmtRes'!AQ186,"=1",SmtRes!AA183:'SmtRes'!AA186)</f>
        <v>0</v>
      </c>
      <c r="CR187" s="2">
        <f>SUMIF(SmtRes!AQ183:'SmtRes'!AQ186,"=1",SmtRes!AB183:'SmtRes'!AB186)</f>
        <v>1172.93</v>
      </c>
      <c r="CS187" s="2">
        <f>SUMIF(SmtRes!AQ183:'SmtRes'!AQ186,"=1",SmtRes!AC183:'SmtRes'!AC186)</f>
        <v>459.98</v>
      </c>
      <c r="CT187" s="2">
        <f>SUMIF(SmtRes!AQ183:'SmtRes'!AQ186,"=1",SmtRes!AD183:'SmtRes'!AD186)</f>
        <v>368.88</v>
      </c>
      <c r="CU187" s="2">
        <f t="shared" si="123"/>
        <v>0</v>
      </c>
      <c r="CV187" s="2">
        <f>SUMIF(SmtRes!AQ183:'SmtRes'!AQ186,"=1",SmtRes!BU183:'SmtRes'!BU186)</f>
        <v>2.2799999999999998</v>
      </c>
      <c r="CW187" s="2">
        <f>SUMIF(SmtRes!AQ183:'SmtRes'!AQ186,"=1",SmtRes!BV183:'SmtRes'!BV186)</f>
        <v>0.74</v>
      </c>
      <c r="CX187" s="2">
        <f t="shared" si="124"/>
        <v>0</v>
      </c>
      <c r="CY187" s="2">
        <f t="shared" si="125"/>
        <v>290.27700000000004</v>
      </c>
      <c r="CZ187" s="2">
        <f t="shared" si="126"/>
        <v>183.59400000000002</v>
      </c>
      <c r="DA187" s="2"/>
      <c r="DB187" s="2"/>
      <c r="DC187" s="2" t="s">
        <v>3</v>
      </c>
      <c r="DD187" s="2" t="s">
        <v>3</v>
      </c>
      <c r="DE187" s="2" t="s">
        <v>3</v>
      </c>
      <c r="DF187" s="2" t="s">
        <v>3</v>
      </c>
      <c r="DG187" s="2" t="s">
        <v>3</v>
      </c>
      <c r="DH187" s="2" t="s">
        <v>3</v>
      </c>
      <c r="DI187" s="2" t="s">
        <v>3</v>
      </c>
      <c r="DJ187" s="2" t="s">
        <v>3</v>
      </c>
      <c r="DK187" s="2" t="s">
        <v>3</v>
      </c>
      <c r="DL187" s="2" t="s">
        <v>3</v>
      </c>
      <c r="DM187" s="2" t="s">
        <v>3</v>
      </c>
      <c r="DN187" s="2">
        <v>0</v>
      </c>
      <c r="DO187" s="2">
        <v>0</v>
      </c>
      <c r="DP187" s="2">
        <v>1</v>
      </c>
      <c r="DQ187" s="2">
        <v>1</v>
      </c>
      <c r="DR187" s="2"/>
      <c r="DS187" s="2"/>
      <c r="DT187" s="2"/>
      <c r="DU187" s="2">
        <v>1003</v>
      </c>
      <c r="DV187" s="2" t="s">
        <v>119</v>
      </c>
      <c r="DW187" s="2" t="s">
        <v>119</v>
      </c>
      <c r="DX187" s="2">
        <v>100</v>
      </c>
      <c r="DY187" s="2"/>
      <c r="DZ187" s="2" t="s">
        <v>3</v>
      </c>
      <c r="EA187" s="2" t="s">
        <v>3</v>
      </c>
      <c r="EB187" s="2" t="s">
        <v>3</v>
      </c>
      <c r="EC187" s="2" t="s">
        <v>3</v>
      </c>
      <c r="ED187" s="2"/>
      <c r="EE187" s="2">
        <v>72340632</v>
      </c>
      <c r="EF187" s="2">
        <v>2</v>
      </c>
      <c r="EG187" s="2" t="s">
        <v>23</v>
      </c>
      <c r="EH187" s="2">
        <v>18</v>
      </c>
      <c r="EI187" s="2" t="s">
        <v>41</v>
      </c>
      <c r="EJ187" s="2">
        <v>1</v>
      </c>
      <c r="EK187" s="2">
        <v>24001</v>
      </c>
      <c r="EL187" s="2" t="s">
        <v>41</v>
      </c>
      <c r="EM187" s="2" t="s">
        <v>121</v>
      </c>
      <c r="EN187" s="2"/>
      <c r="EO187" s="2" t="s">
        <v>3</v>
      </c>
      <c r="EP187" s="2"/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2.2799999999999998</v>
      </c>
      <c r="EX187" s="2">
        <v>0.74</v>
      </c>
      <c r="EY187" s="2">
        <v>0</v>
      </c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>
        <v>0</v>
      </c>
      <c r="FR187" s="2">
        <v>0</v>
      </c>
      <c r="FS187" s="2">
        <v>0</v>
      </c>
      <c r="FT187" s="2"/>
      <c r="FU187" s="2"/>
      <c r="FV187" s="2"/>
      <c r="FW187" s="2"/>
      <c r="FX187" s="2">
        <v>117</v>
      </c>
      <c r="FY187" s="2">
        <v>74</v>
      </c>
      <c r="FZ187" s="2"/>
      <c r="GA187" s="2" t="s">
        <v>3</v>
      </c>
      <c r="GB187" s="2"/>
      <c r="GC187" s="2"/>
      <c r="GD187" s="2">
        <v>1</v>
      </c>
      <c r="GE187" s="2"/>
      <c r="GF187" s="2">
        <v>997586975</v>
      </c>
      <c r="GG187" s="2">
        <v>2</v>
      </c>
      <c r="GH187" s="2">
        <v>1</v>
      </c>
      <c r="GI187" s="2">
        <v>-2</v>
      </c>
      <c r="GJ187" s="2">
        <v>0</v>
      </c>
      <c r="GK187" s="2">
        <v>0</v>
      </c>
      <c r="GL187" s="2">
        <f t="shared" si="127"/>
        <v>0</v>
      </c>
      <c r="GM187" s="2">
        <f t="shared" si="128"/>
        <v>904.24</v>
      </c>
      <c r="GN187" s="2">
        <f t="shared" si="129"/>
        <v>904.24</v>
      </c>
      <c r="GO187" s="2">
        <f t="shared" si="130"/>
        <v>0</v>
      </c>
      <c r="GP187" s="2">
        <f t="shared" si="131"/>
        <v>0</v>
      </c>
      <c r="GQ187" s="2"/>
      <c r="GR187" s="2">
        <v>0</v>
      </c>
      <c r="GS187" s="2">
        <v>3</v>
      </c>
      <c r="GT187" s="2">
        <v>0</v>
      </c>
      <c r="GU187" s="2" t="s">
        <v>3</v>
      </c>
      <c r="GV187" s="2">
        <f t="shared" si="132"/>
        <v>0</v>
      </c>
      <c r="GW187" s="2">
        <v>1</v>
      </c>
      <c r="GX187" s="2">
        <f t="shared" si="133"/>
        <v>0</v>
      </c>
      <c r="GY187" s="2"/>
      <c r="GZ187" s="2"/>
      <c r="HA187" s="2">
        <v>0</v>
      </c>
      <c r="HB187" s="2">
        <v>0</v>
      </c>
      <c r="HC187" s="2">
        <f t="shared" si="134"/>
        <v>0</v>
      </c>
      <c r="HD187" s="2"/>
      <c r="HE187" s="2" t="s">
        <v>3</v>
      </c>
      <c r="HF187" s="2" t="s">
        <v>3</v>
      </c>
      <c r="HG187" s="2"/>
      <c r="HH187" s="2"/>
      <c r="HI187" s="2"/>
      <c r="HJ187" s="2"/>
      <c r="HK187" s="2"/>
      <c r="HL187" s="2"/>
      <c r="HM187" s="2" t="s">
        <v>3</v>
      </c>
      <c r="HN187" s="2" t="s">
        <v>43</v>
      </c>
      <c r="HO187" s="2" t="s">
        <v>44</v>
      </c>
      <c r="HP187" s="2" t="s">
        <v>41</v>
      </c>
      <c r="HQ187" s="2" t="s">
        <v>41</v>
      </c>
      <c r="HR187" s="2"/>
      <c r="HS187" s="2">
        <v>0</v>
      </c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>
        <v>0</v>
      </c>
      <c r="IL187" s="2"/>
      <c r="IM187" s="2"/>
      <c r="IN187" s="2"/>
      <c r="IO187" s="2"/>
      <c r="IP187" s="2"/>
      <c r="IQ187" s="2"/>
      <c r="IR187" s="2"/>
      <c r="IS187" s="2"/>
      <c r="IT187" s="2"/>
      <c r="IU187" s="2"/>
    </row>
    <row r="188" spans="1:255" x14ac:dyDescent="0.2">
      <c r="A188" s="2">
        <v>18</v>
      </c>
      <c r="B188" s="2">
        <v>1</v>
      </c>
      <c r="C188" s="2">
        <v>186</v>
      </c>
      <c r="D188" s="2"/>
      <c r="E188" s="2" t="s">
        <v>332</v>
      </c>
      <c r="F188" s="2" t="s">
        <v>333</v>
      </c>
      <c r="G188" s="2" t="s">
        <v>334</v>
      </c>
      <c r="H188" s="2" t="s">
        <v>125</v>
      </c>
      <c r="I188" s="2">
        <f>I187*J188</f>
        <v>21</v>
      </c>
      <c r="J188" s="2">
        <v>100</v>
      </c>
      <c r="K188" s="2">
        <v>100</v>
      </c>
      <c r="L188" s="2"/>
      <c r="M188" s="2"/>
      <c r="N188" s="2"/>
      <c r="O188" s="2">
        <f t="shared" si="114"/>
        <v>12727.26</v>
      </c>
      <c r="P188" s="2">
        <f>ROUND(CQ188*I188,2)</f>
        <v>12727.26</v>
      </c>
      <c r="Q188" s="2">
        <f>ROUND(CR188*I188,2)</f>
        <v>0</v>
      </c>
      <c r="R188" s="2">
        <f>ROUND(CS188*I188,2)</f>
        <v>0</v>
      </c>
      <c r="S188" s="2">
        <f>ROUND(CT188*I188,2)</f>
        <v>0</v>
      </c>
      <c r="T188" s="2">
        <f t="shared" si="115"/>
        <v>0</v>
      </c>
      <c r="U188" s="2">
        <f>ROUND(CV188*I188,7)</f>
        <v>0</v>
      </c>
      <c r="V188" s="2">
        <f>ROUND(CW188*I188,7)</f>
        <v>0</v>
      </c>
      <c r="W188" s="2">
        <f t="shared" si="116"/>
        <v>0</v>
      </c>
      <c r="X188" s="2">
        <f t="shared" si="117"/>
        <v>0</v>
      </c>
      <c r="Y188" s="2">
        <f t="shared" si="118"/>
        <v>0</v>
      </c>
      <c r="Z188" s="2"/>
      <c r="AA188" s="2">
        <v>74014550</v>
      </c>
      <c r="AB188" s="2">
        <f t="shared" si="119"/>
        <v>588.41</v>
      </c>
      <c r="AC188" s="2">
        <f>ROUND((ES188),6)</f>
        <v>588.41</v>
      </c>
      <c r="AD188" s="2">
        <f>ROUND((((ET188)-(EU188))+AE188),6)</f>
        <v>0</v>
      </c>
      <c r="AE188" s="2">
        <f>ROUND((EU188),6)</f>
        <v>0</v>
      </c>
      <c r="AF188" s="2">
        <f>ROUND((EV188),6)</f>
        <v>0</v>
      </c>
      <c r="AG188" s="2">
        <f t="shared" si="120"/>
        <v>0</v>
      </c>
      <c r="AH188" s="2">
        <f>(EW188)</f>
        <v>0</v>
      </c>
      <c r="AI188" s="2">
        <f>(EX188)</f>
        <v>0</v>
      </c>
      <c r="AJ188" s="2">
        <f t="shared" si="121"/>
        <v>0</v>
      </c>
      <c r="AK188" s="2">
        <v>588.41</v>
      </c>
      <c r="AL188" s="2">
        <v>588.41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117</v>
      </c>
      <c r="AU188" s="2">
        <v>74</v>
      </c>
      <c r="AV188" s="2">
        <v>1</v>
      </c>
      <c r="AW188" s="2">
        <v>1</v>
      </c>
      <c r="AX188" s="2"/>
      <c r="AY188" s="2"/>
      <c r="AZ188" s="2">
        <v>1</v>
      </c>
      <c r="BA188" s="2">
        <v>1</v>
      </c>
      <c r="BB188" s="2">
        <v>1</v>
      </c>
      <c r="BC188" s="2">
        <v>1.03</v>
      </c>
      <c r="BD188" s="2" t="s">
        <v>3</v>
      </c>
      <c r="BE188" s="2" t="s">
        <v>3</v>
      </c>
      <c r="BF188" s="2" t="s">
        <v>3</v>
      </c>
      <c r="BG188" s="2" t="s">
        <v>3</v>
      </c>
      <c r="BH188" s="2">
        <v>3</v>
      </c>
      <c r="BI188" s="2">
        <v>1</v>
      </c>
      <c r="BJ188" s="2" t="s">
        <v>335</v>
      </c>
      <c r="BK188" s="2"/>
      <c r="BL188" s="2"/>
      <c r="BM188" s="2">
        <v>24001</v>
      </c>
      <c r="BN188" s="2">
        <v>0</v>
      </c>
      <c r="BO188" s="2" t="s">
        <v>333</v>
      </c>
      <c r="BP188" s="2">
        <v>1</v>
      </c>
      <c r="BQ188" s="2">
        <v>2</v>
      </c>
      <c r="BR188" s="2">
        <v>0</v>
      </c>
      <c r="BS188" s="2">
        <v>1</v>
      </c>
      <c r="BT188" s="2">
        <v>1</v>
      </c>
      <c r="BU188" s="2">
        <v>1</v>
      </c>
      <c r="BV188" s="2">
        <v>1</v>
      </c>
      <c r="BW188" s="2">
        <v>1</v>
      </c>
      <c r="BX188" s="2">
        <v>1</v>
      </c>
      <c r="BY188" s="2" t="s">
        <v>3</v>
      </c>
      <c r="BZ188" s="2">
        <v>117</v>
      </c>
      <c r="CA188" s="2">
        <v>74</v>
      </c>
      <c r="CB188" s="2" t="s">
        <v>3</v>
      </c>
      <c r="CC188" s="2"/>
      <c r="CD188" s="2"/>
      <c r="CE188" s="2">
        <v>0</v>
      </c>
      <c r="CF188" s="2">
        <v>0</v>
      </c>
      <c r="CG188" s="2">
        <v>0</v>
      </c>
      <c r="CH188" s="2"/>
      <c r="CI188" s="2"/>
      <c r="CJ188" s="2"/>
      <c r="CK188" s="2"/>
      <c r="CL188" s="2"/>
      <c r="CM188" s="2">
        <v>0</v>
      </c>
      <c r="CN188" s="2" t="s">
        <v>3</v>
      </c>
      <c r="CO188" s="2">
        <v>0</v>
      </c>
      <c r="CP188" s="2">
        <f t="shared" si="122"/>
        <v>12727.26</v>
      </c>
      <c r="CQ188" s="2">
        <f>ROUND(AL188*BC188,2)</f>
        <v>606.05999999999995</v>
      </c>
      <c r="CR188" s="2">
        <f>ROUND(AM188*BB188,2)</f>
        <v>0</v>
      </c>
      <c r="CS188" s="2">
        <f>ROUND(AN188*BS188,2)</f>
        <v>0</v>
      </c>
      <c r="CT188" s="2">
        <f>ROUND(AO188*BA188,2)</f>
        <v>0</v>
      </c>
      <c r="CU188" s="2">
        <f t="shared" si="123"/>
        <v>0</v>
      </c>
      <c r="CV188" s="2">
        <f>AH188</f>
        <v>0</v>
      </c>
      <c r="CW188" s="2">
        <f>AI188</f>
        <v>0</v>
      </c>
      <c r="CX188" s="2">
        <f t="shared" si="124"/>
        <v>0</v>
      </c>
      <c r="CY188" s="2">
        <f t="shared" si="125"/>
        <v>0</v>
      </c>
      <c r="CZ188" s="2">
        <f t="shared" si="126"/>
        <v>0</v>
      </c>
      <c r="DA188" s="2"/>
      <c r="DB188" s="2"/>
      <c r="DC188" s="2" t="s">
        <v>3</v>
      </c>
      <c r="DD188" s="2" t="s">
        <v>3</v>
      </c>
      <c r="DE188" s="2" t="s">
        <v>3</v>
      </c>
      <c r="DF188" s="2" t="s">
        <v>3</v>
      </c>
      <c r="DG188" s="2" t="s">
        <v>3</v>
      </c>
      <c r="DH188" s="2" t="s">
        <v>3</v>
      </c>
      <c r="DI188" s="2" t="s">
        <v>3</v>
      </c>
      <c r="DJ188" s="2" t="s">
        <v>3</v>
      </c>
      <c r="DK188" s="2" t="s">
        <v>3</v>
      </c>
      <c r="DL188" s="2" t="s">
        <v>3</v>
      </c>
      <c r="DM188" s="2" t="s">
        <v>3</v>
      </c>
      <c r="DN188" s="2">
        <v>0</v>
      </c>
      <c r="DO188" s="2">
        <v>0</v>
      </c>
      <c r="DP188" s="2">
        <v>1</v>
      </c>
      <c r="DQ188" s="2">
        <v>1</v>
      </c>
      <c r="DR188" s="2"/>
      <c r="DS188" s="2"/>
      <c r="DT188" s="2"/>
      <c r="DU188" s="2">
        <v>1003</v>
      </c>
      <c r="DV188" s="2" t="s">
        <v>125</v>
      </c>
      <c r="DW188" s="2" t="s">
        <v>125</v>
      </c>
      <c r="DX188" s="2">
        <v>1</v>
      </c>
      <c r="DY188" s="2"/>
      <c r="DZ188" s="2" t="s">
        <v>3</v>
      </c>
      <c r="EA188" s="2" t="s">
        <v>3</v>
      </c>
      <c r="EB188" s="2" t="s">
        <v>3</v>
      </c>
      <c r="EC188" s="2" t="s">
        <v>3</v>
      </c>
      <c r="ED188" s="2"/>
      <c r="EE188" s="2">
        <v>72340632</v>
      </c>
      <c r="EF188" s="2">
        <v>2</v>
      </c>
      <c r="EG188" s="2" t="s">
        <v>23</v>
      </c>
      <c r="EH188" s="2">
        <v>18</v>
      </c>
      <c r="EI188" s="2" t="s">
        <v>41</v>
      </c>
      <c r="EJ188" s="2">
        <v>1</v>
      </c>
      <c r="EK188" s="2">
        <v>24001</v>
      </c>
      <c r="EL188" s="2" t="s">
        <v>41</v>
      </c>
      <c r="EM188" s="2" t="s">
        <v>121</v>
      </c>
      <c r="EN188" s="2"/>
      <c r="EO188" s="2" t="s">
        <v>3</v>
      </c>
      <c r="EP188" s="2"/>
      <c r="EQ188" s="2">
        <v>0</v>
      </c>
      <c r="ER188" s="2">
        <v>588.41</v>
      </c>
      <c r="ES188" s="2">
        <v>588.41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>
        <v>0</v>
      </c>
      <c r="FR188" s="2">
        <v>0</v>
      </c>
      <c r="FS188" s="2">
        <v>0</v>
      </c>
      <c r="FT188" s="2"/>
      <c r="FU188" s="2"/>
      <c r="FV188" s="2"/>
      <c r="FW188" s="2"/>
      <c r="FX188" s="2">
        <v>117</v>
      </c>
      <c r="FY188" s="2">
        <v>74</v>
      </c>
      <c r="FZ188" s="2"/>
      <c r="GA188" s="2" t="s">
        <v>3</v>
      </c>
      <c r="GB188" s="2"/>
      <c r="GC188" s="2"/>
      <c r="GD188" s="2">
        <v>1</v>
      </c>
      <c r="GE188" s="2"/>
      <c r="GF188" s="2">
        <v>1903554151</v>
      </c>
      <c r="GG188" s="2">
        <v>2</v>
      </c>
      <c r="GH188" s="2">
        <v>1</v>
      </c>
      <c r="GI188" s="2">
        <v>2</v>
      </c>
      <c r="GJ188" s="2">
        <v>0</v>
      </c>
      <c r="GK188" s="2">
        <v>0</v>
      </c>
      <c r="GL188" s="2">
        <f t="shared" si="127"/>
        <v>0</v>
      </c>
      <c r="GM188" s="2">
        <f t="shared" si="128"/>
        <v>12727.26</v>
      </c>
      <c r="GN188" s="2">
        <f t="shared" si="129"/>
        <v>12727.26</v>
      </c>
      <c r="GO188" s="2">
        <f t="shared" si="130"/>
        <v>0</v>
      </c>
      <c r="GP188" s="2">
        <f t="shared" si="131"/>
        <v>0</v>
      </c>
      <c r="GQ188" s="2"/>
      <c r="GR188" s="2">
        <v>0</v>
      </c>
      <c r="GS188" s="2">
        <v>3</v>
      </c>
      <c r="GT188" s="2">
        <v>0</v>
      </c>
      <c r="GU188" s="2" t="s">
        <v>3</v>
      </c>
      <c r="GV188" s="2">
        <f t="shared" si="132"/>
        <v>0</v>
      </c>
      <c r="GW188" s="2">
        <v>1</v>
      </c>
      <c r="GX188" s="2">
        <f t="shared" si="133"/>
        <v>0</v>
      </c>
      <c r="GY188" s="2"/>
      <c r="GZ188" s="2"/>
      <c r="HA188" s="2">
        <v>0</v>
      </c>
      <c r="HB188" s="2">
        <v>0</v>
      </c>
      <c r="HC188" s="2">
        <f t="shared" si="134"/>
        <v>0</v>
      </c>
      <c r="HD188" s="2"/>
      <c r="HE188" s="2" t="s">
        <v>3</v>
      </c>
      <c r="HF188" s="2" t="s">
        <v>3</v>
      </c>
      <c r="HG188" s="2"/>
      <c r="HH188" s="2"/>
      <c r="HI188" s="2"/>
      <c r="HJ188" s="2"/>
      <c r="HK188" s="2"/>
      <c r="HL188" s="2"/>
      <c r="HM188" s="2" t="s">
        <v>3</v>
      </c>
      <c r="HN188" s="2" t="s">
        <v>43</v>
      </c>
      <c r="HO188" s="2" t="s">
        <v>44</v>
      </c>
      <c r="HP188" s="2" t="s">
        <v>41</v>
      </c>
      <c r="HQ188" s="2" t="s">
        <v>41</v>
      </c>
      <c r="HR188" s="2"/>
      <c r="HS188" s="2">
        <v>0</v>
      </c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>
        <v>0</v>
      </c>
      <c r="IL188" s="2"/>
      <c r="IM188" s="2"/>
      <c r="IN188" s="2"/>
      <c r="IO188" s="2"/>
      <c r="IP188" s="2"/>
      <c r="IQ188" s="2"/>
      <c r="IR188" s="2"/>
      <c r="IS188" s="2"/>
      <c r="IT188" s="2"/>
      <c r="IU188" s="2"/>
    </row>
    <row r="189" spans="1:255" x14ac:dyDescent="0.2">
      <c r="A189" s="2">
        <v>17</v>
      </c>
      <c r="B189" s="2">
        <v>1</v>
      </c>
      <c r="C189" s="2">
        <f>ROW(SmtRes!A192)</f>
        <v>192</v>
      </c>
      <c r="D189" s="2">
        <f>ROW(EtalonRes!A211)</f>
        <v>211</v>
      </c>
      <c r="E189" s="2" t="s">
        <v>336</v>
      </c>
      <c r="F189" s="2" t="s">
        <v>337</v>
      </c>
      <c r="G189" s="2" t="s">
        <v>338</v>
      </c>
      <c r="H189" s="2" t="s">
        <v>339</v>
      </c>
      <c r="I189" s="2">
        <f>ROUND(21/100,7)</f>
        <v>0.21</v>
      </c>
      <c r="J189" s="2">
        <v>0</v>
      </c>
      <c r="K189" s="2">
        <f>ROUND(21/100,7)</f>
        <v>0.21</v>
      </c>
      <c r="L189" s="2"/>
      <c r="M189" s="2"/>
      <c r="N189" s="2"/>
      <c r="O189" s="2">
        <f t="shared" si="114"/>
        <v>7366.84</v>
      </c>
      <c r="P189" s="2">
        <f>SUMIF(SmtRes!AQ187:'SmtRes'!AQ192,"=1",SmtRes!DF187:'SmtRes'!DF192)</f>
        <v>1264.1399999999999</v>
      </c>
      <c r="Q189" s="2">
        <f>SUMIF(SmtRes!AQ187:'SmtRes'!AQ192,"=1",SmtRes!DG187:'SmtRes'!DG192)</f>
        <v>75.42</v>
      </c>
      <c r="R189" s="2">
        <f>SUMIF(SmtRes!AQ187:'SmtRes'!AQ192,"=1",SmtRes!DH187:'SmtRes'!DH192)</f>
        <v>3.39</v>
      </c>
      <c r="S189" s="2">
        <f>SUMIF(SmtRes!AQ187:'SmtRes'!AQ192,"=1",SmtRes!DI187:'SmtRes'!DI192)</f>
        <v>6023.89</v>
      </c>
      <c r="T189" s="2">
        <f t="shared" si="115"/>
        <v>0</v>
      </c>
      <c r="U189" s="2">
        <f>SUMIF(SmtRes!AQ187:'SmtRes'!AQ192,"=1",SmtRes!CV187:'SmtRes'!CV192)</f>
        <v>15.050700000000001</v>
      </c>
      <c r="V189" s="2">
        <f>SUMIF(SmtRes!AQ187:'SmtRes'!AQ192,"=1",SmtRes!CW187:'SmtRes'!CW192)</f>
        <v>6.3E-3</v>
      </c>
      <c r="W189" s="2">
        <f t="shared" si="116"/>
        <v>0</v>
      </c>
      <c r="X189" s="2">
        <f t="shared" si="117"/>
        <v>7051.92</v>
      </c>
      <c r="Y189" s="2">
        <f t="shared" si="118"/>
        <v>4460.1899999999996</v>
      </c>
      <c r="Z189" s="2"/>
      <c r="AA189" s="2">
        <v>74014550</v>
      </c>
      <c r="AB189" s="2">
        <f t="shared" si="119"/>
        <v>33203.254959999998</v>
      </c>
      <c r="AC189" s="2">
        <f>ROUND((SUM(SmtRes!BQ187:'SmtRes'!BQ192)),6)</f>
        <v>4276.4453599999997</v>
      </c>
      <c r="AD189" s="2">
        <f>ROUND((((SUM(SmtRes!BR187:'SmtRes'!BR192))-(SUM(SmtRes!BS187:'SmtRes'!BS192)))+AE189),6)</f>
        <v>241.6088</v>
      </c>
      <c r="AE189" s="2">
        <f>ROUND((SUM(SmtRes!BS187:'SmtRes'!BS192)),6)</f>
        <v>16.129200000000001</v>
      </c>
      <c r="AF189" s="2">
        <f>ROUND((SUM(SmtRes!BT187:'SmtRes'!BT192)),6)</f>
        <v>28685.200799999999</v>
      </c>
      <c r="AG189" s="2">
        <f t="shared" si="120"/>
        <v>0</v>
      </c>
      <c r="AH189" s="2">
        <f>(SUM(SmtRes!BU187:'SmtRes'!BU192))</f>
        <v>71.67</v>
      </c>
      <c r="AI189" s="2">
        <f>(SUM(SmtRes!BV187:'SmtRes'!BV192))</f>
        <v>0.03</v>
      </c>
      <c r="AJ189" s="2">
        <f t="shared" si="121"/>
        <v>0</v>
      </c>
      <c r="AK189" s="2">
        <v>33219.384160000009</v>
      </c>
      <c r="AL189" s="2">
        <v>4276.4453599999997</v>
      </c>
      <c r="AM189" s="2">
        <v>241.6088</v>
      </c>
      <c r="AN189" s="2">
        <v>16.129199999999997</v>
      </c>
      <c r="AO189" s="2">
        <v>28685.200800000002</v>
      </c>
      <c r="AP189" s="2">
        <v>0</v>
      </c>
      <c r="AQ189" s="2">
        <v>71.67</v>
      </c>
      <c r="AR189" s="2">
        <v>0.03</v>
      </c>
      <c r="AS189" s="2">
        <v>0</v>
      </c>
      <c r="AT189" s="2">
        <v>117</v>
      </c>
      <c r="AU189" s="2">
        <v>74</v>
      </c>
      <c r="AV189" s="2">
        <v>1</v>
      </c>
      <c r="AW189" s="2">
        <v>1</v>
      </c>
      <c r="AX189" s="2"/>
      <c r="AY189" s="2"/>
      <c r="AZ189" s="2">
        <v>1</v>
      </c>
      <c r="BA189" s="2">
        <v>1</v>
      </c>
      <c r="BB189" s="2">
        <v>1</v>
      </c>
      <c r="BC189" s="2">
        <v>1</v>
      </c>
      <c r="BD189" s="2" t="s">
        <v>3</v>
      </c>
      <c r="BE189" s="2" t="s">
        <v>3</v>
      </c>
      <c r="BF189" s="2" t="s">
        <v>3</v>
      </c>
      <c r="BG189" s="2" t="s">
        <v>3</v>
      </c>
      <c r="BH189" s="2">
        <v>0</v>
      </c>
      <c r="BI189" s="2">
        <v>1</v>
      </c>
      <c r="BJ189" s="2" t="s">
        <v>340</v>
      </c>
      <c r="BK189" s="2"/>
      <c r="BL189" s="2"/>
      <c r="BM189" s="2">
        <v>22001</v>
      </c>
      <c r="BN189" s="2">
        <v>0</v>
      </c>
      <c r="BO189" s="2" t="s">
        <v>3</v>
      </c>
      <c r="BP189" s="2">
        <v>0</v>
      </c>
      <c r="BQ189" s="2">
        <v>2</v>
      </c>
      <c r="BR189" s="2">
        <v>0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1</v>
      </c>
      <c r="BY189" s="2" t="s">
        <v>3</v>
      </c>
      <c r="BZ189" s="2">
        <v>117</v>
      </c>
      <c r="CA189" s="2">
        <v>74</v>
      </c>
      <c r="CB189" s="2" t="s">
        <v>3</v>
      </c>
      <c r="CC189" s="2"/>
      <c r="CD189" s="2"/>
      <c r="CE189" s="2">
        <v>0</v>
      </c>
      <c r="CF189" s="2">
        <v>0</v>
      </c>
      <c r="CG189" s="2">
        <v>0</v>
      </c>
      <c r="CH189" s="2"/>
      <c r="CI189" s="2"/>
      <c r="CJ189" s="2"/>
      <c r="CK189" s="2"/>
      <c r="CL189" s="2"/>
      <c r="CM189" s="2">
        <v>0</v>
      </c>
      <c r="CN189" s="2" t="s">
        <v>3</v>
      </c>
      <c r="CO189" s="2">
        <v>0</v>
      </c>
      <c r="CP189" s="2">
        <f t="shared" si="122"/>
        <v>7366.8400000000011</v>
      </c>
      <c r="CQ189" s="2">
        <f>SUMIF(SmtRes!AQ187:'SmtRes'!AQ192,"=1",SmtRes!AA187:'SmtRes'!AA192)</f>
        <v>75556.939999999988</v>
      </c>
      <c r="CR189" s="2">
        <f>SUMIF(SmtRes!AQ187:'SmtRes'!AQ192,"=1",SmtRes!AB187:'SmtRes'!AB192)</f>
        <v>1850.5700000000002</v>
      </c>
      <c r="CS189" s="2">
        <f>SUMIF(SmtRes!AQ187:'SmtRes'!AQ192,"=1",SmtRes!AC187:'SmtRes'!AC192)</f>
        <v>537.64</v>
      </c>
      <c r="CT189" s="2">
        <f>SUMIF(SmtRes!AQ187:'SmtRes'!AQ192,"=1",SmtRes!AD187:'SmtRes'!AD192)</f>
        <v>400.24</v>
      </c>
      <c r="CU189" s="2">
        <f t="shared" si="123"/>
        <v>0</v>
      </c>
      <c r="CV189" s="2">
        <f>SUMIF(SmtRes!AQ187:'SmtRes'!AQ192,"=1",SmtRes!BU187:'SmtRes'!BU192)</f>
        <v>71.67</v>
      </c>
      <c r="CW189" s="2">
        <f>SUMIF(SmtRes!AQ187:'SmtRes'!AQ192,"=1",SmtRes!BV187:'SmtRes'!BV192)</f>
        <v>0.03</v>
      </c>
      <c r="CX189" s="2">
        <f t="shared" si="124"/>
        <v>0</v>
      </c>
      <c r="CY189" s="2">
        <f t="shared" si="125"/>
        <v>7051.9176000000016</v>
      </c>
      <c r="CZ189" s="2">
        <f t="shared" si="126"/>
        <v>4460.1872000000003</v>
      </c>
      <c r="DA189" s="2"/>
      <c r="DB189" s="2"/>
      <c r="DC189" s="2" t="s">
        <v>3</v>
      </c>
      <c r="DD189" s="2" t="s">
        <v>3</v>
      </c>
      <c r="DE189" s="2" t="s">
        <v>3</v>
      </c>
      <c r="DF189" s="2" t="s">
        <v>3</v>
      </c>
      <c r="DG189" s="2" t="s">
        <v>3</v>
      </c>
      <c r="DH189" s="2" t="s">
        <v>3</v>
      </c>
      <c r="DI189" s="2" t="s">
        <v>3</v>
      </c>
      <c r="DJ189" s="2" t="s">
        <v>3</v>
      </c>
      <c r="DK189" s="2" t="s">
        <v>3</v>
      </c>
      <c r="DL189" s="2" t="s">
        <v>3</v>
      </c>
      <c r="DM189" s="2" t="s">
        <v>3</v>
      </c>
      <c r="DN189" s="2">
        <v>0</v>
      </c>
      <c r="DO189" s="2">
        <v>0</v>
      </c>
      <c r="DP189" s="2">
        <v>1</v>
      </c>
      <c r="DQ189" s="2">
        <v>1</v>
      </c>
      <c r="DR189" s="2"/>
      <c r="DS189" s="2"/>
      <c r="DT189" s="2"/>
      <c r="DU189" s="2">
        <v>1013</v>
      </c>
      <c r="DV189" s="2" t="s">
        <v>339</v>
      </c>
      <c r="DW189" s="2" t="s">
        <v>339</v>
      </c>
      <c r="DX189" s="2">
        <v>1</v>
      </c>
      <c r="DY189" s="2"/>
      <c r="DZ189" s="2" t="s">
        <v>3</v>
      </c>
      <c r="EA189" s="2" t="s">
        <v>3</v>
      </c>
      <c r="EB189" s="2" t="s">
        <v>3</v>
      </c>
      <c r="EC189" s="2" t="s">
        <v>3</v>
      </c>
      <c r="ED189" s="2"/>
      <c r="EE189" s="2">
        <v>72340630</v>
      </c>
      <c r="EF189" s="2">
        <v>2</v>
      </c>
      <c r="EG189" s="2" t="s">
        <v>23</v>
      </c>
      <c r="EH189" s="2">
        <v>18</v>
      </c>
      <c r="EI189" s="2" t="s">
        <v>41</v>
      </c>
      <c r="EJ189" s="2">
        <v>1</v>
      </c>
      <c r="EK189" s="2">
        <v>22001</v>
      </c>
      <c r="EL189" s="2" t="s">
        <v>41</v>
      </c>
      <c r="EM189" s="2" t="s">
        <v>277</v>
      </c>
      <c r="EN189" s="2"/>
      <c r="EO189" s="2" t="s">
        <v>3</v>
      </c>
      <c r="EP189" s="2"/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71.67</v>
      </c>
      <c r="EX189" s="2">
        <v>0.03</v>
      </c>
      <c r="EY189" s="2">
        <v>0</v>
      </c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>
        <v>0</v>
      </c>
      <c r="FR189" s="2">
        <v>0</v>
      </c>
      <c r="FS189" s="2">
        <v>0</v>
      </c>
      <c r="FT189" s="2"/>
      <c r="FU189" s="2"/>
      <c r="FV189" s="2"/>
      <c r="FW189" s="2"/>
      <c r="FX189" s="2">
        <v>117</v>
      </c>
      <c r="FY189" s="2">
        <v>74</v>
      </c>
      <c r="FZ189" s="2"/>
      <c r="GA189" s="2" t="s">
        <v>3</v>
      </c>
      <c r="GB189" s="2"/>
      <c r="GC189" s="2"/>
      <c r="GD189" s="2">
        <v>1</v>
      </c>
      <c r="GE189" s="2"/>
      <c r="GF189" s="2">
        <v>1610448180</v>
      </c>
      <c r="GG189" s="2">
        <v>2</v>
      </c>
      <c r="GH189" s="2">
        <v>1</v>
      </c>
      <c r="GI189" s="2">
        <v>-2</v>
      </c>
      <c r="GJ189" s="2">
        <v>0</v>
      </c>
      <c r="GK189" s="2">
        <v>0</v>
      </c>
      <c r="GL189" s="2">
        <f t="shared" si="127"/>
        <v>0</v>
      </c>
      <c r="GM189" s="2">
        <f t="shared" si="128"/>
        <v>18878.95</v>
      </c>
      <c r="GN189" s="2">
        <f t="shared" si="129"/>
        <v>18878.95</v>
      </c>
      <c r="GO189" s="2">
        <f t="shared" si="130"/>
        <v>0</v>
      </c>
      <c r="GP189" s="2">
        <f t="shared" si="131"/>
        <v>0</v>
      </c>
      <c r="GQ189" s="2"/>
      <c r="GR189" s="2">
        <v>0</v>
      </c>
      <c r="GS189" s="2">
        <v>3</v>
      </c>
      <c r="GT189" s="2">
        <v>0</v>
      </c>
      <c r="GU189" s="2" t="s">
        <v>3</v>
      </c>
      <c r="GV189" s="2">
        <f t="shared" si="132"/>
        <v>0</v>
      </c>
      <c r="GW189" s="2">
        <v>1</v>
      </c>
      <c r="GX189" s="2">
        <f t="shared" si="133"/>
        <v>0</v>
      </c>
      <c r="GY189" s="2"/>
      <c r="GZ189" s="2"/>
      <c r="HA189" s="2">
        <v>0</v>
      </c>
      <c r="HB189" s="2">
        <v>0</v>
      </c>
      <c r="HC189" s="2">
        <f t="shared" si="134"/>
        <v>0</v>
      </c>
      <c r="HD189" s="2"/>
      <c r="HE189" s="2" t="s">
        <v>3</v>
      </c>
      <c r="HF189" s="2" t="s">
        <v>3</v>
      </c>
      <c r="HG189" s="2"/>
      <c r="HH189" s="2"/>
      <c r="HI189" s="2"/>
      <c r="HJ189" s="2"/>
      <c r="HK189" s="2"/>
      <c r="HL189" s="2"/>
      <c r="HM189" s="2" t="s">
        <v>3</v>
      </c>
      <c r="HN189" s="2" t="s">
        <v>43</v>
      </c>
      <c r="HO189" s="2" t="s">
        <v>44</v>
      </c>
      <c r="HP189" s="2" t="s">
        <v>41</v>
      </c>
      <c r="HQ189" s="2" t="s">
        <v>41</v>
      </c>
      <c r="HR189" s="2"/>
      <c r="HS189" s="2">
        <v>0</v>
      </c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>
        <v>0</v>
      </c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 x14ac:dyDescent="0.2">
      <c r="A190" s="2">
        <v>17</v>
      </c>
      <c r="B190" s="2">
        <v>1</v>
      </c>
      <c r="C190" s="2">
        <f>ROW(SmtRes!A197)</f>
        <v>197</v>
      </c>
      <c r="D190" s="2">
        <f>ROW(EtalonRes!A216)</f>
        <v>216</v>
      </c>
      <c r="E190" s="2" t="s">
        <v>341</v>
      </c>
      <c r="F190" s="2" t="s">
        <v>137</v>
      </c>
      <c r="G190" s="2" t="s">
        <v>138</v>
      </c>
      <c r="H190" s="2" t="s">
        <v>119</v>
      </c>
      <c r="I190" s="2">
        <f>ROUND(21/100,7)</f>
        <v>0.21</v>
      </c>
      <c r="J190" s="2">
        <v>0</v>
      </c>
      <c r="K190" s="2">
        <f>ROUND(21/100,7)</f>
        <v>0.21</v>
      </c>
      <c r="L190" s="2"/>
      <c r="M190" s="2"/>
      <c r="N190" s="2"/>
      <c r="O190" s="2">
        <f t="shared" si="114"/>
        <v>622.9</v>
      </c>
      <c r="P190" s="2">
        <f>SUMIF(SmtRes!AQ193:'SmtRes'!AQ197,"=1",SmtRes!DF193:'SmtRes'!DF197)</f>
        <v>0</v>
      </c>
      <c r="Q190" s="2">
        <f>SUMIF(SmtRes!AQ193:'SmtRes'!AQ197,"=1",SmtRes!DG193:'SmtRes'!DG197)</f>
        <v>93.75</v>
      </c>
      <c r="R190" s="2">
        <f>SUMIF(SmtRes!AQ193:'SmtRes'!AQ197,"=1",SmtRes!DH193:'SmtRes'!DH197)</f>
        <v>0</v>
      </c>
      <c r="S190" s="2">
        <f>SUMIF(SmtRes!AQ193:'SmtRes'!AQ197,"=1",SmtRes!DI193:'SmtRes'!DI197)</f>
        <v>529.15</v>
      </c>
      <c r="T190" s="2">
        <f t="shared" si="115"/>
        <v>0</v>
      </c>
      <c r="U190" s="2">
        <f>SUMIF(SmtRes!AQ193:'SmtRes'!AQ197,"=1",SmtRes!CV193:'SmtRes'!CV197)</f>
        <v>1.1970000000000001</v>
      </c>
      <c r="V190" s="2">
        <f>SUMIF(SmtRes!AQ193:'SmtRes'!AQ197,"=1",SmtRes!CW193:'SmtRes'!CW197)</f>
        <v>0</v>
      </c>
      <c r="W190" s="2">
        <f t="shared" si="116"/>
        <v>0</v>
      </c>
      <c r="X190" s="2">
        <f t="shared" si="117"/>
        <v>619.11</v>
      </c>
      <c r="Y190" s="2">
        <f t="shared" si="118"/>
        <v>391.57</v>
      </c>
      <c r="Z190" s="2"/>
      <c r="AA190" s="2">
        <v>74014550</v>
      </c>
      <c r="AB190" s="2">
        <f t="shared" si="119"/>
        <v>2844.0744</v>
      </c>
      <c r="AC190" s="2">
        <f>ROUND((0),6)</f>
        <v>0</v>
      </c>
      <c r="AD190" s="2">
        <f>ROUND((((SUM(SmtRes!BR193:'SmtRes'!BR197))-(0))+AE190),6)</f>
        <v>324.33240000000001</v>
      </c>
      <c r="AE190" s="2">
        <f>ROUND((0),6)</f>
        <v>0</v>
      </c>
      <c r="AF190" s="2">
        <f>ROUND((SUM(SmtRes!BT193:'SmtRes'!BT197)),6)</f>
        <v>2519.7420000000002</v>
      </c>
      <c r="AG190" s="2">
        <f t="shared" si="120"/>
        <v>0</v>
      </c>
      <c r="AH190" s="2">
        <f>(SUM(SmtRes!BU193:'SmtRes'!BU197))</f>
        <v>5.7</v>
      </c>
      <c r="AI190" s="2">
        <f>(0)</f>
        <v>0</v>
      </c>
      <c r="AJ190" s="2">
        <f t="shared" si="121"/>
        <v>0</v>
      </c>
      <c r="AK190" s="2">
        <v>2844.0744000000004</v>
      </c>
      <c r="AL190" s="2">
        <v>0</v>
      </c>
      <c r="AM190" s="2">
        <v>324.33240000000001</v>
      </c>
      <c r="AN190" s="2">
        <v>0</v>
      </c>
      <c r="AO190" s="2">
        <v>2519.7420000000002</v>
      </c>
      <c r="AP190" s="2">
        <v>0</v>
      </c>
      <c r="AQ190" s="2">
        <v>5.7</v>
      </c>
      <c r="AR190" s="2">
        <v>0</v>
      </c>
      <c r="AS190" s="2">
        <v>0</v>
      </c>
      <c r="AT190" s="2">
        <v>117</v>
      </c>
      <c r="AU190" s="2">
        <v>74</v>
      </c>
      <c r="AV190" s="2">
        <v>1</v>
      </c>
      <c r="AW190" s="2">
        <v>1</v>
      </c>
      <c r="AX190" s="2"/>
      <c r="AY190" s="2"/>
      <c r="AZ190" s="2">
        <v>1</v>
      </c>
      <c r="BA190" s="2">
        <v>1</v>
      </c>
      <c r="BB190" s="2">
        <v>1</v>
      </c>
      <c r="BC190" s="2">
        <v>1</v>
      </c>
      <c r="BD190" s="2" t="s">
        <v>3</v>
      </c>
      <c r="BE190" s="2" t="s">
        <v>3</v>
      </c>
      <c r="BF190" s="2" t="s">
        <v>3</v>
      </c>
      <c r="BG190" s="2" t="s">
        <v>3</v>
      </c>
      <c r="BH190" s="2">
        <v>0</v>
      </c>
      <c r="BI190" s="2">
        <v>1</v>
      </c>
      <c r="BJ190" s="2" t="s">
        <v>139</v>
      </c>
      <c r="BK190" s="2"/>
      <c r="BL190" s="2"/>
      <c r="BM190" s="2">
        <v>24001</v>
      </c>
      <c r="BN190" s="2">
        <v>0</v>
      </c>
      <c r="BO190" s="2" t="s">
        <v>3</v>
      </c>
      <c r="BP190" s="2">
        <v>0</v>
      </c>
      <c r="BQ190" s="2">
        <v>2</v>
      </c>
      <c r="BR190" s="2">
        <v>0</v>
      </c>
      <c r="BS190" s="2">
        <v>1</v>
      </c>
      <c r="BT190" s="2">
        <v>1</v>
      </c>
      <c r="BU190" s="2">
        <v>1</v>
      </c>
      <c r="BV190" s="2">
        <v>1</v>
      </c>
      <c r="BW190" s="2">
        <v>1</v>
      </c>
      <c r="BX190" s="2">
        <v>1</v>
      </c>
      <c r="BY190" s="2" t="s">
        <v>3</v>
      </c>
      <c r="BZ190" s="2">
        <v>117</v>
      </c>
      <c r="CA190" s="2">
        <v>74</v>
      </c>
      <c r="CB190" s="2" t="s">
        <v>3</v>
      </c>
      <c r="CC190" s="2"/>
      <c r="CD190" s="2"/>
      <c r="CE190" s="2">
        <v>0</v>
      </c>
      <c r="CF190" s="2">
        <v>0</v>
      </c>
      <c r="CG190" s="2">
        <v>0</v>
      </c>
      <c r="CH190" s="2"/>
      <c r="CI190" s="2"/>
      <c r="CJ190" s="2"/>
      <c r="CK190" s="2"/>
      <c r="CL190" s="2"/>
      <c r="CM190" s="2">
        <v>0</v>
      </c>
      <c r="CN190" s="2" t="s">
        <v>3</v>
      </c>
      <c r="CO190" s="2">
        <v>0</v>
      </c>
      <c r="CP190" s="2">
        <f t="shared" si="122"/>
        <v>622.9</v>
      </c>
      <c r="CQ190" s="2">
        <f>SUMIF(SmtRes!AQ193:'SmtRes'!AQ197,"=1",SmtRes!AA193:'SmtRes'!AA197)</f>
        <v>0</v>
      </c>
      <c r="CR190" s="2">
        <f>SUMIF(SmtRes!AQ193:'SmtRes'!AQ197,"=1",SmtRes!AB193:'SmtRes'!AB197)</f>
        <v>518.44000000000005</v>
      </c>
      <c r="CS190" s="2">
        <f>SUMIF(SmtRes!AQ193:'SmtRes'!AQ197,"=1",SmtRes!AC193:'SmtRes'!AC197)</f>
        <v>0</v>
      </c>
      <c r="CT190" s="2">
        <f>SUMIF(SmtRes!AQ193:'SmtRes'!AQ197,"=1",SmtRes!AD193:'SmtRes'!AD197)</f>
        <v>442.06</v>
      </c>
      <c r="CU190" s="2">
        <f t="shared" si="123"/>
        <v>0</v>
      </c>
      <c r="CV190" s="2">
        <f>SUMIF(SmtRes!AQ193:'SmtRes'!AQ197,"=1",SmtRes!BU193:'SmtRes'!BU197)</f>
        <v>5.7</v>
      </c>
      <c r="CW190" s="2">
        <f>SUMIF(SmtRes!AQ193:'SmtRes'!AQ197,"=1",SmtRes!BV193:'SmtRes'!BV197)</f>
        <v>0</v>
      </c>
      <c r="CX190" s="2">
        <f t="shared" si="124"/>
        <v>0</v>
      </c>
      <c r="CY190" s="2">
        <f t="shared" si="125"/>
        <v>619.10550000000001</v>
      </c>
      <c r="CZ190" s="2">
        <f t="shared" si="126"/>
        <v>391.57099999999997</v>
      </c>
      <c r="DA190" s="2"/>
      <c r="DB190" s="2"/>
      <c r="DC190" s="2" t="s">
        <v>3</v>
      </c>
      <c r="DD190" s="2" t="s">
        <v>3</v>
      </c>
      <c r="DE190" s="2" t="s">
        <v>3</v>
      </c>
      <c r="DF190" s="2" t="s">
        <v>3</v>
      </c>
      <c r="DG190" s="2" t="s">
        <v>3</v>
      </c>
      <c r="DH190" s="2" t="s">
        <v>3</v>
      </c>
      <c r="DI190" s="2" t="s">
        <v>3</v>
      </c>
      <c r="DJ190" s="2" t="s">
        <v>3</v>
      </c>
      <c r="DK190" s="2" t="s">
        <v>3</v>
      </c>
      <c r="DL190" s="2" t="s">
        <v>3</v>
      </c>
      <c r="DM190" s="2" t="s">
        <v>3</v>
      </c>
      <c r="DN190" s="2">
        <v>0</v>
      </c>
      <c r="DO190" s="2">
        <v>0</v>
      </c>
      <c r="DP190" s="2">
        <v>1</v>
      </c>
      <c r="DQ190" s="2">
        <v>1</v>
      </c>
      <c r="DR190" s="2"/>
      <c r="DS190" s="2"/>
      <c r="DT190" s="2"/>
      <c r="DU190" s="2">
        <v>1003</v>
      </c>
      <c r="DV190" s="2" t="s">
        <v>119</v>
      </c>
      <c r="DW190" s="2" t="s">
        <v>119</v>
      </c>
      <c r="DX190" s="2">
        <v>100</v>
      </c>
      <c r="DY190" s="2"/>
      <c r="DZ190" s="2" t="s">
        <v>3</v>
      </c>
      <c r="EA190" s="2" t="s">
        <v>3</v>
      </c>
      <c r="EB190" s="2" t="s">
        <v>3</v>
      </c>
      <c r="EC190" s="2" t="s">
        <v>3</v>
      </c>
      <c r="ED190" s="2"/>
      <c r="EE190" s="2">
        <v>72340632</v>
      </c>
      <c r="EF190" s="2">
        <v>2</v>
      </c>
      <c r="EG190" s="2" t="s">
        <v>23</v>
      </c>
      <c r="EH190" s="2">
        <v>18</v>
      </c>
      <c r="EI190" s="2" t="s">
        <v>41</v>
      </c>
      <c r="EJ190" s="2">
        <v>1</v>
      </c>
      <c r="EK190" s="2">
        <v>24001</v>
      </c>
      <c r="EL190" s="2" t="s">
        <v>41</v>
      </c>
      <c r="EM190" s="2" t="s">
        <v>121</v>
      </c>
      <c r="EN190" s="2"/>
      <c r="EO190" s="2" t="s">
        <v>3</v>
      </c>
      <c r="EP190" s="2"/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5.7</v>
      </c>
      <c r="EX190" s="2">
        <v>0</v>
      </c>
      <c r="EY190" s="2">
        <v>0</v>
      </c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>
        <v>0</v>
      </c>
      <c r="FR190" s="2">
        <v>0</v>
      </c>
      <c r="FS190" s="2">
        <v>0</v>
      </c>
      <c r="FT190" s="2"/>
      <c r="FU190" s="2"/>
      <c r="FV190" s="2"/>
      <c r="FW190" s="2"/>
      <c r="FX190" s="2">
        <v>117</v>
      </c>
      <c r="FY190" s="2">
        <v>74</v>
      </c>
      <c r="FZ190" s="2"/>
      <c r="GA190" s="2" t="s">
        <v>3</v>
      </c>
      <c r="GB190" s="2"/>
      <c r="GC190" s="2"/>
      <c r="GD190" s="2">
        <v>1</v>
      </c>
      <c r="GE190" s="2"/>
      <c r="GF190" s="2">
        <v>-705619183</v>
      </c>
      <c r="GG190" s="2">
        <v>2</v>
      </c>
      <c r="GH190" s="2">
        <v>1</v>
      </c>
      <c r="GI190" s="2">
        <v>-2</v>
      </c>
      <c r="GJ190" s="2">
        <v>0</v>
      </c>
      <c r="GK190" s="2">
        <v>0</v>
      </c>
      <c r="GL190" s="2">
        <f t="shared" si="127"/>
        <v>0</v>
      </c>
      <c r="GM190" s="2">
        <f t="shared" si="128"/>
        <v>1633.58</v>
      </c>
      <c r="GN190" s="2">
        <f t="shared" si="129"/>
        <v>1633.58</v>
      </c>
      <c r="GO190" s="2">
        <f t="shared" si="130"/>
        <v>0</v>
      </c>
      <c r="GP190" s="2">
        <f t="shared" si="131"/>
        <v>0</v>
      </c>
      <c r="GQ190" s="2"/>
      <c r="GR190" s="2">
        <v>0</v>
      </c>
      <c r="GS190" s="2">
        <v>3</v>
      </c>
      <c r="GT190" s="2">
        <v>0</v>
      </c>
      <c r="GU190" s="2" t="s">
        <v>3</v>
      </c>
      <c r="GV190" s="2">
        <f t="shared" si="132"/>
        <v>0</v>
      </c>
      <c r="GW190" s="2">
        <v>1</v>
      </c>
      <c r="GX190" s="2">
        <f t="shared" si="133"/>
        <v>0</v>
      </c>
      <c r="GY190" s="2"/>
      <c r="GZ190" s="2"/>
      <c r="HA190" s="2">
        <v>0</v>
      </c>
      <c r="HB190" s="2">
        <v>0</v>
      </c>
      <c r="HC190" s="2">
        <f t="shared" si="134"/>
        <v>0</v>
      </c>
      <c r="HD190" s="2"/>
      <c r="HE190" s="2" t="s">
        <v>3</v>
      </c>
      <c r="HF190" s="2" t="s">
        <v>3</v>
      </c>
      <c r="HG190" s="2"/>
      <c r="HH190" s="2"/>
      <c r="HI190" s="2"/>
      <c r="HJ190" s="2"/>
      <c r="HK190" s="2"/>
      <c r="HL190" s="2"/>
      <c r="HM190" s="2" t="s">
        <v>3</v>
      </c>
      <c r="HN190" s="2" t="s">
        <v>43</v>
      </c>
      <c r="HO190" s="2" t="s">
        <v>44</v>
      </c>
      <c r="HP190" s="2" t="s">
        <v>41</v>
      </c>
      <c r="HQ190" s="2" t="s">
        <v>41</v>
      </c>
      <c r="HR190" s="2"/>
      <c r="HS190" s="2">
        <v>0</v>
      </c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>
        <v>0</v>
      </c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 x14ac:dyDescent="0.2">
      <c r="A191" s="2">
        <v>18</v>
      </c>
      <c r="B191" s="2">
        <v>1</v>
      </c>
      <c r="C191" s="2">
        <v>196</v>
      </c>
      <c r="D191" s="2"/>
      <c r="E191" s="2" t="s">
        <v>342</v>
      </c>
      <c r="F191" s="2" t="s">
        <v>141</v>
      </c>
      <c r="G191" s="2" t="s">
        <v>142</v>
      </c>
      <c r="H191" s="2" t="s">
        <v>125</v>
      </c>
      <c r="I191" s="2">
        <f>I190*J191</f>
        <v>21</v>
      </c>
      <c r="J191" s="2">
        <v>100</v>
      </c>
      <c r="K191" s="2">
        <v>100</v>
      </c>
      <c r="L191" s="2"/>
      <c r="M191" s="2"/>
      <c r="N191" s="2"/>
      <c r="O191" s="2">
        <f t="shared" si="114"/>
        <v>9365.16</v>
      </c>
      <c r="P191" s="2">
        <f>ROUND(CQ191*I191,2)</f>
        <v>9365.16</v>
      </c>
      <c r="Q191" s="2">
        <f>ROUND(CR191*I191,2)</f>
        <v>0</v>
      </c>
      <c r="R191" s="2">
        <f>ROUND(CS191*I191,2)</f>
        <v>0</v>
      </c>
      <c r="S191" s="2">
        <f>ROUND(CT191*I191,2)</f>
        <v>0</v>
      </c>
      <c r="T191" s="2">
        <f t="shared" si="115"/>
        <v>0</v>
      </c>
      <c r="U191" s="2">
        <f>ROUND(CV191*I191,7)</f>
        <v>0</v>
      </c>
      <c r="V191" s="2">
        <f>ROUND(CW191*I191,7)</f>
        <v>0</v>
      </c>
      <c r="W191" s="2">
        <f t="shared" si="116"/>
        <v>0</v>
      </c>
      <c r="X191" s="2">
        <f t="shared" si="117"/>
        <v>0</v>
      </c>
      <c r="Y191" s="2">
        <f t="shared" si="118"/>
        <v>0</v>
      </c>
      <c r="Z191" s="2"/>
      <c r="AA191" s="2">
        <v>74014550</v>
      </c>
      <c r="AB191" s="2">
        <f t="shared" si="119"/>
        <v>445.96</v>
      </c>
      <c r="AC191" s="2">
        <f>ROUND((ES191),6)</f>
        <v>445.96</v>
      </c>
      <c r="AD191" s="2">
        <f>ROUND((((ET191)-(EU191))+AE191),6)</f>
        <v>0</v>
      </c>
      <c r="AE191" s="2">
        <f>ROUND((EU191),6)</f>
        <v>0</v>
      </c>
      <c r="AF191" s="2">
        <f>ROUND((EV191),6)</f>
        <v>0</v>
      </c>
      <c r="AG191" s="2">
        <f t="shared" si="120"/>
        <v>0</v>
      </c>
      <c r="AH191" s="2">
        <f>(EW191)</f>
        <v>0</v>
      </c>
      <c r="AI191" s="2">
        <f>(EX191)</f>
        <v>0</v>
      </c>
      <c r="AJ191" s="2">
        <f t="shared" si="121"/>
        <v>0</v>
      </c>
      <c r="AK191" s="2">
        <v>445.96</v>
      </c>
      <c r="AL191" s="2">
        <v>445.96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117</v>
      </c>
      <c r="AU191" s="2">
        <v>74</v>
      </c>
      <c r="AV191" s="2">
        <v>1</v>
      </c>
      <c r="AW191" s="2">
        <v>1</v>
      </c>
      <c r="AX191" s="2"/>
      <c r="AY191" s="2"/>
      <c r="AZ191" s="2">
        <v>1</v>
      </c>
      <c r="BA191" s="2">
        <v>1</v>
      </c>
      <c r="BB191" s="2">
        <v>1</v>
      </c>
      <c r="BC191" s="2">
        <v>1</v>
      </c>
      <c r="BD191" s="2" t="s">
        <v>3</v>
      </c>
      <c r="BE191" s="2" t="s">
        <v>3</v>
      </c>
      <c r="BF191" s="2" t="s">
        <v>3</v>
      </c>
      <c r="BG191" s="2" t="s">
        <v>3</v>
      </c>
      <c r="BH191" s="2">
        <v>3</v>
      </c>
      <c r="BI191" s="2">
        <v>1</v>
      </c>
      <c r="BJ191" s="2" t="s">
        <v>143</v>
      </c>
      <c r="BK191" s="2"/>
      <c r="BL191" s="2"/>
      <c r="BM191" s="2">
        <v>24001</v>
      </c>
      <c r="BN191" s="2">
        <v>0</v>
      </c>
      <c r="BO191" s="2" t="s">
        <v>3</v>
      </c>
      <c r="BP191" s="2">
        <v>0</v>
      </c>
      <c r="BQ191" s="2">
        <v>2</v>
      </c>
      <c r="BR191" s="2">
        <v>0</v>
      </c>
      <c r="BS191" s="2">
        <v>1</v>
      </c>
      <c r="BT191" s="2">
        <v>1</v>
      </c>
      <c r="BU191" s="2">
        <v>1</v>
      </c>
      <c r="BV191" s="2">
        <v>1</v>
      </c>
      <c r="BW191" s="2">
        <v>1</v>
      </c>
      <c r="BX191" s="2">
        <v>1</v>
      </c>
      <c r="BY191" s="2" t="s">
        <v>3</v>
      </c>
      <c r="BZ191" s="2">
        <v>117</v>
      </c>
      <c r="CA191" s="2">
        <v>74</v>
      </c>
      <c r="CB191" s="2" t="s">
        <v>3</v>
      </c>
      <c r="CC191" s="2"/>
      <c r="CD191" s="2"/>
      <c r="CE191" s="2">
        <v>0</v>
      </c>
      <c r="CF191" s="2">
        <v>0</v>
      </c>
      <c r="CG191" s="2">
        <v>0</v>
      </c>
      <c r="CH191" s="2"/>
      <c r="CI191" s="2"/>
      <c r="CJ191" s="2"/>
      <c r="CK191" s="2"/>
      <c r="CL191" s="2"/>
      <c r="CM191" s="2">
        <v>0</v>
      </c>
      <c r="CN191" s="2" t="s">
        <v>3</v>
      </c>
      <c r="CO191" s="2">
        <v>0</v>
      </c>
      <c r="CP191" s="2">
        <f t="shared" si="122"/>
        <v>9365.16</v>
      </c>
      <c r="CQ191" s="2">
        <f>ROUND(AL191*BC191,2)</f>
        <v>445.96</v>
      </c>
      <c r="CR191" s="2">
        <f>ROUND(AM191*BB191,2)</f>
        <v>0</v>
      </c>
      <c r="CS191" s="2">
        <f>ROUND(AN191*BS191,2)</f>
        <v>0</v>
      </c>
      <c r="CT191" s="2">
        <f>ROUND(AO191*BA191,2)</f>
        <v>0</v>
      </c>
      <c r="CU191" s="2">
        <f t="shared" si="123"/>
        <v>0</v>
      </c>
      <c r="CV191" s="2">
        <f>AH191</f>
        <v>0</v>
      </c>
      <c r="CW191" s="2">
        <f>AI191</f>
        <v>0</v>
      </c>
      <c r="CX191" s="2">
        <f t="shared" si="124"/>
        <v>0</v>
      </c>
      <c r="CY191" s="2">
        <f t="shared" si="125"/>
        <v>0</v>
      </c>
      <c r="CZ191" s="2">
        <f t="shared" si="126"/>
        <v>0</v>
      </c>
      <c r="DA191" s="2"/>
      <c r="DB191" s="2"/>
      <c r="DC191" s="2" t="s">
        <v>3</v>
      </c>
      <c r="DD191" s="2" t="s">
        <v>3</v>
      </c>
      <c r="DE191" s="2" t="s">
        <v>3</v>
      </c>
      <c r="DF191" s="2" t="s">
        <v>3</v>
      </c>
      <c r="DG191" s="2" t="s">
        <v>3</v>
      </c>
      <c r="DH191" s="2" t="s">
        <v>3</v>
      </c>
      <c r="DI191" s="2" t="s">
        <v>3</v>
      </c>
      <c r="DJ191" s="2" t="s">
        <v>3</v>
      </c>
      <c r="DK191" s="2" t="s">
        <v>3</v>
      </c>
      <c r="DL191" s="2" t="s">
        <v>3</v>
      </c>
      <c r="DM191" s="2" t="s">
        <v>3</v>
      </c>
      <c r="DN191" s="2">
        <v>0</v>
      </c>
      <c r="DO191" s="2">
        <v>0</v>
      </c>
      <c r="DP191" s="2">
        <v>1</v>
      </c>
      <c r="DQ191" s="2">
        <v>1</v>
      </c>
      <c r="DR191" s="2"/>
      <c r="DS191" s="2"/>
      <c r="DT191" s="2"/>
      <c r="DU191" s="2">
        <v>1003</v>
      </c>
      <c r="DV191" s="2" t="s">
        <v>125</v>
      </c>
      <c r="DW191" s="2" t="s">
        <v>125</v>
      </c>
      <c r="DX191" s="2">
        <v>1</v>
      </c>
      <c r="DY191" s="2"/>
      <c r="DZ191" s="2" t="s">
        <v>3</v>
      </c>
      <c r="EA191" s="2" t="s">
        <v>3</v>
      </c>
      <c r="EB191" s="2" t="s">
        <v>3</v>
      </c>
      <c r="EC191" s="2" t="s">
        <v>3</v>
      </c>
      <c r="ED191" s="2"/>
      <c r="EE191" s="2">
        <v>72340632</v>
      </c>
      <c r="EF191" s="2">
        <v>2</v>
      </c>
      <c r="EG191" s="2" t="s">
        <v>23</v>
      </c>
      <c r="EH191" s="2">
        <v>18</v>
      </c>
      <c r="EI191" s="2" t="s">
        <v>41</v>
      </c>
      <c r="EJ191" s="2">
        <v>1</v>
      </c>
      <c r="EK191" s="2">
        <v>24001</v>
      </c>
      <c r="EL191" s="2" t="s">
        <v>41</v>
      </c>
      <c r="EM191" s="2" t="s">
        <v>121</v>
      </c>
      <c r="EN191" s="2"/>
      <c r="EO191" s="2" t="s">
        <v>3</v>
      </c>
      <c r="EP191" s="2"/>
      <c r="EQ191" s="2">
        <v>0</v>
      </c>
      <c r="ER191" s="2">
        <v>445.96</v>
      </c>
      <c r="ES191" s="2">
        <v>445.96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>
        <v>0</v>
      </c>
      <c r="FR191" s="2">
        <v>0</v>
      </c>
      <c r="FS191" s="2">
        <v>0</v>
      </c>
      <c r="FT191" s="2"/>
      <c r="FU191" s="2"/>
      <c r="FV191" s="2"/>
      <c r="FW191" s="2"/>
      <c r="FX191" s="2">
        <v>117</v>
      </c>
      <c r="FY191" s="2">
        <v>74</v>
      </c>
      <c r="FZ191" s="2"/>
      <c r="GA191" s="2" t="s">
        <v>3</v>
      </c>
      <c r="GB191" s="2"/>
      <c r="GC191" s="2"/>
      <c r="GD191" s="2">
        <v>1</v>
      </c>
      <c r="GE191" s="2">
        <v>356.47</v>
      </c>
      <c r="GF191" s="2">
        <v>-1478815123</v>
      </c>
      <c r="GG191" s="2">
        <v>2</v>
      </c>
      <c r="GH191" s="2">
        <v>1</v>
      </c>
      <c r="GI191" s="2">
        <v>-2</v>
      </c>
      <c r="GJ191" s="2">
        <v>0</v>
      </c>
      <c r="GK191" s="2">
        <v>0</v>
      </c>
      <c r="GL191" s="2">
        <f t="shared" si="127"/>
        <v>0</v>
      </c>
      <c r="GM191" s="2">
        <f t="shared" si="128"/>
        <v>9365.16</v>
      </c>
      <c r="GN191" s="2">
        <f t="shared" si="129"/>
        <v>9365.16</v>
      </c>
      <c r="GO191" s="2">
        <f t="shared" si="130"/>
        <v>0</v>
      </c>
      <c r="GP191" s="2">
        <f t="shared" si="131"/>
        <v>0</v>
      </c>
      <c r="GQ191" s="2"/>
      <c r="GR191" s="2">
        <v>3</v>
      </c>
      <c r="GS191" s="2">
        <v>3</v>
      </c>
      <c r="GT191" s="2">
        <v>0</v>
      </c>
      <c r="GU191" s="2" t="s">
        <v>3</v>
      </c>
      <c r="GV191" s="2">
        <f t="shared" si="132"/>
        <v>0</v>
      </c>
      <c r="GW191" s="2">
        <v>1</v>
      </c>
      <c r="GX191" s="2">
        <f t="shared" si="133"/>
        <v>0</v>
      </c>
      <c r="GY191" s="2"/>
      <c r="GZ191" s="2"/>
      <c r="HA191" s="2">
        <v>0</v>
      </c>
      <c r="HB191" s="2">
        <v>0</v>
      </c>
      <c r="HC191" s="2">
        <f t="shared" si="134"/>
        <v>0</v>
      </c>
      <c r="HD191" s="2"/>
      <c r="HE191" s="2" t="s">
        <v>3</v>
      </c>
      <c r="HF191" s="2" t="s">
        <v>3</v>
      </c>
      <c r="HG191" s="2"/>
      <c r="HH191" s="2"/>
      <c r="HI191" s="2"/>
      <c r="HJ191" s="2"/>
      <c r="HK191" s="2"/>
      <c r="HL191" s="2"/>
      <c r="HM191" s="2" t="s">
        <v>3</v>
      </c>
      <c r="HN191" s="2" t="s">
        <v>43</v>
      </c>
      <c r="HO191" s="2" t="s">
        <v>44</v>
      </c>
      <c r="HP191" s="2" t="s">
        <v>41</v>
      </c>
      <c r="HQ191" s="2" t="s">
        <v>41</v>
      </c>
      <c r="HR191" s="2"/>
      <c r="HS191" s="2">
        <v>0</v>
      </c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>
        <v>0</v>
      </c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 x14ac:dyDescent="0.2">
      <c r="A192" s="2">
        <v>17</v>
      </c>
      <c r="B192" s="2">
        <v>1</v>
      </c>
      <c r="C192" s="2">
        <f>ROW(SmtRes!A209)</f>
        <v>209</v>
      </c>
      <c r="D192" s="2">
        <f>ROW(EtalonRes!A231)</f>
        <v>231</v>
      </c>
      <c r="E192" s="2" t="s">
        <v>343</v>
      </c>
      <c r="F192" s="2" t="s">
        <v>344</v>
      </c>
      <c r="G192" s="2" t="s">
        <v>345</v>
      </c>
      <c r="H192" s="2" t="s">
        <v>346</v>
      </c>
      <c r="I192" s="2">
        <v>1</v>
      </c>
      <c r="J192" s="2">
        <v>0</v>
      </c>
      <c r="K192" s="2">
        <v>1</v>
      </c>
      <c r="L192" s="2"/>
      <c r="M192" s="2"/>
      <c r="N192" s="2"/>
      <c r="O192" s="2">
        <f t="shared" si="114"/>
        <v>1720.27</v>
      </c>
      <c r="P192" s="2">
        <f>SUMIF(SmtRes!AQ198:'SmtRes'!AQ209,"=1",SmtRes!DF198:'SmtRes'!DF209)</f>
        <v>263.27</v>
      </c>
      <c r="Q192" s="2">
        <f>SUMIF(SmtRes!AQ198:'SmtRes'!AQ209,"=1",SmtRes!DG198:'SmtRes'!DG209)</f>
        <v>627.96</v>
      </c>
      <c r="R192" s="2">
        <f>SUMIF(SmtRes!AQ198:'SmtRes'!AQ209,"=1",SmtRes!DH198:'SmtRes'!DH209)</f>
        <v>226.47</v>
      </c>
      <c r="S192" s="2">
        <f>SUMIF(SmtRes!AQ198:'SmtRes'!AQ209,"=1",SmtRes!DI198:'SmtRes'!DI209)</f>
        <v>602.57000000000005</v>
      </c>
      <c r="T192" s="2">
        <f t="shared" si="115"/>
        <v>0</v>
      </c>
      <c r="U192" s="2">
        <f>SUMIF(SmtRes!AQ198:'SmtRes'!AQ209,"=1",SmtRes!CV198:'SmtRes'!CV209)</f>
        <v>1.54</v>
      </c>
      <c r="V192" s="2">
        <f>SUMIF(SmtRes!AQ198:'SmtRes'!AQ209,"=1",SmtRes!CW198:'SmtRes'!CW209)</f>
        <v>0.48</v>
      </c>
      <c r="W192" s="2">
        <f t="shared" si="116"/>
        <v>0</v>
      </c>
      <c r="X192" s="2">
        <f t="shared" si="117"/>
        <v>969.98</v>
      </c>
      <c r="Y192" s="2">
        <f t="shared" si="118"/>
        <v>613.49</v>
      </c>
      <c r="Z192" s="2"/>
      <c r="AA192" s="2">
        <v>74014550</v>
      </c>
      <c r="AB192" s="2">
        <f t="shared" si="119"/>
        <v>1406.2312099999999</v>
      </c>
      <c r="AC192" s="2">
        <f>ROUND((SUM(SmtRes!BQ198:'SmtRes'!BQ209)),6)</f>
        <v>175.72130999999999</v>
      </c>
      <c r="AD192" s="2">
        <f>ROUND((((SUM(SmtRes!BR198:'SmtRes'!BR209))-(SUM(SmtRes!BS198:'SmtRes'!BS209)))+AE192),6)</f>
        <v>627.93870000000004</v>
      </c>
      <c r="AE192" s="2">
        <f>ROUND((SUM(SmtRes!BS198:'SmtRes'!BS209)),6)</f>
        <v>226.46520000000001</v>
      </c>
      <c r="AF192" s="2">
        <f>ROUND((SUM(SmtRes!BT198:'SmtRes'!BT209)),6)</f>
        <v>602.57119999999998</v>
      </c>
      <c r="AG192" s="2">
        <f t="shared" si="120"/>
        <v>0</v>
      </c>
      <c r="AH192" s="2">
        <f>(SUM(SmtRes!BU198:'SmtRes'!BU209))</f>
        <v>1.54</v>
      </c>
      <c r="AI192" s="2">
        <f>(SUM(SmtRes!BV198:'SmtRes'!BV209))</f>
        <v>0.48</v>
      </c>
      <c r="AJ192" s="2">
        <f t="shared" si="121"/>
        <v>0</v>
      </c>
      <c r="AK192" s="2">
        <v>1632.69641</v>
      </c>
      <c r="AL192" s="2">
        <v>175.72131000000002</v>
      </c>
      <c r="AM192" s="2">
        <v>627.93870000000004</v>
      </c>
      <c r="AN192" s="2">
        <v>226.46519999999998</v>
      </c>
      <c r="AO192" s="2">
        <v>602.57119999999998</v>
      </c>
      <c r="AP192" s="2">
        <v>0</v>
      </c>
      <c r="AQ192" s="2">
        <v>1.54</v>
      </c>
      <c r="AR192" s="2">
        <v>0.48</v>
      </c>
      <c r="AS192" s="2">
        <v>0</v>
      </c>
      <c r="AT192" s="2">
        <v>117</v>
      </c>
      <c r="AU192" s="2">
        <v>74</v>
      </c>
      <c r="AV192" s="2">
        <v>1</v>
      </c>
      <c r="AW192" s="2">
        <v>1</v>
      </c>
      <c r="AX192" s="2"/>
      <c r="AY192" s="2"/>
      <c r="AZ192" s="2">
        <v>1</v>
      </c>
      <c r="BA192" s="2">
        <v>1</v>
      </c>
      <c r="BB192" s="2">
        <v>1</v>
      </c>
      <c r="BC192" s="2">
        <v>1</v>
      </c>
      <c r="BD192" s="2" t="s">
        <v>3</v>
      </c>
      <c r="BE192" s="2" t="s">
        <v>3</v>
      </c>
      <c r="BF192" s="2" t="s">
        <v>3</v>
      </c>
      <c r="BG192" s="2" t="s">
        <v>3</v>
      </c>
      <c r="BH192" s="2">
        <v>0</v>
      </c>
      <c r="BI192" s="2">
        <v>1</v>
      </c>
      <c r="BJ192" s="2" t="s">
        <v>347</v>
      </c>
      <c r="BK192" s="2"/>
      <c r="BL192" s="2"/>
      <c r="BM192" s="2">
        <v>24001</v>
      </c>
      <c r="BN192" s="2">
        <v>0</v>
      </c>
      <c r="BO192" s="2" t="s">
        <v>3</v>
      </c>
      <c r="BP192" s="2">
        <v>0</v>
      </c>
      <c r="BQ192" s="2">
        <v>2</v>
      </c>
      <c r="BR192" s="2">
        <v>0</v>
      </c>
      <c r="BS192" s="2">
        <v>1</v>
      </c>
      <c r="BT192" s="2">
        <v>1</v>
      </c>
      <c r="BU192" s="2">
        <v>1</v>
      </c>
      <c r="BV192" s="2">
        <v>1</v>
      </c>
      <c r="BW192" s="2">
        <v>1</v>
      </c>
      <c r="BX192" s="2">
        <v>1</v>
      </c>
      <c r="BY192" s="2" t="s">
        <v>3</v>
      </c>
      <c r="BZ192" s="2">
        <v>117</v>
      </c>
      <c r="CA192" s="2">
        <v>74</v>
      </c>
      <c r="CB192" s="2" t="s">
        <v>3</v>
      </c>
      <c r="CC192" s="2"/>
      <c r="CD192" s="2"/>
      <c r="CE192" s="2">
        <v>0</v>
      </c>
      <c r="CF192" s="2">
        <v>0</v>
      </c>
      <c r="CG192" s="2">
        <v>0</v>
      </c>
      <c r="CH192" s="2"/>
      <c r="CI192" s="2"/>
      <c r="CJ192" s="2"/>
      <c r="CK192" s="2"/>
      <c r="CL192" s="2"/>
      <c r="CM192" s="2">
        <v>0</v>
      </c>
      <c r="CN192" s="2" t="s">
        <v>3</v>
      </c>
      <c r="CO192" s="2">
        <v>0</v>
      </c>
      <c r="CP192" s="2">
        <f t="shared" si="122"/>
        <v>1720.2700000000002</v>
      </c>
      <c r="CQ192" s="2">
        <f>SUMIF(SmtRes!AQ198:'SmtRes'!AQ209,"=1",SmtRes!AA198:'SmtRes'!AA209)</f>
        <v>8774.01</v>
      </c>
      <c r="CR192" s="2">
        <f>SUMIF(SmtRes!AQ198:'SmtRes'!AQ209,"=1",SmtRes!AB198:'SmtRes'!AB209)</f>
        <v>2541.64</v>
      </c>
      <c r="CS192" s="2">
        <f>SUMIF(SmtRes!AQ198:'SmtRes'!AQ209,"=1",SmtRes!AC198:'SmtRes'!AC209)</f>
        <v>937.88</v>
      </c>
      <c r="CT192" s="2">
        <f>SUMIF(SmtRes!AQ198:'SmtRes'!AQ209,"=1",SmtRes!AD198:'SmtRes'!AD209)</f>
        <v>391.28</v>
      </c>
      <c r="CU192" s="2">
        <f t="shared" si="123"/>
        <v>0</v>
      </c>
      <c r="CV192" s="2">
        <f>SUMIF(SmtRes!AQ198:'SmtRes'!AQ209,"=1",SmtRes!BU198:'SmtRes'!BU209)</f>
        <v>1.54</v>
      </c>
      <c r="CW192" s="2">
        <f>SUMIF(SmtRes!AQ198:'SmtRes'!AQ209,"=1",SmtRes!BV198:'SmtRes'!BV209)</f>
        <v>0.48</v>
      </c>
      <c r="CX192" s="2">
        <f t="shared" si="124"/>
        <v>0</v>
      </c>
      <c r="CY192" s="2">
        <f t="shared" si="125"/>
        <v>969.97680000000003</v>
      </c>
      <c r="CZ192" s="2">
        <f t="shared" si="126"/>
        <v>613.48960000000011</v>
      </c>
      <c r="DA192" s="2"/>
      <c r="DB192" s="2"/>
      <c r="DC192" s="2" t="s">
        <v>3</v>
      </c>
      <c r="DD192" s="2" t="s">
        <v>3</v>
      </c>
      <c r="DE192" s="2" t="s">
        <v>3</v>
      </c>
      <c r="DF192" s="2" t="s">
        <v>3</v>
      </c>
      <c r="DG192" s="2" t="s">
        <v>3</v>
      </c>
      <c r="DH192" s="2" t="s">
        <v>3</v>
      </c>
      <c r="DI192" s="2" t="s">
        <v>3</v>
      </c>
      <c r="DJ192" s="2" t="s">
        <v>3</v>
      </c>
      <c r="DK192" s="2" t="s">
        <v>3</v>
      </c>
      <c r="DL192" s="2" t="s">
        <v>3</v>
      </c>
      <c r="DM192" s="2" t="s">
        <v>3</v>
      </c>
      <c r="DN192" s="2">
        <v>0</v>
      </c>
      <c r="DO192" s="2">
        <v>0</v>
      </c>
      <c r="DP192" s="2">
        <v>1</v>
      </c>
      <c r="DQ192" s="2">
        <v>1</v>
      </c>
      <c r="DR192" s="2"/>
      <c r="DS192" s="2"/>
      <c r="DT192" s="2"/>
      <c r="DU192" s="2">
        <v>1013</v>
      </c>
      <c r="DV192" s="2" t="s">
        <v>346</v>
      </c>
      <c r="DW192" s="2" t="s">
        <v>346</v>
      </c>
      <c r="DX192" s="2">
        <v>1</v>
      </c>
      <c r="DY192" s="2"/>
      <c r="DZ192" s="2" t="s">
        <v>3</v>
      </c>
      <c r="EA192" s="2" t="s">
        <v>3</v>
      </c>
      <c r="EB192" s="2" t="s">
        <v>3</v>
      </c>
      <c r="EC192" s="2" t="s">
        <v>3</v>
      </c>
      <c r="ED192" s="2"/>
      <c r="EE192" s="2">
        <v>72340632</v>
      </c>
      <c r="EF192" s="2">
        <v>2</v>
      </c>
      <c r="EG192" s="2" t="s">
        <v>23</v>
      </c>
      <c r="EH192" s="2">
        <v>18</v>
      </c>
      <c r="EI192" s="2" t="s">
        <v>41</v>
      </c>
      <c r="EJ192" s="2">
        <v>1</v>
      </c>
      <c r="EK192" s="2">
        <v>24001</v>
      </c>
      <c r="EL192" s="2" t="s">
        <v>41</v>
      </c>
      <c r="EM192" s="2" t="s">
        <v>121</v>
      </c>
      <c r="EN192" s="2"/>
      <c r="EO192" s="2" t="s">
        <v>3</v>
      </c>
      <c r="EP192" s="2"/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1.54</v>
      </c>
      <c r="EX192" s="2">
        <v>0.48</v>
      </c>
      <c r="EY192" s="2">
        <v>0</v>
      </c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>
        <v>0</v>
      </c>
      <c r="FR192" s="2">
        <v>0</v>
      </c>
      <c r="FS192" s="2">
        <v>0</v>
      </c>
      <c r="FT192" s="2"/>
      <c r="FU192" s="2"/>
      <c r="FV192" s="2"/>
      <c r="FW192" s="2"/>
      <c r="FX192" s="2">
        <v>117</v>
      </c>
      <c r="FY192" s="2">
        <v>74</v>
      </c>
      <c r="FZ192" s="2"/>
      <c r="GA192" s="2" t="s">
        <v>3</v>
      </c>
      <c r="GB192" s="2"/>
      <c r="GC192" s="2"/>
      <c r="GD192" s="2">
        <v>1</v>
      </c>
      <c r="GE192" s="2"/>
      <c r="GF192" s="2">
        <v>353539658</v>
      </c>
      <c r="GG192" s="2">
        <v>2</v>
      </c>
      <c r="GH192" s="2">
        <v>1</v>
      </c>
      <c r="GI192" s="2">
        <v>-2</v>
      </c>
      <c r="GJ192" s="2">
        <v>0</v>
      </c>
      <c r="GK192" s="2">
        <v>0</v>
      </c>
      <c r="GL192" s="2">
        <f t="shared" si="127"/>
        <v>0</v>
      </c>
      <c r="GM192" s="2">
        <f t="shared" si="128"/>
        <v>3303.74</v>
      </c>
      <c r="GN192" s="2">
        <f t="shared" si="129"/>
        <v>3303.74</v>
      </c>
      <c r="GO192" s="2">
        <f t="shared" si="130"/>
        <v>0</v>
      </c>
      <c r="GP192" s="2">
        <f t="shared" si="131"/>
        <v>0</v>
      </c>
      <c r="GQ192" s="2"/>
      <c r="GR192" s="2">
        <v>0</v>
      </c>
      <c r="GS192" s="2">
        <v>3</v>
      </c>
      <c r="GT192" s="2">
        <v>0</v>
      </c>
      <c r="GU192" s="2" t="s">
        <v>3</v>
      </c>
      <c r="GV192" s="2">
        <f t="shared" si="132"/>
        <v>0</v>
      </c>
      <c r="GW192" s="2">
        <v>1</v>
      </c>
      <c r="GX192" s="2">
        <f t="shared" si="133"/>
        <v>0</v>
      </c>
      <c r="GY192" s="2"/>
      <c r="GZ192" s="2"/>
      <c r="HA192" s="2">
        <v>0</v>
      </c>
      <c r="HB192" s="2">
        <v>0</v>
      </c>
      <c r="HC192" s="2">
        <f t="shared" si="134"/>
        <v>0</v>
      </c>
      <c r="HD192" s="2"/>
      <c r="HE192" s="2" t="s">
        <v>3</v>
      </c>
      <c r="HF192" s="2" t="s">
        <v>3</v>
      </c>
      <c r="HG192" s="2"/>
      <c r="HH192" s="2"/>
      <c r="HI192" s="2"/>
      <c r="HJ192" s="2"/>
      <c r="HK192" s="2"/>
      <c r="HL192" s="2"/>
      <c r="HM192" s="2" t="s">
        <v>3</v>
      </c>
      <c r="HN192" s="2" t="s">
        <v>43</v>
      </c>
      <c r="HO192" s="2" t="s">
        <v>44</v>
      </c>
      <c r="HP192" s="2" t="s">
        <v>41</v>
      </c>
      <c r="HQ192" s="2" t="s">
        <v>41</v>
      </c>
      <c r="HR192" s="2"/>
      <c r="HS192" s="2">
        <v>0</v>
      </c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>
        <v>0</v>
      </c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 x14ac:dyDescent="0.2">
      <c r="A193" s="2">
        <v>17</v>
      </c>
      <c r="B193" s="2">
        <v>1</v>
      </c>
      <c r="C193" s="2"/>
      <c r="D193" s="2"/>
      <c r="E193" s="2" t="s">
        <v>348</v>
      </c>
      <c r="F193" s="2" t="s">
        <v>270</v>
      </c>
      <c r="G193" s="2" t="s">
        <v>271</v>
      </c>
      <c r="H193" s="2" t="s">
        <v>125</v>
      </c>
      <c r="I193" s="2">
        <v>2</v>
      </c>
      <c r="J193" s="2">
        <v>0</v>
      </c>
      <c r="K193" s="2">
        <v>2</v>
      </c>
      <c r="L193" s="2"/>
      <c r="M193" s="2"/>
      <c r="N193" s="2"/>
      <c r="O193" s="2">
        <f t="shared" si="114"/>
        <v>360.5</v>
      </c>
      <c r="P193" s="2">
        <f>ROUND(CQ193*I193,2)</f>
        <v>360.5</v>
      </c>
      <c r="Q193" s="2">
        <f>ROUND(CR193*I193,2)</f>
        <v>0</v>
      </c>
      <c r="R193" s="2">
        <f>ROUND(CS193*I193,2)</f>
        <v>0</v>
      </c>
      <c r="S193" s="2">
        <f>ROUND(CT193*I193,2)</f>
        <v>0</v>
      </c>
      <c r="T193" s="2">
        <f t="shared" si="115"/>
        <v>0</v>
      </c>
      <c r="U193" s="2">
        <f>ROUND(CV193*I193,7)</f>
        <v>0</v>
      </c>
      <c r="V193" s="2">
        <f>ROUND(CW193*I193,7)</f>
        <v>0</v>
      </c>
      <c r="W193" s="2">
        <f t="shared" si="116"/>
        <v>0</v>
      </c>
      <c r="X193" s="2">
        <f t="shared" si="117"/>
        <v>0</v>
      </c>
      <c r="Y193" s="2">
        <f t="shared" si="118"/>
        <v>0</v>
      </c>
      <c r="Z193" s="2"/>
      <c r="AA193" s="2">
        <v>74014550</v>
      </c>
      <c r="AB193" s="2">
        <f t="shared" si="119"/>
        <v>243.58</v>
      </c>
      <c r="AC193" s="2">
        <f>ROUND((ES193),6)</f>
        <v>243.58</v>
      </c>
      <c r="AD193" s="2">
        <f>ROUND((((ET193)-(EU193))+AE193),6)</f>
        <v>0</v>
      </c>
      <c r="AE193" s="2">
        <f>ROUND((EU193),6)</f>
        <v>0</v>
      </c>
      <c r="AF193" s="2">
        <f>ROUND((EV193),6)</f>
        <v>0</v>
      </c>
      <c r="AG193" s="2">
        <f t="shared" si="120"/>
        <v>0</v>
      </c>
      <c r="AH193" s="2">
        <f>(EW193)</f>
        <v>0</v>
      </c>
      <c r="AI193" s="2">
        <f>(EX193)</f>
        <v>0</v>
      </c>
      <c r="AJ193" s="2">
        <f t="shared" si="121"/>
        <v>0</v>
      </c>
      <c r="AK193" s="2">
        <v>243.58</v>
      </c>
      <c r="AL193" s="2">
        <v>243.58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1</v>
      </c>
      <c r="AW193" s="2">
        <v>1</v>
      </c>
      <c r="AX193" s="2"/>
      <c r="AY193" s="2"/>
      <c r="AZ193" s="2">
        <v>1</v>
      </c>
      <c r="BA193" s="2">
        <v>1</v>
      </c>
      <c r="BB193" s="2">
        <v>1</v>
      </c>
      <c r="BC193" s="2">
        <v>0.74</v>
      </c>
      <c r="BD193" s="2" t="s">
        <v>3</v>
      </c>
      <c r="BE193" s="2" t="s">
        <v>3</v>
      </c>
      <c r="BF193" s="2" t="s">
        <v>3</v>
      </c>
      <c r="BG193" s="2" t="s">
        <v>3</v>
      </c>
      <c r="BH193" s="2">
        <v>3</v>
      </c>
      <c r="BI193" s="2">
        <v>1</v>
      </c>
      <c r="BJ193" s="2" t="s">
        <v>272</v>
      </c>
      <c r="BK193" s="2"/>
      <c r="BL193" s="2"/>
      <c r="BM193" s="2">
        <v>500001</v>
      </c>
      <c r="BN193" s="2">
        <v>0</v>
      </c>
      <c r="BO193" s="2" t="s">
        <v>270</v>
      </c>
      <c r="BP193" s="2">
        <v>1</v>
      </c>
      <c r="BQ193" s="2">
        <v>8</v>
      </c>
      <c r="BR193" s="2">
        <v>0</v>
      </c>
      <c r="BS193" s="2">
        <v>1</v>
      </c>
      <c r="BT193" s="2">
        <v>1</v>
      </c>
      <c r="BU193" s="2">
        <v>1</v>
      </c>
      <c r="BV193" s="2">
        <v>1</v>
      </c>
      <c r="BW193" s="2">
        <v>1</v>
      </c>
      <c r="BX193" s="2">
        <v>1</v>
      </c>
      <c r="BY193" s="2" t="s">
        <v>3</v>
      </c>
      <c r="BZ193" s="2">
        <v>0</v>
      </c>
      <c r="CA193" s="2">
        <v>0</v>
      </c>
      <c r="CB193" s="2" t="s">
        <v>3</v>
      </c>
      <c r="CC193" s="2"/>
      <c r="CD193" s="2"/>
      <c r="CE193" s="2">
        <v>0</v>
      </c>
      <c r="CF193" s="2">
        <v>0</v>
      </c>
      <c r="CG193" s="2">
        <v>0</v>
      </c>
      <c r="CH193" s="2"/>
      <c r="CI193" s="2"/>
      <c r="CJ193" s="2"/>
      <c r="CK193" s="2"/>
      <c r="CL193" s="2"/>
      <c r="CM193" s="2">
        <v>0</v>
      </c>
      <c r="CN193" s="2" t="s">
        <v>3</v>
      </c>
      <c r="CO193" s="2">
        <v>0</v>
      </c>
      <c r="CP193" s="2">
        <f t="shared" si="122"/>
        <v>360.5</v>
      </c>
      <c r="CQ193" s="2">
        <f>ROUND(AL193*BC193,2)</f>
        <v>180.25</v>
      </c>
      <c r="CR193" s="2">
        <f>ROUND(AM193*BB193,2)</f>
        <v>0</v>
      </c>
      <c r="CS193" s="2">
        <f>ROUND(AN193*BS193,2)</f>
        <v>0</v>
      </c>
      <c r="CT193" s="2">
        <f>ROUND(AO193*BA193,2)</f>
        <v>0</v>
      </c>
      <c r="CU193" s="2">
        <f t="shared" si="123"/>
        <v>0</v>
      </c>
      <c r="CV193" s="2">
        <f>AH193</f>
        <v>0</v>
      </c>
      <c r="CW193" s="2">
        <f>AI193</f>
        <v>0</v>
      </c>
      <c r="CX193" s="2">
        <f t="shared" si="124"/>
        <v>0</v>
      </c>
      <c r="CY193" s="2">
        <f>0</f>
        <v>0</v>
      </c>
      <c r="CZ193" s="2">
        <f>0</f>
        <v>0</v>
      </c>
      <c r="DA193" s="2"/>
      <c r="DB193" s="2"/>
      <c r="DC193" s="2" t="s">
        <v>3</v>
      </c>
      <c r="DD193" s="2" t="s">
        <v>3</v>
      </c>
      <c r="DE193" s="2" t="s">
        <v>3</v>
      </c>
      <c r="DF193" s="2" t="s">
        <v>3</v>
      </c>
      <c r="DG193" s="2" t="s">
        <v>3</v>
      </c>
      <c r="DH193" s="2" t="s">
        <v>3</v>
      </c>
      <c r="DI193" s="2" t="s">
        <v>3</v>
      </c>
      <c r="DJ193" s="2" t="s">
        <v>3</v>
      </c>
      <c r="DK193" s="2" t="s">
        <v>3</v>
      </c>
      <c r="DL193" s="2" t="s">
        <v>3</v>
      </c>
      <c r="DM193" s="2" t="s">
        <v>3</v>
      </c>
      <c r="DN193" s="2">
        <v>0</v>
      </c>
      <c r="DO193" s="2">
        <v>0</v>
      </c>
      <c r="DP193" s="2">
        <v>1</v>
      </c>
      <c r="DQ193" s="2">
        <v>1</v>
      </c>
      <c r="DR193" s="2"/>
      <c r="DS193" s="2"/>
      <c r="DT193" s="2"/>
      <c r="DU193" s="2">
        <v>1003</v>
      </c>
      <c r="DV193" s="2" t="s">
        <v>125</v>
      </c>
      <c r="DW193" s="2" t="s">
        <v>125</v>
      </c>
      <c r="DX193" s="2">
        <v>1</v>
      </c>
      <c r="DY193" s="2"/>
      <c r="DZ193" s="2" t="s">
        <v>3</v>
      </c>
      <c r="EA193" s="2" t="s">
        <v>3</v>
      </c>
      <c r="EB193" s="2" t="s">
        <v>3</v>
      </c>
      <c r="EC193" s="2" t="s">
        <v>3</v>
      </c>
      <c r="ED193" s="2"/>
      <c r="EE193" s="2">
        <v>72340530</v>
      </c>
      <c r="EF193" s="2">
        <v>8</v>
      </c>
      <c r="EG193" s="2" t="s">
        <v>50</v>
      </c>
      <c r="EH193" s="2">
        <v>0</v>
      </c>
      <c r="EI193" s="2" t="s">
        <v>3</v>
      </c>
      <c r="EJ193" s="2">
        <v>1</v>
      </c>
      <c r="EK193" s="2">
        <v>500001</v>
      </c>
      <c r="EL193" s="2" t="s">
        <v>51</v>
      </c>
      <c r="EM193" s="2" t="s">
        <v>52</v>
      </c>
      <c r="EN193" s="2"/>
      <c r="EO193" s="2" t="s">
        <v>3</v>
      </c>
      <c r="EP193" s="2"/>
      <c r="EQ193" s="2">
        <v>0</v>
      </c>
      <c r="ER193" s="2">
        <v>243.58</v>
      </c>
      <c r="ES193" s="2">
        <v>243.58</v>
      </c>
      <c r="ET193" s="2">
        <v>0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>
        <v>0</v>
      </c>
      <c r="FR193" s="2">
        <v>0</v>
      </c>
      <c r="FS193" s="2">
        <v>0</v>
      </c>
      <c r="FT193" s="2"/>
      <c r="FU193" s="2"/>
      <c r="FV193" s="2"/>
      <c r="FW193" s="2"/>
      <c r="FX193" s="2">
        <v>0</v>
      </c>
      <c r="FY193" s="2">
        <v>0</v>
      </c>
      <c r="FZ193" s="2"/>
      <c r="GA193" s="2" t="s">
        <v>3</v>
      </c>
      <c r="GB193" s="2"/>
      <c r="GC193" s="2"/>
      <c r="GD193" s="2">
        <v>1</v>
      </c>
      <c r="GE193" s="2"/>
      <c r="GF193" s="2">
        <v>-435574786</v>
      </c>
      <c r="GG193" s="2">
        <v>2</v>
      </c>
      <c r="GH193" s="2">
        <v>1</v>
      </c>
      <c r="GI193" s="2">
        <v>2</v>
      </c>
      <c r="GJ193" s="2">
        <v>0</v>
      </c>
      <c r="GK193" s="2">
        <v>0</v>
      </c>
      <c r="GL193" s="2">
        <f t="shared" si="127"/>
        <v>0</v>
      </c>
      <c r="GM193" s="2">
        <f t="shared" si="128"/>
        <v>360.5</v>
      </c>
      <c r="GN193" s="2">
        <f t="shared" si="129"/>
        <v>360.5</v>
      </c>
      <c r="GO193" s="2">
        <f t="shared" si="130"/>
        <v>0</v>
      </c>
      <c r="GP193" s="2">
        <f t="shared" si="131"/>
        <v>0</v>
      </c>
      <c r="GQ193" s="2"/>
      <c r="GR193" s="2">
        <v>0</v>
      </c>
      <c r="GS193" s="2">
        <v>3</v>
      </c>
      <c r="GT193" s="2">
        <v>0</v>
      </c>
      <c r="GU193" s="2" t="s">
        <v>3</v>
      </c>
      <c r="GV193" s="2">
        <f t="shared" si="132"/>
        <v>0</v>
      </c>
      <c r="GW193" s="2">
        <v>1</v>
      </c>
      <c r="GX193" s="2">
        <f t="shared" si="133"/>
        <v>0</v>
      </c>
      <c r="GY193" s="2"/>
      <c r="GZ193" s="2"/>
      <c r="HA193" s="2">
        <v>0</v>
      </c>
      <c r="HB193" s="2">
        <v>0</v>
      </c>
      <c r="HC193" s="2">
        <f t="shared" si="134"/>
        <v>0</v>
      </c>
      <c r="HD193" s="2"/>
      <c r="HE193" s="2" t="s">
        <v>3</v>
      </c>
      <c r="HF193" s="2" t="s">
        <v>3</v>
      </c>
      <c r="HG193" s="2"/>
      <c r="HH193" s="2"/>
      <c r="HI193" s="2"/>
      <c r="HJ193" s="2"/>
      <c r="HK193" s="2"/>
      <c r="HL193" s="2"/>
      <c r="HM193" s="2" t="s">
        <v>3</v>
      </c>
      <c r="HN193" s="2" t="s">
        <v>3</v>
      </c>
      <c r="HO193" s="2" t="s">
        <v>3</v>
      </c>
      <c r="HP193" s="2" t="s">
        <v>3</v>
      </c>
      <c r="HQ193" s="2" t="s">
        <v>3</v>
      </c>
      <c r="HR193" s="2"/>
      <c r="HS193" s="2">
        <v>0</v>
      </c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>
        <v>0</v>
      </c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 x14ac:dyDescent="0.2">
      <c r="A194" s="2">
        <v>17</v>
      </c>
      <c r="B194" s="2">
        <v>1</v>
      </c>
      <c r="C194" s="2">
        <f>ROW(SmtRes!A214)</f>
        <v>214</v>
      </c>
      <c r="D194" s="2">
        <f>ROW(EtalonRes!A236)</f>
        <v>236</v>
      </c>
      <c r="E194" s="2" t="s">
        <v>349</v>
      </c>
      <c r="F194" s="2" t="s">
        <v>137</v>
      </c>
      <c r="G194" s="2" t="s">
        <v>138</v>
      </c>
      <c r="H194" s="2" t="s">
        <v>119</v>
      </c>
      <c r="I194" s="2">
        <f>ROUND(1/100,7)</f>
        <v>0.01</v>
      </c>
      <c r="J194" s="2">
        <v>0</v>
      </c>
      <c r="K194" s="2">
        <f>ROUND(1/100,7)</f>
        <v>0.01</v>
      </c>
      <c r="L194" s="2"/>
      <c r="M194" s="2"/>
      <c r="N194" s="2"/>
      <c r="O194" s="2">
        <f t="shared" si="114"/>
        <v>29.66</v>
      </c>
      <c r="P194" s="2">
        <f>SUMIF(SmtRes!AQ210:'SmtRes'!AQ214,"=1",SmtRes!DF210:'SmtRes'!DF214)</f>
        <v>0</v>
      </c>
      <c r="Q194" s="2">
        <f>SUMIF(SmtRes!AQ210:'SmtRes'!AQ214,"=1",SmtRes!DG210:'SmtRes'!DG214)</f>
        <v>4.4600000000000009</v>
      </c>
      <c r="R194" s="2">
        <f>SUMIF(SmtRes!AQ210:'SmtRes'!AQ214,"=1",SmtRes!DH210:'SmtRes'!DH214)</f>
        <v>0</v>
      </c>
      <c r="S194" s="2">
        <f>SUMIF(SmtRes!AQ210:'SmtRes'!AQ214,"=1",SmtRes!DI210:'SmtRes'!DI214)</f>
        <v>25.2</v>
      </c>
      <c r="T194" s="2">
        <f t="shared" si="115"/>
        <v>0</v>
      </c>
      <c r="U194" s="2">
        <f>SUMIF(SmtRes!AQ210:'SmtRes'!AQ214,"=1",SmtRes!CV210:'SmtRes'!CV214)</f>
        <v>5.7000000000000002E-2</v>
      </c>
      <c r="V194" s="2">
        <f>SUMIF(SmtRes!AQ210:'SmtRes'!AQ214,"=1",SmtRes!CW210:'SmtRes'!CW214)</f>
        <v>0</v>
      </c>
      <c r="W194" s="2">
        <f t="shared" si="116"/>
        <v>0</v>
      </c>
      <c r="X194" s="2">
        <f t="shared" si="117"/>
        <v>29.48</v>
      </c>
      <c r="Y194" s="2">
        <f t="shared" si="118"/>
        <v>18.649999999999999</v>
      </c>
      <c r="Z194" s="2"/>
      <c r="AA194" s="2">
        <v>74014550</v>
      </c>
      <c r="AB194" s="2">
        <f t="shared" si="119"/>
        <v>2844.0744</v>
      </c>
      <c r="AC194" s="2">
        <f>ROUND((0),6)</f>
        <v>0</v>
      </c>
      <c r="AD194" s="2">
        <f>ROUND((((SUM(SmtRes!BR210:'SmtRes'!BR214))-(0))+AE194),6)</f>
        <v>324.33240000000001</v>
      </c>
      <c r="AE194" s="2">
        <f>ROUND((0),6)</f>
        <v>0</v>
      </c>
      <c r="AF194" s="2">
        <f>ROUND((SUM(SmtRes!BT210:'SmtRes'!BT214)),6)</f>
        <v>2519.7420000000002</v>
      </c>
      <c r="AG194" s="2">
        <f t="shared" si="120"/>
        <v>0</v>
      </c>
      <c r="AH194" s="2">
        <f>(SUM(SmtRes!BU210:'SmtRes'!BU214))</f>
        <v>5.7</v>
      </c>
      <c r="AI194" s="2">
        <f>(0)</f>
        <v>0</v>
      </c>
      <c r="AJ194" s="2">
        <f t="shared" si="121"/>
        <v>0</v>
      </c>
      <c r="AK194" s="2">
        <v>2844.0744000000004</v>
      </c>
      <c r="AL194" s="2">
        <v>0</v>
      </c>
      <c r="AM194" s="2">
        <v>324.33240000000001</v>
      </c>
      <c r="AN194" s="2">
        <v>0</v>
      </c>
      <c r="AO194" s="2">
        <v>2519.7420000000002</v>
      </c>
      <c r="AP194" s="2">
        <v>0</v>
      </c>
      <c r="AQ194" s="2">
        <v>5.7</v>
      </c>
      <c r="AR194" s="2">
        <v>0</v>
      </c>
      <c r="AS194" s="2">
        <v>0</v>
      </c>
      <c r="AT194" s="2">
        <v>117</v>
      </c>
      <c r="AU194" s="2">
        <v>74</v>
      </c>
      <c r="AV194" s="2">
        <v>1</v>
      </c>
      <c r="AW194" s="2">
        <v>1</v>
      </c>
      <c r="AX194" s="2"/>
      <c r="AY194" s="2"/>
      <c r="AZ194" s="2">
        <v>1</v>
      </c>
      <c r="BA194" s="2">
        <v>1</v>
      </c>
      <c r="BB194" s="2">
        <v>1</v>
      </c>
      <c r="BC194" s="2">
        <v>1</v>
      </c>
      <c r="BD194" s="2" t="s">
        <v>3</v>
      </c>
      <c r="BE194" s="2" t="s">
        <v>3</v>
      </c>
      <c r="BF194" s="2" t="s">
        <v>3</v>
      </c>
      <c r="BG194" s="2" t="s">
        <v>3</v>
      </c>
      <c r="BH194" s="2">
        <v>0</v>
      </c>
      <c r="BI194" s="2">
        <v>1</v>
      </c>
      <c r="BJ194" s="2" t="s">
        <v>139</v>
      </c>
      <c r="BK194" s="2"/>
      <c r="BL194" s="2"/>
      <c r="BM194" s="2">
        <v>24001</v>
      </c>
      <c r="BN194" s="2">
        <v>0</v>
      </c>
      <c r="BO194" s="2" t="s">
        <v>3</v>
      </c>
      <c r="BP194" s="2">
        <v>0</v>
      </c>
      <c r="BQ194" s="2">
        <v>2</v>
      </c>
      <c r="BR194" s="2">
        <v>0</v>
      </c>
      <c r="BS194" s="2">
        <v>1</v>
      </c>
      <c r="BT194" s="2">
        <v>1</v>
      </c>
      <c r="BU194" s="2">
        <v>1</v>
      </c>
      <c r="BV194" s="2">
        <v>1</v>
      </c>
      <c r="BW194" s="2">
        <v>1</v>
      </c>
      <c r="BX194" s="2">
        <v>1</v>
      </c>
      <c r="BY194" s="2" t="s">
        <v>3</v>
      </c>
      <c r="BZ194" s="2">
        <v>117</v>
      </c>
      <c r="CA194" s="2">
        <v>74</v>
      </c>
      <c r="CB194" s="2" t="s">
        <v>3</v>
      </c>
      <c r="CC194" s="2"/>
      <c r="CD194" s="2"/>
      <c r="CE194" s="2">
        <v>0</v>
      </c>
      <c r="CF194" s="2">
        <v>0</v>
      </c>
      <c r="CG194" s="2">
        <v>0</v>
      </c>
      <c r="CH194" s="2"/>
      <c r="CI194" s="2"/>
      <c r="CJ194" s="2"/>
      <c r="CK194" s="2"/>
      <c r="CL194" s="2"/>
      <c r="CM194" s="2">
        <v>0</v>
      </c>
      <c r="CN194" s="2" t="s">
        <v>3</v>
      </c>
      <c r="CO194" s="2">
        <v>0</v>
      </c>
      <c r="CP194" s="2">
        <f t="shared" si="122"/>
        <v>29.66</v>
      </c>
      <c r="CQ194" s="2">
        <f>SUMIF(SmtRes!AQ210:'SmtRes'!AQ214,"=1",SmtRes!AA210:'SmtRes'!AA214)</f>
        <v>0</v>
      </c>
      <c r="CR194" s="2">
        <f>SUMIF(SmtRes!AQ210:'SmtRes'!AQ214,"=1",SmtRes!AB210:'SmtRes'!AB214)</f>
        <v>518.44000000000005</v>
      </c>
      <c r="CS194" s="2">
        <f>SUMIF(SmtRes!AQ210:'SmtRes'!AQ214,"=1",SmtRes!AC210:'SmtRes'!AC214)</f>
        <v>0</v>
      </c>
      <c r="CT194" s="2">
        <f>SUMIF(SmtRes!AQ210:'SmtRes'!AQ214,"=1",SmtRes!AD210:'SmtRes'!AD214)</f>
        <v>442.06</v>
      </c>
      <c r="CU194" s="2">
        <f t="shared" si="123"/>
        <v>0</v>
      </c>
      <c r="CV194" s="2">
        <f>SUMIF(SmtRes!AQ210:'SmtRes'!AQ214,"=1",SmtRes!BU210:'SmtRes'!BU214)</f>
        <v>5.7</v>
      </c>
      <c r="CW194" s="2">
        <f>SUMIF(SmtRes!AQ210:'SmtRes'!AQ214,"=1",SmtRes!BV210:'SmtRes'!BV214)</f>
        <v>0</v>
      </c>
      <c r="CX194" s="2">
        <f t="shared" si="124"/>
        <v>0</v>
      </c>
      <c r="CY194" s="2">
        <f>(((S194+R194)*AT194)/100)</f>
        <v>29.484000000000002</v>
      </c>
      <c r="CZ194" s="2">
        <f>(((S194+R194)*AU194)/100)</f>
        <v>18.648</v>
      </c>
      <c r="DA194" s="2"/>
      <c r="DB194" s="2"/>
      <c r="DC194" s="2" t="s">
        <v>3</v>
      </c>
      <c r="DD194" s="2" t="s">
        <v>3</v>
      </c>
      <c r="DE194" s="2" t="s">
        <v>3</v>
      </c>
      <c r="DF194" s="2" t="s">
        <v>3</v>
      </c>
      <c r="DG194" s="2" t="s">
        <v>3</v>
      </c>
      <c r="DH194" s="2" t="s">
        <v>3</v>
      </c>
      <c r="DI194" s="2" t="s">
        <v>3</v>
      </c>
      <c r="DJ194" s="2" t="s">
        <v>3</v>
      </c>
      <c r="DK194" s="2" t="s">
        <v>3</v>
      </c>
      <c r="DL194" s="2" t="s">
        <v>3</v>
      </c>
      <c r="DM194" s="2" t="s">
        <v>3</v>
      </c>
      <c r="DN194" s="2">
        <v>0</v>
      </c>
      <c r="DO194" s="2">
        <v>0</v>
      </c>
      <c r="DP194" s="2">
        <v>1</v>
      </c>
      <c r="DQ194" s="2">
        <v>1</v>
      </c>
      <c r="DR194" s="2"/>
      <c r="DS194" s="2"/>
      <c r="DT194" s="2"/>
      <c r="DU194" s="2">
        <v>1003</v>
      </c>
      <c r="DV194" s="2" t="s">
        <v>119</v>
      </c>
      <c r="DW194" s="2" t="s">
        <v>119</v>
      </c>
      <c r="DX194" s="2">
        <v>100</v>
      </c>
      <c r="DY194" s="2"/>
      <c r="DZ194" s="2" t="s">
        <v>3</v>
      </c>
      <c r="EA194" s="2" t="s">
        <v>3</v>
      </c>
      <c r="EB194" s="2" t="s">
        <v>3</v>
      </c>
      <c r="EC194" s="2" t="s">
        <v>3</v>
      </c>
      <c r="ED194" s="2"/>
      <c r="EE194" s="2">
        <v>72340632</v>
      </c>
      <c r="EF194" s="2">
        <v>2</v>
      </c>
      <c r="EG194" s="2" t="s">
        <v>23</v>
      </c>
      <c r="EH194" s="2">
        <v>18</v>
      </c>
      <c r="EI194" s="2" t="s">
        <v>41</v>
      </c>
      <c r="EJ194" s="2">
        <v>1</v>
      </c>
      <c r="EK194" s="2">
        <v>24001</v>
      </c>
      <c r="EL194" s="2" t="s">
        <v>41</v>
      </c>
      <c r="EM194" s="2" t="s">
        <v>121</v>
      </c>
      <c r="EN194" s="2"/>
      <c r="EO194" s="2" t="s">
        <v>3</v>
      </c>
      <c r="EP194" s="2"/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5.7</v>
      </c>
      <c r="EX194" s="2">
        <v>0</v>
      </c>
      <c r="EY194" s="2">
        <v>0</v>
      </c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>
        <v>0</v>
      </c>
      <c r="FR194" s="2">
        <v>0</v>
      </c>
      <c r="FS194" s="2">
        <v>0</v>
      </c>
      <c r="FT194" s="2"/>
      <c r="FU194" s="2"/>
      <c r="FV194" s="2"/>
      <c r="FW194" s="2"/>
      <c r="FX194" s="2">
        <v>117</v>
      </c>
      <c r="FY194" s="2">
        <v>74</v>
      </c>
      <c r="FZ194" s="2"/>
      <c r="GA194" s="2" t="s">
        <v>3</v>
      </c>
      <c r="GB194" s="2"/>
      <c r="GC194" s="2"/>
      <c r="GD194" s="2">
        <v>1</v>
      </c>
      <c r="GE194" s="2"/>
      <c r="GF194" s="2">
        <v>-705619183</v>
      </c>
      <c r="GG194" s="2">
        <v>2</v>
      </c>
      <c r="GH194" s="2">
        <v>1</v>
      </c>
      <c r="GI194" s="2">
        <v>-2</v>
      </c>
      <c r="GJ194" s="2">
        <v>0</v>
      </c>
      <c r="GK194" s="2">
        <v>0</v>
      </c>
      <c r="GL194" s="2">
        <f t="shared" si="127"/>
        <v>0</v>
      </c>
      <c r="GM194" s="2">
        <f t="shared" si="128"/>
        <v>77.790000000000006</v>
      </c>
      <c r="GN194" s="2">
        <f t="shared" si="129"/>
        <v>77.790000000000006</v>
      </c>
      <c r="GO194" s="2">
        <f t="shared" si="130"/>
        <v>0</v>
      </c>
      <c r="GP194" s="2">
        <f t="shared" si="131"/>
        <v>0</v>
      </c>
      <c r="GQ194" s="2"/>
      <c r="GR194" s="2">
        <v>0</v>
      </c>
      <c r="GS194" s="2">
        <v>3</v>
      </c>
      <c r="GT194" s="2">
        <v>0</v>
      </c>
      <c r="GU194" s="2" t="s">
        <v>3</v>
      </c>
      <c r="GV194" s="2">
        <f t="shared" si="132"/>
        <v>0</v>
      </c>
      <c r="GW194" s="2">
        <v>1</v>
      </c>
      <c r="GX194" s="2">
        <f t="shared" si="133"/>
        <v>0</v>
      </c>
      <c r="GY194" s="2"/>
      <c r="GZ194" s="2"/>
      <c r="HA194" s="2">
        <v>0</v>
      </c>
      <c r="HB194" s="2">
        <v>0</v>
      </c>
      <c r="HC194" s="2">
        <f t="shared" si="134"/>
        <v>0</v>
      </c>
      <c r="HD194" s="2"/>
      <c r="HE194" s="2" t="s">
        <v>3</v>
      </c>
      <c r="HF194" s="2" t="s">
        <v>3</v>
      </c>
      <c r="HG194" s="2"/>
      <c r="HH194" s="2"/>
      <c r="HI194" s="2"/>
      <c r="HJ194" s="2"/>
      <c r="HK194" s="2"/>
      <c r="HL194" s="2"/>
      <c r="HM194" s="2" t="s">
        <v>3</v>
      </c>
      <c r="HN194" s="2" t="s">
        <v>43</v>
      </c>
      <c r="HO194" s="2" t="s">
        <v>44</v>
      </c>
      <c r="HP194" s="2" t="s">
        <v>41</v>
      </c>
      <c r="HQ194" s="2" t="s">
        <v>41</v>
      </c>
      <c r="HR194" s="2"/>
      <c r="HS194" s="2">
        <v>0</v>
      </c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>
        <v>0</v>
      </c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x14ac:dyDescent="0.2">
      <c r="A195" s="2">
        <v>18</v>
      </c>
      <c r="B195" s="2">
        <v>1</v>
      </c>
      <c r="C195" s="2">
        <v>213</v>
      </c>
      <c r="D195" s="2"/>
      <c r="E195" s="2" t="s">
        <v>350</v>
      </c>
      <c r="F195" s="2" t="s">
        <v>351</v>
      </c>
      <c r="G195" s="2" t="s">
        <v>352</v>
      </c>
      <c r="H195" s="2" t="s">
        <v>125</v>
      </c>
      <c r="I195" s="2">
        <f>I194*J195</f>
        <v>1</v>
      </c>
      <c r="J195" s="2">
        <v>100</v>
      </c>
      <c r="K195" s="2">
        <v>100</v>
      </c>
      <c r="L195" s="2"/>
      <c r="M195" s="2"/>
      <c r="N195" s="2"/>
      <c r="O195" s="2">
        <f t="shared" si="114"/>
        <v>57.83</v>
      </c>
      <c r="P195" s="2">
        <f>ROUND(CQ195*I195,2)</f>
        <v>57.83</v>
      </c>
      <c r="Q195" s="2">
        <f>ROUND(CR195*I195,2)</f>
        <v>0</v>
      </c>
      <c r="R195" s="2">
        <f>ROUND(CS195*I195,2)</f>
        <v>0</v>
      </c>
      <c r="S195" s="2">
        <f>ROUND(CT195*I195,2)</f>
        <v>0</v>
      </c>
      <c r="T195" s="2">
        <f t="shared" si="115"/>
        <v>0</v>
      </c>
      <c r="U195" s="2">
        <f>ROUND(CV195*I195,7)</f>
        <v>0</v>
      </c>
      <c r="V195" s="2">
        <f>ROUND(CW195*I195,7)</f>
        <v>0</v>
      </c>
      <c r="W195" s="2">
        <f t="shared" si="116"/>
        <v>0</v>
      </c>
      <c r="X195" s="2">
        <f t="shared" si="117"/>
        <v>0</v>
      </c>
      <c r="Y195" s="2">
        <f t="shared" si="118"/>
        <v>0</v>
      </c>
      <c r="Z195" s="2"/>
      <c r="AA195" s="2">
        <v>74014550</v>
      </c>
      <c r="AB195" s="2">
        <f t="shared" si="119"/>
        <v>56.15</v>
      </c>
      <c r="AC195" s="2">
        <f>ROUND((ES195),6)</f>
        <v>56.15</v>
      </c>
      <c r="AD195" s="2">
        <f>ROUND((((ET195)-(EU195))+AE195),6)</f>
        <v>0</v>
      </c>
      <c r="AE195" s="2">
        <f>ROUND((EU195),6)</f>
        <v>0</v>
      </c>
      <c r="AF195" s="2">
        <f>ROUND((EV195),6)</f>
        <v>0</v>
      </c>
      <c r="AG195" s="2">
        <f t="shared" si="120"/>
        <v>0</v>
      </c>
      <c r="AH195" s="2">
        <f>(EW195)</f>
        <v>0</v>
      </c>
      <c r="AI195" s="2">
        <f>(EX195)</f>
        <v>0</v>
      </c>
      <c r="AJ195" s="2">
        <f t="shared" si="121"/>
        <v>0</v>
      </c>
      <c r="AK195" s="2">
        <v>56.15</v>
      </c>
      <c r="AL195" s="2">
        <v>56.15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117</v>
      </c>
      <c r="AU195" s="2">
        <v>74</v>
      </c>
      <c r="AV195" s="2">
        <v>1</v>
      </c>
      <c r="AW195" s="2">
        <v>1</v>
      </c>
      <c r="AX195" s="2"/>
      <c r="AY195" s="2"/>
      <c r="AZ195" s="2">
        <v>1</v>
      </c>
      <c r="BA195" s="2">
        <v>1</v>
      </c>
      <c r="BB195" s="2">
        <v>1</v>
      </c>
      <c r="BC195" s="2">
        <v>1.03</v>
      </c>
      <c r="BD195" s="2" t="s">
        <v>3</v>
      </c>
      <c r="BE195" s="2" t="s">
        <v>3</v>
      </c>
      <c r="BF195" s="2" t="s">
        <v>3</v>
      </c>
      <c r="BG195" s="2" t="s">
        <v>3</v>
      </c>
      <c r="BH195" s="2">
        <v>3</v>
      </c>
      <c r="BI195" s="2">
        <v>1</v>
      </c>
      <c r="BJ195" s="2" t="s">
        <v>353</v>
      </c>
      <c r="BK195" s="2"/>
      <c r="BL195" s="2"/>
      <c r="BM195" s="2">
        <v>24001</v>
      </c>
      <c r="BN195" s="2">
        <v>0</v>
      </c>
      <c r="BO195" s="2" t="s">
        <v>351</v>
      </c>
      <c r="BP195" s="2">
        <v>1</v>
      </c>
      <c r="BQ195" s="2">
        <v>2</v>
      </c>
      <c r="BR195" s="2">
        <v>0</v>
      </c>
      <c r="BS195" s="2">
        <v>1</v>
      </c>
      <c r="BT195" s="2">
        <v>1</v>
      </c>
      <c r="BU195" s="2">
        <v>1</v>
      </c>
      <c r="BV195" s="2">
        <v>1</v>
      </c>
      <c r="BW195" s="2">
        <v>1</v>
      </c>
      <c r="BX195" s="2">
        <v>1</v>
      </c>
      <c r="BY195" s="2" t="s">
        <v>3</v>
      </c>
      <c r="BZ195" s="2">
        <v>117</v>
      </c>
      <c r="CA195" s="2">
        <v>74</v>
      </c>
      <c r="CB195" s="2" t="s">
        <v>3</v>
      </c>
      <c r="CC195" s="2"/>
      <c r="CD195" s="2"/>
      <c r="CE195" s="2">
        <v>0</v>
      </c>
      <c r="CF195" s="2">
        <v>0</v>
      </c>
      <c r="CG195" s="2">
        <v>0</v>
      </c>
      <c r="CH195" s="2"/>
      <c r="CI195" s="2"/>
      <c r="CJ195" s="2"/>
      <c r="CK195" s="2"/>
      <c r="CL195" s="2"/>
      <c r="CM195" s="2">
        <v>0</v>
      </c>
      <c r="CN195" s="2" t="s">
        <v>3</v>
      </c>
      <c r="CO195" s="2">
        <v>0</v>
      </c>
      <c r="CP195" s="2">
        <f t="shared" si="122"/>
        <v>57.83</v>
      </c>
      <c r="CQ195" s="2">
        <f>ROUND(AL195*BC195,2)</f>
        <v>57.83</v>
      </c>
      <c r="CR195" s="2">
        <f>ROUND(AM195*BB195,2)</f>
        <v>0</v>
      </c>
      <c r="CS195" s="2">
        <f>ROUND(AN195*BS195,2)</f>
        <v>0</v>
      </c>
      <c r="CT195" s="2">
        <f>ROUND(AO195*BA195,2)</f>
        <v>0</v>
      </c>
      <c r="CU195" s="2">
        <f t="shared" si="123"/>
        <v>0</v>
      </c>
      <c r="CV195" s="2">
        <f>AH195</f>
        <v>0</v>
      </c>
      <c r="CW195" s="2">
        <f>AI195</f>
        <v>0</v>
      </c>
      <c r="CX195" s="2">
        <f t="shared" si="124"/>
        <v>0</v>
      </c>
      <c r="CY195" s="2">
        <f>(((S195+R195)*AT195)/100)</f>
        <v>0</v>
      </c>
      <c r="CZ195" s="2">
        <f>(((S195+R195)*AU195)/100)</f>
        <v>0</v>
      </c>
      <c r="DA195" s="2"/>
      <c r="DB195" s="2"/>
      <c r="DC195" s="2" t="s">
        <v>3</v>
      </c>
      <c r="DD195" s="2" t="s">
        <v>3</v>
      </c>
      <c r="DE195" s="2" t="s">
        <v>3</v>
      </c>
      <c r="DF195" s="2" t="s">
        <v>3</v>
      </c>
      <c r="DG195" s="2" t="s">
        <v>3</v>
      </c>
      <c r="DH195" s="2" t="s">
        <v>3</v>
      </c>
      <c r="DI195" s="2" t="s">
        <v>3</v>
      </c>
      <c r="DJ195" s="2" t="s">
        <v>3</v>
      </c>
      <c r="DK195" s="2" t="s">
        <v>3</v>
      </c>
      <c r="DL195" s="2" t="s">
        <v>3</v>
      </c>
      <c r="DM195" s="2" t="s">
        <v>3</v>
      </c>
      <c r="DN195" s="2">
        <v>0</v>
      </c>
      <c r="DO195" s="2">
        <v>0</v>
      </c>
      <c r="DP195" s="2">
        <v>1</v>
      </c>
      <c r="DQ195" s="2">
        <v>1</v>
      </c>
      <c r="DR195" s="2"/>
      <c r="DS195" s="2"/>
      <c r="DT195" s="2"/>
      <c r="DU195" s="2">
        <v>1003</v>
      </c>
      <c r="DV195" s="2" t="s">
        <v>125</v>
      </c>
      <c r="DW195" s="2" t="s">
        <v>125</v>
      </c>
      <c r="DX195" s="2">
        <v>1</v>
      </c>
      <c r="DY195" s="2"/>
      <c r="DZ195" s="2" t="s">
        <v>3</v>
      </c>
      <c r="EA195" s="2" t="s">
        <v>3</v>
      </c>
      <c r="EB195" s="2" t="s">
        <v>3</v>
      </c>
      <c r="EC195" s="2" t="s">
        <v>3</v>
      </c>
      <c r="ED195" s="2"/>
      <c r="EE195" s="2">
        <v>72340632</v>
      </c>
      <c r="EF195" s="2">
        <v>2</v>
      </c>
      <c r="EG195" s="2" t="s">
        <v>23</v>
      </c>
      <c r="EH195" s="2">
        <v>18</v>
      </c>
      <c r="EI195" s="2" t="s">
        <v>41</v>
      </c>
      <c r="EJ195" s="2">
        <v>1</v>
      </c>
      <c r="EK195" s="2">
        <v>24001</v>
      </c>
      <c r="EL195" s="2" t="s">
        <v>41</v>
      </c>
      <c r="EM195" s="2" t="s">
        <v>121</v>
      </c>
      <c r="EN195" s="2"/>
      <c r="EO195" s="2" t="s">
        <v>3</v>
      </c>
      <c r="EP195" s="2"/>
      <c r="EQ195" s="2">
        <v>0</v>
      </c>
      <c r="ER195" s="2">
        <v>56.15</v>
      </c>
      <c r="ES195" s="2">
        <v>56.15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>
        <v>0</v>
      </c>
      <c r="FR195" s="2">
        <v>0</v>
      </c>
      <c r="FS195" s="2">
        <v>0</v>
      </c>
      <c r="FT195" s="2"/>
      <c r="FU195" s="2"/>
      <c r="FV195" s="2"/>
      <c r="FW195" s="2"/>
      <c r="FX195" s="2">
        <v>117</v>
      </c>
      <c r="FY195" s="2">
        <v>74</v>
      </c>
      <c r="FZ195" s="2"/>
      <c r="GA195" s="2" t="s">
        <v>3</v>
      </c>
      <c r="GB195" s="2"/>
      <c r="GC195" s="2"/>
      <c r="GD195" s="2">
        <v>1</v>
      </c>
      <c r="GE195" s="2"/>
      <c r="GF195" s="2">
        <v>54765842</v>
      </c>
      <c r="GG195" s="2">
        <v>2</v>
      </c>
      <c r="GH195" s="2">
        <v>1</v>
      </c>
      <c r="GI195" s="2">
        <v>2</v>
      </c>
      <c r="GJ195" s="2">
        <v>0</v>
      </c>
      <c r="GK195" s="2">
        <v>0</v>
      </c>
      <c r="GL195" s="2">
        <f t="shared" si="127"/>
        <v>0</v>
      </c>
      <c r="GM195" s="2">
        <f t="shared" si="128"/>
        <v>57.83</v>
      </c>
      <c r="GN195" s="2">
        <f t="shared" si="129"/>
        <v>57.83</v>
      </c>
      <c r="GO195" s="2">
        <f t="shared" si="130"/>
        <v>0</v>
      </c>
      <c r="GP195" s="2">
        <f t="shared" si="131"/>
        <v>0</v>
      </c>
      <c r="GQ195" s="2"/>
      <c r="GR195" s="2">
        <v>0</v>
      </c>
      <c r="GS195" s="2">
        <v>3</v>
      </c>
      <c r="GT195" s="2">
        <v>0</v>
      </c>
      <c r="GU195" s="2" t="s">
        <v>3</v>
      </c>
      <c r="GV195" s="2">
        <f t="shared" si="132"/>
        <v>0</v>
      </c>
      <c r="GW195" s="2">
        <v>1</v>
      </c>
      <c r="GX195" s="2">
        <f t="shared" si="133"/>
        <v>0</v>
      </c>
      <c r="GY195" s="2"/>
      <c r="GZ195" s="2"/>
      <c r="HA195" s="2">
        <v>0</v>
      </c>
      <c r="HB195" s="2">
        <v>0</v>
      </c>
      <c r="HC195" s="2">
        <f t="shared" si="134"/>
        <v>0</v>
      </c>
      <c r="HD195" s="2"/>
      <c r="HE195" s="2" t="s">
        <v>3</v>
      </c>
      <c r="HF195" s="2" t="s">
        <v>3</v>
      </c>
      <c r="HG195" s="2"/>
      <c r="HH195" s="2"/>
      <c r="HI195" s="2"/>
      <c r="HJ195" s="2"/>
      <c r="HK195" s="2"/>
      <c r="HL195" s="2"/>
      <c r="HM195" s="2" t="s">
        <v>3</v>
      </c>
      <c r="HN195" s="2" t="s">
        <v>43</v>
      </c>
      <c r="HO195" s="2" t="s">
        <v>44</v>
      </c>
      <c r="HP195" s="2" t="s">
        <v>41</v>
      </c>
      <c r="HQ195" s="2" t="s">
        <v>41</v>
      </c>
      <c r="HR195" s="2"/>
      <c r="HS195" s="2">
        <v>0</v>
      </c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>
        <v>0</v>
      </c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x14ac:dyDescent="0.2">
      <c r="A196" s="2">
        <v>17</v>
      </c>
      <c r="B196" s="2">
        <v>1</v>
      </c>
      <c r="C196" s="2">
        <f>ROW(SmtRes!A228)</f>
        <v>228</v>
      </c>
      <c r="D196" s="2">
        <f>ROW(EtalonRes!A250)</f>
        <v>250</v>
      </c>
      <c r="E196" s="2" t="s">
        <v>354</v>
      </c>
      <c r="F196" s="2" t="s">
        <v>355</v>
      </c>
      <c r="G196" s="2" t="s">
        <v>356</v>
      </c>
      <c r="H196" s="2" t="s">
        <v>260</v>
      </c>
      <c r="I196" s="2">
        <v>1E-3</v>
      </c>
      <c r="J196" s="2">
        <v>0</v>
      </c>
      <c r="K196" s="2">
        <v>1E-3</v>
      </c>
      <c r="L196" s="2"/>
      <c r="M196" s="2"/>
      <c r="N196" s="2"/>
      <c r="O196" s="2">
        <f t="shared" si="114"/>
        <v>258.94</v>
      </c>
      <c r="P196" s="2">
        <f>SUMIF(SmtRes!AQ215:'SmtRes'!AQ228,"=1",SmtRes!DF215:'SmtRes'!DF228)</f>
        <v>10.049999999999999</v>
      </c>
      <c r="Q196" s="2">
        <f>SUMIF(SmtRes!AQ215:'SmtRes'!AQ228,"=1",SmtRes!DG215:'SmtRes'!DG228)</f>
        <v>68</v>
      </c>
      <c r="R196" s="2">
        <f>SUMIF(SmtRes!AQ215:'SmtRes'!AQ228,"=1",SmtRes!DH215:'SmtRes'!DH228)</f>
        <v>33.200000000000003</v>
      </c>
      <c r="S196" s="2">
        <f>SUMIF(SmtRes!AQ215:'SmtRes'!AQ228,"=1",SmtRes!DI215:'SmtRes'!DI228)</f>
        <v>147.69</v>
      </c>
      <c r="T196" s="2">
        <f t="shared" si="115"/>
        <v>0</v>
      </c>
      <c r="U196" s="2">
        <f>SUMIF(SmtRes!AQ215:'SmtRes'!AQ228,"=1",SmtRes!CV215:'SmtRes'!CV228)</f>
        <v>0.36779000000000001</v>
      </c>
      <c r="V196" s="2">
        <f>SUMIF(SmtRes!AQ215:'SmtRes'!AQ228,"=1",SmtRes!CW215:'SmtRes'!CW228)</f>
        <v>7.8070000000000001E-2</v>
      </c>
      <c r="W196" s="2">
        <f t="shared" si="116"/>
        <v>0</v>
      </c>
      <c r="X196" s="2">
        <f t="shared" si="117"/>
        <v>211.64</v>
      </c>
      <c r="Y196" s="2">
        <f t="shared" si="118"/>
        <v>133.86000000000001</v>
      </c>
      <c r="Z196" s="2"/>
      <c r="AA196" s="2">
        <v>74014550</v>
      </c>
      <c r="AB196" s="2">
        <f t="shared" si="119"/>
        <v>211569.7844</v>
      </c>
      <c r="AC196" s="2">
        <f>ROUND((SUM(SmtRes!BQ215:'SmtRes'!BQ228)),6)</f>
        <v>9889.9236000000001</v>
      </c>
      <c r="AD196" s="2">
        <f>ROUND((((SUM(SmtRes!BR215:'SmtRes'!BR228))-(SUM(SmtRes!BS215:'SmtRes'!BS228)))+AE196),6)</f>
        <v>53992.673999999999</v>
      </c>
      <c r="AE196" s="2">
        <f>ROUND((SUM(SmtRes!BS215:'SmtRes'!BS228)),6)</f>
        <v>33203.221799999999</v>
      </c>
      <c r="AF196" s="2">
        <f>ROUND((SUM(SmtRes!BT215:'SmtRes'!BT228)),6)</f>
        <v>147687.1868</v>
      </c>
      <c r="AG196" s="2">
        <f t="shared" si="120"/>
        <v>0</v>
      </c>
      <c r="AH196" s="2">
        <f>(SUM(SmtRes!BU215:'SmtRes'!BU228))</f>
        <v>367.79</v>
      </c>
      <c r="AI196" s="2">
        <f>(SUM(SmtRes!BV215:'SmtRes'!BV228))</f>
        <v>78.069999999999993</v>
      </c>
      <c r="AJ196" s="2">
        <f t="shared" si="121"/>
        <v>0</v>
      </c>
      <c r="AK196" s="2">
        <v>244773.00620000003</v>
      </c>
      <c r="AL196" s="2">
        <v>9889.9236000000001</v>
      </c>
      <c r="AM196" s="2">
        <v>53992.673999999999</v>
      </c>
      <c r="AN196" s="2">
        <v>33203.221799999999</v>
      </c>
      <c r="AO196" s="2">
        <v>147687.18680000002</v>
      </c>
      <c r="AP196" s="2">
        <v>0</v>
      </c>
      <c r="AQ196" s="2">
        <v>367.79</v>
      </c>
      <c r="AR196" s="2">
        <v>78.069999999999993</v>
      </c>
      <c r="AS196" s="2">
        <v>0</v>
      </c>
      <c r="AT196" s="2">
        <v>117</v>
      </c>
      <c r="AU196" s="2">
        <v>74</v>
      </c>
      <c r="AV196" s="2">
        <v>1</v>
      </c>
      <c r="AW196" s="2">
        <v>1</v>
      </c>
      <c r="AX196" s="2"/>
      <c r="AY196" s="2"/>
      <c r="AZ196" s="2">
        <v>1</v>
      </c>
      <c r="BA196" s="2">
        <v>1</v>
      </c>
      <c r="BB196" s="2">
        <v>1</v>
      </c>
      <c r="BC196" s="2">
        <v>1</v>
      </c>
      <c r="BD196" s="2" t="s">
        <v>3</v>
      </c>
      <c r="BE196" s="2" t="s">
        <v>3</v>
      </c>
      <c r="BF196" s="2" t="s">
        <v>3</v>
      </c>
      <c r="BG196" s="2" t="s">
        <v>3</v>
      </c>
      <c r="BH196" s="2">
        <v>0</v>
      </c>
      <c r="BI196" s="2">
        <v>1</v>
      </c>
      <c r="BJ196" s="2" t="s">
        <v>357</v>
      </c>
      <c r="BK196" s="2"/>
      <c r="BL196" s="2"/>
      <c r="BM196" s="2">
        <v>22001</v>
      </c>
      <c r="BN196" s="2">
        <v>0</v>
      </c>
      <c r="BO196" s="2" t="s">
        <v>3</v>
      </c>
      <c r="BP196" s="2">
        <v>0</v>
      </c>
      <c r="BQ196" s="2">
        <v>2</v>
      </c>
      <c r="BR196" s="2">
        <v>0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 t="s">
        <v>3</v>
      </c>
      <c r="BZ196" s="2">
        <v>117</v>
      </c>
      <c r="CA196" s="2">
        <v>74</v>
      </c>
      <c r="CB196" s="2" t="s">
        <v>3</v>
      </c>
      <c r="CC196" s="2"/>
      <c r="CD196" s="2"/>
      <c r="CE196" s="2">
        <v>0</v>
      </c>
      <c r="CF196" s="2">
        <v>0</v>
      </c>
      <c r="CG196" s="2">
        <v>0</v>
      </c>
      <c r="CH196" s="2"/>
      <c r="CI196" s="2"/>
      <c r="CJ196" s="2"/>
      <c r="CK196" s="2"/>
      <c r="CL196" s="2"/>
      <c r="CM196" s="2">
        <v>0</v>
      </c>
      <c r="CN196" s="2" t="s">
        <v>3</v>
      </c>
      <c r="CO196" s="2">
        <v>0</v>
      </c>
      <c r="CP196" s="2">
        <f t="shared" si="122"/>
        <v>258.94</v>
      </c>
      <c r="CQ196" s="2">
        <f>SUMIF(SmtRes!AQ215:'SmtRes'!AQ228,"=1",SmtRes!AA215:'SmtRes'!AA228)</f>
        <v>17257.149999999998</v>
      </c>
      <c r="CR196" s="2">
        <f>SUMIF(SmtRes!AQ215:'SmtRes'!AQ228,"=1",SmtRes!AB215:'SmtRes'!AB228)</f>
        <v>2569.7799999999997</v>
      </c>
      <c r="CS196" s="2">
        <f>SUMIF(SmtRes!AQ215:'SmtRes'!AQ228,"=1",SmtRes!AC215:'SmtRes'!AC228)</f>
        <v>1260.46</v>
      </c>
      <c r="CT196" s="2">
        <f>SUMIF(SmtRes!AQ215:'SmtRes'!AQ228,"=1",SmtRes!AD215:'SmtRes'!AD228)</f>
        <v>2078.87</v>
      </c>
      <c r="CU196" s="2">
        <f t="shared" si="123"/>
        <v>0</v>
      </c>
      <c r="CV196" s="2">
        <f>SUMIF(SmtRes!AQ215:'SmtRes'!AQ228,"=1",SmtRes!BU215:'SmtRes'!BU228)</f>
        <v>367.79</v>
      </c>
      <c r="CW196" s="2">
        <f>SUMIF(SmtRes!AQ215:'SmtRes'!AQ228,"=1",SmtRes!BV215:'SmtRes'!BV228)</f>
        <v>78.069999999999993</v>
      </c>
      <c r="CX196" s="2">
        <f t="shared" si="124"/>
        <v>0</v>
      </c>
      <c r="CY196" s="2">
        <f>(((S196+R196)*AT196)/100)</f>
        <v>211.64129999999997</v>
      </c>
      <c r="CZ196" s="2">
        <f>(((S196+R196)*AU196)/100)</f>
        <v>133.8586</v>
      </c>
      <c r="DA196" s="2"/>
      <c r="DB196" s="2"/>
      <c r="DC196" s="2" t="s">
        <v>3</v>
      </c>
      <c r="DD196" s="2" t="s">
        <v>3</v>
      </c>
      <c r="DE196" s="2" t="s">
        <v>3</v>
      </c>
      <c r="DF196" s="2" t="s">
        <v>3</v>
      </c>
      <c r="DG196" s="2" t="s">
        <v>3</v>
      </c>
      <c r="DH196" s="2" t="s">
        <v>3</v>
      </c>
      <c r="DI196" s="2" t="s">
        <v>3</v>
      </c>
      <c r="DJ196" s="2" t="s">
        <v>3</v>
      </c>
      <c r="DK196" s="2" t="s">
        <v>3</v>
      </c>
      <c r="DL196" s="2" t="s">
        <v>3</v>
      </c>
      <c r="DM196" s="2" t="s">
        <v>3</v>
      </c>
      <c r="DN196" s="2">
        <v>0</v>
      </c>
      <c r="DO196" s="2">
        <v>0</v>
      </c>
      <c r="DP196" s="2">
        <v>1</v>
      </c>
      <c r="DQ196" s="2">
        <v>1</v>
      </c>
      <c r="DR196" s="2"/>
      <c r="DS196" s="2"/>
      <c r="DT196" s="2"/>
      <c r="DU196" s="2">
        <v>1003</v>
      </c>
      <c r="DV196" s="2" t="s">
        <v>260</v>
      </c>
      <c r="DW196" s="2" t="s">
        <v>260</v>
      </c>
      <c r="DX196" s="2">
        <v>1000</v>
      </c>
      <c r="DY196" s="2"/>
      <c r="DZ196" s="2" t="s">
        <v>3</v>
      </c>
      <c r="EA196" s="2" t="s">
        <v>3</v>
      </c>
      <c r="EB196" s="2" t="s">
        <v>3</v>
      </c>
      <c r="EC196" s="2" t="s">
        <v>3</v>
      </c>
      <c r="ED196" s="2"/>
      <c r="EE196" s="2">
        <v>72340630</v>
      </c>
      <c r="EF196" s="2">
        <v>2</v>
      </c>
      <c r="EG196" s="2" t="s">
        <v>23</v>
      </c>
      <c r="EH196" s="2">
        <v>18</v>
      </c>
      <c r="EI196" s="2" t="s">
        <v>41</v>
      </c>
      <c r="EJ196" s="2">
        <v>1</v>
      </c>
      <c r="EK196" s="2">
        <v>22001</v>
      </c>
      <c r="EL196" s="2" t="s">
        <v>41</v>
      </c>
      <c r="EM196" s="2" t="s">
        <v>277</v>
      </c>
      <c r="EN196" s="2"/>
      <c r="EO196" s="2" t="s">
        <v>3</v>
      </c>
      <c r="EP196" s="2"/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367.79</v>
      </c>
      <c r="EX196" s="2">
        <v>78.069999999999993</v>
      </c>
      <c r="EY196" s="2">
        <v>0</v>
      </c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>
        <v>0</v>
      </c>
      <c r="FR196" s="2">
        <v>0</v>
      </c>
      <c r="FS196" s="2">
        <v>0</v>
      </c>
      <c r="FT196" s="2"/>
      <c r="FU196" s="2"/>
      <c r="FV196" s="2"/>
      <c r="FW196" s="2"/>
      <c r="FX196" s="2">
        <v>117</v>
      </c>
      <c r="FY196" s="2">
        <v>74</v>
      </c>
      <c r="FZ196" s="2"/>
      <c r="GA196" s="2" t="s">
        <v>3</v>
      </c>
      <c r="GB196" s="2"/>
      <c r="GC196" s="2"/>
      <c r="GD196" s="2">
        <v>1</v>
      </c>
      <c r="GE196" s="2"/>
      <c r="GF196" s="2">
        <v>489444374</v>
      </c>
      <c r="GG196" s="2">
        <v>2</v>
      </c>
      <c r="GH196" s="2">
        <v>1</v>
      </c>
      <c r="GI196" s="2">
        <v>-2</v>
      </c>
      <c r="GJ196" s="2">
        <v>0</v>
      </c>
      <c r="GK196" s="2">
        <v>0</v>
      </c>
      <c r="GL196" s="2">
        <f t="shared" si="127"/>
        <v>0</v>
      </c>
      <c r="GM196" s="2">
        <f t="shared" si="128"/>
        <v>604.44000000000005</v>
      </c>
      <c r="GN196" s="2">
        <f t="shared" si="129"/>
        <v>604.44000000000005</v>
      </c>
      <c r="GO196" s="2">
        <f t="shared" si="130"/>
        <v>0</v>
      </c>
      <c r="GP196" s="2">
        <f t="shared" si="131"/>
        <v>0</v>
      </c>
      <c r="GQ196" s="2"/>
      <c r="GR196" s="2">
        <v>0</v>
      </c>
      <c r="GS196" s="2">
        <v>3</v>
      </c>
      <c r="GT196" s="2">
        <v>0</v>
      </c>
      <c r="GU196" s="2" t="s">
        <v>3</v>
      </c>
      <c r="GV196" s="2">
        <f t="shared" si="132"/>
        <v>0</v>
      </c>
      <c r="GW196" s="2">
        <v>1</v>
      </c>
      <c r="GX196" s="2">
        <f t="shared" si="133"/>
        <v>0</v>
      </c>
      <c r="GY196" s="2"/>
      <c r="GZ196" s="2"/>
      <c r="HA196" s="2">
        <v>0</v>
      </c>
      <c r="HB196" s="2">
        <v>0</v>
      </c>
      <c r="HC196" s="2">
        <f t="shared" si="134"/>
        <v>0</v>
      </c>
      <c r="HD196" s="2"/>
      <c r="HE196" s="2" t="s">
        <v>3</v>
      </c>
      <c r="HF196" s="2" t="s">
        <v>3</v>
      </c>
      <c r="HG196" s="2"/>
      <c r="HH196" s="2"/>
      <c r="HI196" s="2"/>
      <c r="HJ196" s="2"/>
      <c r="HK196" s="2"/>
      <c r="HL196" s="2"/>
      <c r="HM196" s="2" t="s">
        <v>3</v>
      </c>
      <c r="HN196" s="2" t="s">
        <v>43</v>
      </c>
      <c r="HO196" s="2" t="s">
        <v>44</v>
      </c>
      <c r="HP196" s="2" t="s">
        <v>41</v>
      </c>
      <c r="HQ196" s="2" t="s">
        <v>41</v>
      </c>
      <c r="HR196" s="2"/>
      <c r="HS196" s="2">
        <v>0</v>
      </c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>
        <v>0</v>
      </c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x14ac:dyDescent="0.2">
      <c r="A197" s="2">
        <v>18</v>
      </c>
      <c r="B197" s="2">
        <v>1</v>
      </c>
      <c r="C197" s="2">
        <v>228</v>
      </c>
      <c r="D197" s="2"/>
      <c r="E197" s="2" t="s">
        <v>358</v>
      </c>
      <c r="F197" s="2" t="s">
        <v>359</v>
      </c>
      <c r="G197" s="2" t="s">
        <v>360</v>
      </c>
      <c r="H197" s="2" t="s">
        <v>125</v>
      </c>
      <c r="I197" s="2">
        <f>I196*J197</f>
        <v>1</v>
      </c>
      <c r="J197" s="2">
        <v>1000</v>
      </c>
      <c r="K197" s="2">
        <v>1000</v>
      </c>
      <c r="L197" s="2"/>
      <c r="M197" s="2"/>
      <c r="N197" s="2"/>
      <c r="O197" s="2">
        <f t="shared" si="114"/>
        <v>405.32</v>
      </c>
      <c r="P197" s="2">
        <f>ROUND(CQ197*I197,2)</f>
        <v>405.32</v>
      </c>
      <c r="Q197" s="2">
        <f>ROUND(CR197*I197,2)</f>
        <v>0</v>
      </c>
      <c r="R197" s="2">
        <f>ROUND(CS197*I197,2)</f>
        <v>0</v>
      </c>
      <c r="S197" s="2">
        <f>ROUND(CT197*I197,2)</f>
        <v>0</v>
      </c>
      <c r="T197" s="2">
        <f t="shared" si="115"/>
        <v>0</v>
      </c>
      <c r="U197" s="2">
        <f>ROUND(CV197*I197,7)</f>
        <v>0</v>
      </c>
      <c r="V197" s="2">
        <f>ROUND(CW197*I197,7)</f>
        <v>0</v>
      </c>
      <c r="W197" s="2">
        <f t="shared" si="116"/>
        <v>0</v>
      </c>
      <c r="X197" s="2">
        <f t="shared" si="117"/>
        <v>0</v>
      </c>
      <c r="Y197" s="2">
        <f t="shared" si="118"/>
        <v>0</v>
      </c>
      <c r="Z197" s="2"/>
      <c r="AA197" s="2">
        <v>74014550</v>
      </c>
      <c r="AB197" s="2">
        <f t="shared" si="119"/>
        <v>460.59</v>
      </c>
      <c r="AC197" s="2">
        <f>ROUND((ES197),6)</f>
        <v>460.59</v>
      </c>
      <c r="AD197" s="2">
        <f>ROUND((((ET197)-(EU197))+AE197),6)</f>
        <v>0</v>
      </c>
      <c r="AE197" s="2">
        <f>ROUND((EU197),6)</f>
        <v>0</v>
      </c>
      <c r="AF197" s="2">
        <f>ROUND((EV197),6)</f>
        <v>0</v>
      </c>
      <c r="AG197" s="2">
        <f t="shared" si="120"/>
        <v>0</v>
      </c>
      <c r="AH197" s="2">
        <f>(EW197)</f>
        <v>0</v>
      </c>
      <c r="AI197" s="2">
        <f>(EX197)</f>
        <v>0</v>
      </c>
      <c r="AJ197" s="2">
        <f t="shared" si="121"/>
        <v>0</v>
      </c>
      <c r="AK197" s="2">
        <v>460.59</v>
      </c>
      <c r="AL197" s="2">
        <v>460.59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117</v>
      </c>
      <c r="AU197" s="2">
        <v>74</v>
      </c>
      <c r="AV197" s="2">
        <v>1</v>
      </c>
      <c r="AW197" s="2">
        <v>1</v>
      </c>
      <c r="AX197" s="2"/>
      <c r="AY197" s="2"/>
      <c r="AZ197" s="2">
        <v>1</v>
      </c>
      <c r="BA197" s="2">
        <v>1</v>
      </c>
      <c r="BB197" s="2">
        <v>1</v>
      </c>
      <c r="BC197" s="2">
        <v>0.88</v>
      </c>
      <c r="BD197" s="2" t="s">
        <v>3</v>
      </c>
      <c r="BE197" s="2" t="s">
        <v>3</v>
      </c>
      <c r="BF197" s="2" t="s">
        <v>3</v>
      </c>
      <c r="BG197" s="2" t="s">
        <v>3</v>
      </c>
      <c r="BH197" s="2">
        <v>3</v>
      </c>
      <c r="BI197" s="2">
        <v>1</v>
      </c>
      <c r="BJ197" s="2" t="s">
        <v>361</v>
      </c>
      <c r="BK197" s="2"/>
      <c r="BL197" s="2"/>
      <c r="BM197" s="2">
        <v>22001</v>
      </c>
      <c r="BN197" s="2">
        <v>0</v>
      </c>
      <c r="BO197" s="2" t="s">
        <v>359</v>
      </c>
      <c r="BP197" s="2">
        <v>1</v>
      </c>
      <c r="BQ197" s="2">
        <v>2</v>
      </c>
      <c r="BR197" s="2">
        <v>0</v>
      </c>
      <c r="BS197" s="2">
        <v>1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 t="s">
        <v>3</v>
      </c>
      <c r="BZ197" s="2">
        <v>117</v>
      </c>
      <c r="CA197" s="2">
        <v>74</v>
      </c>
      <c r="CB197" s="2" t="s">
        <v>3</v>
      </c>
      <c r="CC197" s="2"/>
      <c r="CD197" s="2"/>
      <c r="CE197" s="2">
        <v>0</v>
      </c>
      <c r="CF197" s="2">
        <v>0</v>
      </c>
      <c r="CG197" s="2">
        <v>0</v>
      </c>
      <c r="CH197" s="2"/>
      <c r="CI197" s="2"/>
      <c r="CJ197" s="2"/>
      <c r="CK197" s="2"/>
      <c r="CL197" s="2"/>
      <c r="CM197" s="2">
        <v>0</v>
      </c>
      <c r="CN197" s="2" t="s">
        <v>3</v>
      </c>
      <c r="CO197" s="2">
        <v>0</v>
      </c>
      <c r="CP197" s="2">
        <f t="shared" si="122"/>
        <v>405.32</v>
      </c>
      <c r="CQ197" s="2">
        <f>ROUND(AL197*BC197,2)</f>
        <v>405.32</v>
      </c>
      <c r="CR197" s="2">
        <f>ROUND(AM197*BB197,2)</f>
        <v>0</v>
      </c>
      <c r="CS197" s="2">
        <f>ROUND(AN197*BS197,2)</f>
        <v>0</v>
      </c>
      <c r="CT197" s="2">
        <f>ROUND(AO197*BA197,2)</f>
        <v>0</v>
      </c>
      <c r="CU197" s="2">
        <f t="shared" si="123"/>
        <v>0</v>
      </c>
      <c r="CV197" s="2">
        <f>AH197</f>
        <v>0</v>
      </c>
      <c r="CW197" s="2">
        <f>AI197</f>
        <v>0</v>
      </c>
      <c r="CX197" s="2">
        <f t="shared" si="124"/>
        <v>0</v>
      </c>
      <c r="CY197" s="2">
        <f>(((S197+R197)*AT197)/100)</f>
        <v>0</v>
      </c>
      <c r="CZ197" s="2">
        <f>(((S197+R197)*AU197)/100)</f>
        <v>0</v>
      </c>
      <c r="DA197" s="2"/>
      <c r="DB197" s="2"/>
      <c r="DC197" s="2" t="s">
        <v>3</v>
      </c>
      <c r="DD197" s="2" t="s">
        <v>3</v>
      </c>
      <c r="DE197" s="2" t="s">
        <v>3</v>
      </c>
      <c r="DF197" s="2" t="s">
        <v>3</v>
      </c>
      <c r="DG197" s="2" t="s">
        <v>3</v>
      </c>
      <c r="DH197" s="2" t="s">
        <v>3</v>
      </c>
      <c r="DI197" s="2" t="s">
        <v>3</v>
      </c>
      <c r="DJ197" s="2" t="s">
        <v>3</v>
      </c>
      <c r="DK197" s="2" t="s">
        <v>3</v>
      </c>
      <c r="DL197" s="2" t="s">
        <v>3</v>
      </c>
      <c r="DM197" s="2" t="s">
        <v>3</v>
      </c>
      <c r="DN197" s="2">
        <v>0</v>
      </c>
      <c r="DO197" s="2">
        <v>0</v>
      </c>
      <c r="DP197" s="2">
        <v>1</v>
      </c>
      <c r="DQ197" s="2">
        <v>1</v>
      </c>
      <c r="DR197" s="2"/>
      <c r="DS197" s="2"/>
      <c r="DT197" s="2"/>
      <c r="DU197" s="2">
        <v>1003</v>
      </c>
      <c r="DV197" s="2" t="s">
        <v>125</v>
      </c>
      <c r="DW197" s="2" t="s">
        <v>125</v>
      </c>
      <c r="DX197" s="2">
        <v>1</v>
      </c>
      <c r="DY197" s="2"/>
      <c r="DZ197" s="2" t="s">
        <v>3</v>
      </c>
      <c r="EA197" s="2" t="s">
        <v>3</v>
      </c>
      <c r="EB197" s="2" t="s">
        <v>3</v>
      </c>
      <c r="EC197" s="2" t="s">
        <v>3</v>
      </c>
      <c r="ED197" s="2"/>
      <c r="EE197" s="2">
        <v>72340630</v>
      </c>
      <c r="EF197" s="2">
        <v>2</v>
      </c>
      <c r="EG197" s="2" t="s">
        <v>23</v>
      </c>
      <c r="EH197" s="2">
        <v>18</v>
      </c>
      <c r="EI197" s="2" t="s">
        <v>41</v>
      </c>
      <c r="EJ197" s="2">
        <v>1</v>
      </c>
      <c r="EK197" s="2">
        <v>22001</v>
      </c>
      <c r="EL197" s="2" t="s">
        <v>41</v>
      </c>
      <c r="EM197" s="2" t="s">
        <v>277</v>
      </c>
      <c r="EN197" s="2"/>
      <c r="EO197" s="2" t="s">
        <v>3</v>
      </c>
      <c r="EP197" s="2"/>
      <c r="EQ197" s="2">
        <v>0</v>
      </c>
      <c r="ER197" s="2">
        <v>460.59</v>
      </c>
      <c r="ES197" s="2">
        <v>460.59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>
        <v>0</v>
      </c>
      <c r="FR197" s="2">
        <v>0</v>
      </c>
      <c r="FS197" s="2">
        <v>0</v>
      </c>
      <c r="FT197" s="2"/>
      <c r="FU197" s="2"/>
      <c r="FV197" s="2"/>
      <c r="FW197" s="2"/>
      <c r="FX197" s="2">
        <v>117</v>
      </c>
      <c r="FY197" s="2">
        <v>74</v>
      </c>
      <c r="FZ197" s="2"/>
      <c r="GA197" s="2" t="s">
        <v>3</v>
      </c>
      <c r="GB197" s="2"/>
      <c r="GC197" s="2"/>
      <c r="GD197" s="2">
        <v>1</v>
      </c>
      <c r="GE197" s="2"/>
      <c r="GF197" s="2">
        <v>341957667</v>
      </c>
      <c r="GG197" s="2">
        <v>2</v>
      </c>
      <c r="GH197" s="2">
        <v>1</v>
      </c>
      <c r="GI197" s="2">
        <v>2</v>
      </c>
      <c r="GJ197" s="2">
        <v>0</v>
      </c>
      <c r="GK197" s="2">
        <v>0</v>
      </c>
      <c r="GL197" s="2">
        <f t="shared" si="127"/>
        <v>0</v>
      </c>
      <c r="GM197" s="2">
        <f t="shared" si="128"/>
        <v>405.32</v>
      </c>
      <c r="GN197" s="2">
        <f t="shared" si="129"/>
        <v>405.32</v>
      </c>
      <c r="GO197" s="2">
        <f t="shared" si="130"/>
        <v>0</v>
      </c>
      <c r="GP197" s="2">
        <f t="shared" si="131"/>
        <v>0</v>
      </c>
      <c r="GQ197" s="2"/>
      <c r="GR197" s="2">
        <v>0</v>
      </c>
      <c r="GS197" s="2">
        <v>3</v>
      </c>
      <c r="GT197" s="2">
        <v>0</v>
      </c>
      <c r="GU197" s="2" t="s">
        <v>3</v>
      </c>
      <c r="GV197" s="2">
        <f t="shared" si="132"/>
        <v>0</v>
      </c>
      <c r="GW197" s="2">
        <v>1</v>
      </c>
      <c r="GX197" s="2">
        <f t="shared" si="133"/>
        <v>0</v>
      </c>
      <c r="GY197" s="2"/>
      <c r="GZ197" s="2"/>
      <c r="HA197" s="2">
        <v>0</v>
      </c>
      <c r="HB197" s="2">
        <v>0</v>
      </c>
      <c r="HC197" s="2">
        <f t="shared" si="134"/>
        <v>0</v>
      </c>
      <c r="HD197" s="2"/>
      <c r="HE197" s="2" t="s">
        <v>3</v>
      </c>
      <c r="HF197" s="2" t="s">
        <v>3</v>
      </c>
      <c r="HG197" s="2"/>
      <c r="HH197" s="2"/>
      <c r="HI197" s="2"/>
      <c r="HJ197" s="2"/>
      <c r="HK197" s="2"/>
      <c r="HL197" s="2"/>
      <c r="HM197" s="2" t="s">
        <v>3</v>
      </c>
      <c r="HN197" s="2" t="s">
        <v>43</v>
      </c>
      <c r="HO197" s="2" t="s">
        <v>44</v>
      </c>
      <c r="HP197" s="2" t="s">
        <v>41</v>
      </c>
      <c r="HQ197" s="2" t="s">
        <v>41</v>
      </c>
      <c r="HR197" s="2"/>
      <c r="HS197" s="2">
        <v>0</v>
      </c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>
        <v>0</v>
      </c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x14ac:dyDescent="0.2">
      <c r="A198" s="2">
        <v>17</v>
      </c>
      <c r="B198" s="2">
        <v>1</v>
      </c>
      <c r="C198" s="2">
        <f>ROW(SmtRes!A235)</f>
        <v>235</v>
      </c>
      <c r="D198" s="2">
        <f>ROW(EtalonRes!A259)</f>
        <v>259</v>
      </c>
      <c r="E198" s="2" t="s">
        <v>362</v>
      </c>
      <c r="F198" s="2" t="s">
        <v>363</v>
      </c>
      <c r="G198" s="2" t="s">
        <v>364</v>
      </c>
      <c r="H198" s="2" t="s">
        <v>130</v>
      </c>
      <c r="I198" s="2">
        <v>1</v>
      </c>
      <c r="J198" s="2">
        <v>0</v>
      </c>
      <c r="K198" s="2">
        <v>1</v>
      </c>
      <c r="L198" s="2"/>
      <c r="M198" s="2"/>
      <c r="N198" s="2"/>
      <c r="O198" s="2">
        <f t="shared" si="114"/>
        <v>184.45</v>
      </c>
      <c r="P198" s="2">
        <f>SUMIF(SmtRes!AQ229:'SmtRes'!AQ235,"=1",SmtRes!DF229:'SmtRes'!DF235)</f>
        <v>10.159999999999998</v>
      </c>
      <c r="Q198" s="2">
        <f>SUMIF(SmtRes!AQ229:'SmtRes'!AQ235,"=1",SmtRes!DG229:'SmtRes'!DG235)</f>
        <v>15.860000000000001</v>
      </c>
      <c r="R198" s="2">
        <f>SUMIF(SmtRes!AQ229:'SmtRes'!AQ235,"=1",SmtRes!DH229:'SmtRes'!DH235)</f>
        <v>0</v>
      </c>
      <c r="S198" s="2">
        <f>SUMIF(SmtRes!AQ229:'SmtRes'!AQ235,"=1",SmtRes!DI229:'SmtRes'!DI235)</f>
        <v>158.43</v>
      </c>
      <c r="T198" s="2">
        <f t="shared" si="115"/>
        <v>0</v>
      </c>
      <c r="U198" s="2">
        <f>SUMIF(SmtRes!AQ229:'SmtRes'!AQ235,"=1",SmtRes!CV229:'SmtRes'!CV235)</f>
        <v>0.39</v>
      </c>
      <c r="V198" s="2">
        <f>SUMIF(SmtRes!AQ229:'SmtRes'!AQ235,"=1",SmtRes!CW229:'SmtRes'!CW235)</f>
        <v>0</v>
      </c>
      <c r="W198" s="2">
        <f t="shared" si="116"/>
        <v>0</v>
      </c>
      <c r="X198" s="2">
        <f t="shared" si="117"/>
        <v>185.36</v>
      </c>
      <c r="Y198" s="2">
        <f t="shared" si="118"/>
        <v>117.24</v>
      </c>
      <c r="Z198" s="2"/>
      <c r="AA198" s="2">
        <v>74014550</v>
      </c>
      <c r="AB198" s="2">
        <f t="shared" si="119"/>
        <v>180.99166199999999</v>
      </c>
      <c r="AC198" s="2">
        <f>ROUND((SUM(SmtRes!BQ229:'SmtRes'!BQ235)),6)</f>
        <v>7.6927620000000001</v>
      </c>
      <c r="AD198" s="2">
        <f>ROUND((((SUM(SmtRes!BR229:'SmtRes'!BR235))-(0))+AE198),6)</f>
        <v>14.873100000000001</v>
      </c>
      <c r="AE198" s="2">
        <f>ROUND((0),6)</f>
        <v>0</v>
      </c>
      <c r="AF198" s="2">
        <f>ROUND((SUM(SmtRes!BT229:'SmtRes'!BT235)),6)</f>
        <v>158.42580000000001</v>
      </c>
      <c r="AG198" s="2">
        <f t="shared" si="120"/>
        <v>0</v>
      </c>
      <c r="AH198" s="2">
        <f>(SUM(SmtRes!BU229:'SmtRes'!BU235))</f>
        <v>0.39</v>
      </c>
      <c r="AI198" s="2">
        <f>(0)</f>
        <v>0</v>
      </c>
      <c r="AJ198" s="2">
        <f t="shared" si="121"/>
        <v>0</v>
      </c>
      <c r="AK198" s="2">
        <v>180.99166220000001</v>
      </c>
      <c r="AL198" s="2">
        <v>7.6927622000000007</v>
      </c>
      <c r="AM198" s="2">
        <v>14.873099999999999</v>
      </c>
      <c r="AN198" s="2">
        <v>0</v>
      </c>
      <c r="AO198" s="2">
        <v>158.42580000000001</v>
      </c>
      <c r="AP198" s="2">
        <v>0</v>
      </c>
      <c r="AQ198" s="2">
        <v>0.39</v>
      </c>
      <c r="AR198" s="2">
        <v>0</v>
      </c>
      <c r="AS198" s="2">
        <v>0</v>
      </c>
      <c r="AT198" s="2">
        <v>117</v>
      </c>
      <c r="AU198" s="2">
        <v>74</v>
      </c>
      <c r="AV198" s="2">
        <v>1</v>
      </c>
      <c r="AW198" s="2">
        <v>1</v>
      </c>
      <c r="AX198" s="2"/>
      <c r="AY198" s="2"/>
      <c r="AZ198" s="2">
        <v>1</v>
      </c>
      <c r="BA198" s="2">
        <v>1</v>
      </c>
      <c r="BB198" s="2">
        <v>1</v>
      </c>
      <c r="BC198" s="2">
        <v>1</v>
      </c>
      <c r="BD198" s="2" t="s">
        <v>3</v>
      </c>
      <c r="BE198" s="2" t="s">
        <v>3</v>
      </c>
      <c r="BF198" s="2" t="s">
        <v>3</v>
      </c>
      <c r="BG198" s="2" t="s">
        <v>3</v>
      </c>
      <c r="BH198" s="2">
        <v>0</v>
      </c>
      <c r="BI198" s="2">
        <v>1</v>
      </c>
      <c r="BJ198" s="2" t="s">
        <v>365</v>
      </c>
      <c r="BK198" s="2"/>
      <c r="BL198" s="2"/>
      <c r="BM198" s="2">
        <v>24001</v>
      </c>
      <c r="BN198" s="2">
        <v>0</v>
      </c>
      <c r="BO198" s="2" t="s">
        <v>3</v>
      </c>
      <c r="BP198" s="2">
        <v>0</v>
      </c>
      <c r="BQ198" s="2">
        <v>2</v>
      </c>
      <c r="BR198" s="2">
        <v>0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 t="s">
        <v>3</v>
      </c>
      <c r="BZ198" s="2">
        <v>117</v>
      </c>
      <c r="CA198" s="2">
        <v>74</v>
      </c>
      <c r="CB198" s="2" t="s">
        <v>3</v>
      </c>
      <c r="CC198" s="2"/>
      <c r="CD198" s="2"/>
      <c r="CE198" s="2">
        <v>0</v>
      </c>
      <c r="CF198" s="2">
        <v>0</v>
      </c>
      <c r="CG198" s="2">
        <v>0</v>
      </c>
      <c r="CH198" s="2"/>
      <c r="CI198" s="2"/>
      <c r="CJ198" s="2"/>
      <c r="CK198" s="2"/>
      <c r="CL198" s="2"/>
      <c r="CM198" s="2">
        <v>0</v>
      </c>
      <c r="CN198" s="2" t="s">
        <v>3</v>
      </c>
      <c r="CO198" s="2">
        <v>0</v>
      </c>
      <c r="CP198" s="2">
        <f t="shared" si="122"/>
        <v>184.45000000000002</v>
      </c>
      <c r="CQ198" s="2">
        <f>SUMIF(SmtRes!AQ229:'SmtRes'!AQ235,"=1",SmtRes!AA229:'SmtRes'!AA235)</f>
        <v>102629.18000000001</v>
      </c>
      <c r="CR198" s="2">
        <f>SUMIF(SmtRes!AQ229:'SmtRes'!AQ235,"=1",SmtRes!AB229:'SmtRes'!AB235)</f>
        <v>125.46000000000001</v>
      </c>
      <c r="CS198" s="2">
        <f>SUMIF(SmtRes!AQ229:'SmtRes'!AQ235,"=1",SmtRes!AC229:'SmtRes'!AC235)</f>
        <v>0</v>
      </c>
      <c r="CT198" s="2">
        <f>SUMIF(SmtRes!AQ229:'SmtRes'!AQ235,"=1",SmtRes!AD229:'SmtRes'!AD235)</f>
        <v>406.22</v>
      </c>
      <c r="CU198" s="2">
        <f t="shared" si="123"/>
        <v>0</v>
      </c>
      <c r="CV198" s="2">
        <f>SUMIF(SmtRes!AQ229:'SmtRes'!AQ235,"=1",SmtRes!BU229:'SmtRes'!BU235)</f>
        <v>0.39</v>
      </c>
      <c r="CW198" s="2">
        <f>SUMIF(SmtRes!AQ229:'SmtRes'!AQ235,"=1",SmtRes!BV229:'SmtRes'!BV235)</f>
        <v>0</v>
      </c>
      <c r="CX198" s="2">
        <f t="shared" si="124"/>
        <v>0</v>
      </c>
      <c r="CY198" s="2">
        <f>(((S198+R198)*AT198)/100)</f>
        <v>185.3631</v>
      </c>
      <c r="CZ198" s="2">
        <f>(((S198+R198)*AU198)/100)</f>
        <v>117.23819999999999</v>
      </c>
      <c r="DA198" s="2"/>
      <c r="DB198" s="2"/>
      <c r="DC198" s="2" t="s">
        <v>3</v>
      </c>
      <c r="DD198" s="2" t="s">
        <v>3</v>
      </c>
      <c r="DE198" s="2" t="s">
        <v>3</v>
      </c>
      <c r="DF198" s="2" t="s">
        <v>3</v>
      </c>
      <c r="DG198" s="2" t="s">
        <v>3</v>
      </c>
      <c r="DH198" s="2" t="s">
        <v>3</v>
      </c>
      <c r="DI198" s="2" t="s">
        <v>3</v>
      </c>
      <c r="DJ198" s="2" t="s">
        <v>3</v>
      </c>
      <c r="DK198" s="2" t="s">
        <v>3</v>
      </c>
      <c r="DL198" s="2" t="s">
        <v>3</v>
      </c>
      <c r="DM198" s="2" t="s">
        <v>3</v>
      </c>
      <c r="DN198" s="2">
        <v>0</v>
      </c>
      <c r="DO198" s="2">
        <v>0</v>
      </c>
      <c r="DP198" s="2">
        <v>1</v>
      </c>
      <c r="DQ198" s="2">
        <v>1</v>
      </c>
      <c r="DR198" s="2"/>
      <c r="DS198" s="2"/>
      <c r="DT198" s="2"/>
      <c r="DU198" s="2">
        <v>1013</v>
      </c>
      <c r="DV198" s="2" t="s">
        <v>130</v>
      </c>
      <c r="DW198" s="2" t="s">
        <v>130</v>
      </c>
      <c r="DX198" s="2">
        <v>1</v>
      </c>
      <c r="DY198" s="2"/>
      <c r="DZ198" s="2" t="s">
        <v>3</v>
      </c>
      <c r="EA198" s="2" t="s">
        <v>3</v>
      </c>
      <c r="EB198" s="2" t="s">
        <v>3</v>
      </c>
      <c r="EC198" s="2" t="s">
        <v>3</v>
      </c>
      <c r="ED198" s="2"/>
      <c r="EE198" s="2">
        <v>72340632</v>
      </c>
      <c r="EF198" s="2">
        <v>2</v>
      </c>
      <c r="EG198" s="2" t="s">
        <v>23</v>
      </c>
      <c r="EH198" s="2">
        <v>18</v>
      </c>
      <c r="EI198" s="2" t="s">
        <v>41</v>
      </c>
      <c r="EJ198" s="2">
        <v>1</v>
      </c>
      <c r="EK198" s="2">
        <v>24001</v>
      </c>
      <c r="EL198" s="2" t="s">
        <v>41</v>
      </c>
      <c r="EM198" s="2" t="s">
        <v>121</v>
      </c>
      <c r="EN198" s="2"/>
      <c r="EO198" s="2" t="s">
        <v>3</v>
      </c>
      <c r="EP198" s="2"/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0.39</v>
      </c>
      <c r="EX198" s="2">
        <v>0</v>
      </c>
      <c r="EY198" s="2">
        <v>0</v>
      </c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>
        <v>0</v>
      </c>
      <c r="FR198" s="2">
        <v>0</v>
      </c>
      <c r="FS198" s="2">
        <v>0</v>
      </c>
      <c r="FT198" s="2"/>
      <c r="FU198" s="2"/>
      <c r="FV198" s="2"/>
      <c r="FW198" s="2"/>
      <c r="FX198" s="2">
        <v>117</v>
      </c>
      <c r="FY198" s="2">
        <v>74</v>
      </c>
      <c r="FZ198" s="2"/>
      <c r="GA198" s="2" t="s">
        <v>3</v>
      </c>
      <c r="GB198" s="2"/>
      <c r="GC198" s="2"/>
      <c r="GD198" s="2">
        <v>1</v>
      </c>
      <c r="GE198" s="2"/>
      <c r="GF198" s="2">
        <v>367453339</v>
      </c>
      <c r="GG198" s="2">
        <v>2</v>
      </c>
      <c r="GH198" s="2">
        <v>1</v>
      </c>
      <c r="GI198" s="2">
        <v>-2</v>
      </c>
      <c r="GJ198" s="2">
        <v>0</v>
      </c>
      <c r="GK198" s="2">
        <v>0</v>
      </c>
      <c r="GL198" s="2">
        <f t="shared" si="127"/>
        <v>0</v>
      </c>
      <c r="GM198" s="2">
        <f t="shared" si="128"/>
        <v>487.05</v>
      </c>
      <c r="GN198" s="2">
        <f t="shared" si="129"/>
        <v>487.05</v>
      </c>
      <c r="GO198" s="2">
        <f t="shared" si="130"/>
        <v>0</v>
      </c>
      <c r="GP198" s="2">
        <f t="shared" si="131"/>
        <v>0</v>
      </c>
      <c r="GQ198" s="2"/>
      <c r="GR198" s="2">
        <v>0</v>
      </c>
      <c r="GS198" s="2">
        <v>3</v>
      </c>
      <c r="GT198" s="2">
        <v>0</v>
      </c>
      <c r="GU198" s="2" t="s">
        <v>3</v>
      </c>
      <c r="GV198" s="2">
        <f t="shared" si="132"/>
        <v>0</v>
      </c>
      <c r="GW198" s="2">
        <v>1</v>
      </c>
      <c r="GX198" s="2">
        <f t="shared" si="133"/>
        <v>0</v>
      </c>
      <c r="GY198" s="2"/>
      <c r="GZ198" s="2"/>
      <c r="HA198" s="2">
        <v>0</v>
      </c>
      <c r="HB198" s="2">
        <v>0</v>
      </c>
      <c r="HC198" s="2">
        <f t="shared" si="134"/>
        <v>0</v>
      </c>
      <c r="HD198" s="2"/>
      <c r="HE198" s="2" t="s">
        <v>3</v>
      </c>
      <c r="HF198" s="2" t="s">
        <v>3</v>
      </c>
      <c r="HG198" s="2"/>
      <c r="HH198" s="2"/>
      <c r="HI198" s="2"/>
      <c r="HJ198" s="2"/>
      <c r="HK198" s="2"/>
      <c r="HL198" s="2"/>
      <c r="HM198" s="2" t="s">
        <v>3</v>
      </c>
      <c r="HN198" s="2" t="s">
        <v>43</v>
      </c>
      <c r="HO198" s="2" t="s">
        <v>44</v>
      </c>
      <c r="HP198" s="2" t="s">
        <v>41</v>
      </c>
      <c r="HQ198" s="2" t="s">
        <v>41</v>
      </c>
      <c r="HR198" s="2"/>
      <c r="HS198" s="2">
        <v>0</v>
      </c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>
        <v>0</v>
      </c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x14ac:dyDescent="0.2">
      <c r="A199" s="2">
        <v>17</v>
      </c>
      <c r="B199" s="2">
        <v>1</v>
      </c>
      <c r="C199" s="2"/>
      <c r="D199" s="2"/>
      <c r="E199" s="2" t="s">
        <v>366</v>
      </c>
      <c r="F199" s="2" t="s">
        <v>367</v>
      </c>
      <c r="G199" s="2" t="s">
        <v>368</v>
      </c>
      <c r="H199" s="2" t="s">
        <v>130</v>
      </c>
      <c r="I199" s="2">
        <v>1</v>
      </c>
      <c r="J199" s="2">
        <v>0</v>
      </c>
      <c r="K199" s="2">
        <v>1</v>
      </c>
      <c r="L199" s="2"/>
      <c r="M199" s="2"/>
      <c r="N199" s="2"/>
      <c r="O199" s="2">
        <f t="shared" si="114"/>
        <v>431.27</v>
      </c>
      <c r="P199" s="2">
        <f>ROUND(CQ199*I199,2)</f>
        <v>431.27</v>
      </c>
      <c r="Q199" s="2">
        <f>ROUND(CR199*I199,2)</f>
        <v>0</v>
      </c>
      <c r="R199" s="2">
        <f>ROUND(CS199*I199,2)</f>
        <v>0</v>
      </c>
      <c r="S199" s="2">
        <f>ROUND(CT199*I199,2)</f>
        <v>0</v>
      </c>
      <c r="T199" s="2">
        <f t="shared" si="115"/>
        <v>0</v>
      </c>
      <c r="U199" s="2">
        <f>ROUND(CV199*I199,7)</f>
        <v>0</v>
      </c>
      <c r="V199" s="2">
        <f>ROUND(CW199*I199,7)</f>
        <v>0</v>
      </c>
      <c r="W199" s="2">
        <f t="shared" si="116"/>
        <v>0</v>
      </c>
      <c r="X199" s="2">
        <f t="shared" si="117"/>
        <v>0</v>
      </c>
      <c r="Y199" s="2">
        <f t="shared" si="118"/>
        <v>0</v>
      </c>
      <c r="Z199" s="2"/>
      <c r="AA199" s="2">
        <v>74014550</v>
      </c>
      <c r="AB199" s="2">
        <f t="shared" si="119"/>
        <v>403.06</v>
      </c>
      <c r="AC199" s="2">
        <f>ROUND((ES199),6)</f>
        <v>403.06</v>
      </c>
      <c r="AD199" s="2">
        <f>ROUND((((ET199)-(EU199))+AE199),6)</f>
        <v>0</v>
      </c>
      <c r="AE199" s="2">
        <f>ROUND((EU199),6)</f>
        <v>0</v>
      </c>
      <c r="AF199" s="2">
        <f>ROUND((EV199),6)</f>
        <v>0</v>
      </c>
      <c r="AG199" s="2">
        <f t="shared" si="120"/>
        <v>0</v>
      </c>
      <c r="AH199" s="2">
        <f>(EW199)</f>
        <v>0</v>
      </c>
      <c r="AI199" s="2">
        <f>(EX199)</f>
        <v>0</v>
      </c>
      <c r="AJ199" s="2">
        <f t="shared" si="121"/>
        <v>0</v>
      </c>
      <c r="AK199" s="2">
        <v>403.06</v>
      </c>
      <c r="AL199" s="2">
        <v>403.06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1</v>
      </c>
      <c r="AW199" s="2">
        <v>1</v>
      </c>
      <c r="AX199" s="2"/>
      <c r="AY199" s="2"/>
      <c r="AZ199" s="2">
        <v>1</v>
      </c>
      <c r="BA199" s="2">
        <v>1</v>
      </c>
      <c r="BB199" s="2">
        <v>1</v>
      </c>
      <c r="BC199" s="2">
        <v>1.07</v>
      </c>
      <c r="BD199" s="2" t="s">
        <v>3</v>
      </c>
      <c r="BE199" s="2" t="s">
        <v>3</v>
      </c>
      <c r="BF199" s="2" t="s">
        <v>3</v>
      </c>
      <c r="BG199" s="2" t="s">
        <v>3</v>
      </c>
      <c r="BH199" s="2">
        <v>3</v>
      </c>
      <c r="BI199" s="2">
        <v>1</v>
      </c>
      <c r="BJ199" s="2" t="s">
        <v>369</v>
      </c>
      <c r="BK199" s="2"/>
      <c r="BL199" s="2"/>
      <c r="BM199" s="2">
        <v>500001</v>
      </c>
      <c r="BN199" s="2">
        <v>0</v>
      </c>
      <c r="BO199" s="2" t="s">
        <v>367</v>
      </c>
      <c r="BP199" s="2">
        <v>1</v>
      </c>
      <c r="BQ199" s="2">
        <v>8</v>
      </c>
      <c r="BR199" s="2">
        <v>0</v>
      </c>
      <c r="BS199" s="2">
        <v>1</v>
      </c>
      <c r="BT199" s="2">
        <v>1</v>
      </c>
      <c r="BU199" s="2">
        <v>1</v>
      </c>
      <c r="BV199" s="2">
        <v>1</v>
      </c>
      <c r="BW199" s="2">
        <v>1</v>
      </c>
      <c r="BX199" s="2">
        <v>1</v>
      </c>
      <c r="BY199" s="2" t="s">
        <v>3</v>
      </c>
      <c r="BZ199" s="2">
        <v>0</v>
      </c>
      <c r="CA199" s="2">
        <v>0</v>
      </c>
      <c r="CB199" s="2" t="s">
        <v>3</v>
      </c>
      <c r="CC199" s="2"/>
      <c r="CD199" s="2"/>
      <c r="CE199" s="2">
        <v>0</v>
      </c>
      <c r="CF199" s="2">
        <v>0</v>
      </c>
      <c r="CG199" s="2">
        <v>0</v>
      </c>
      <c r="CH199" s="2"/>
      <c r="CI199" s="2"/>
      <c r="CJ199" s="2"/>
      <c r="CK199" s="2"/>
      <c r="CL199" s="2"/>
      <c r="CM199" s="2">
        <v>0</v>
      </c>
      <c r="CN199" s="2" t="s">
        <v>3</v>
      </c>
      <c r="CO199" s="2">
        <v>0</v>
      </c>
      <c r="CP199" s="2">
        <f t="shared" si="122"/>
        <v>431.27</v>
      </c>
      <c r="CQ199" s="2">
        <f>ROUND(AL199*BC199,2)</f>
        <v>431.27</v>
      </c>
      <c r="CR199" s="2">
        <f>ROUND(AM199*BB199,2)</f>
        <v>0</v>
      </c>
      <c r="CS199" s="2">
        <f>ROUND(AN199*BS199,2)</f>
        <v>0</v>
      </c>
      <c r="CT199" s="2">
        <f>ROUND(AO199*BA199,2)</f>
        <v>0</v>
      </c>
      <c r="CU199" s="2">
        <f t="shared" si="123"/>
        <v>0</v>
      </c>
      <c r="CV199" s="2">
        <f>AH199</f>
        <v>0</v>
      </c>
      <c r="CW199" s="2">
        <f>AI199</f>
        <v>0</v>
      </c>
      <c r="CX199" s="2">
        <f t="shared" si="124"/>
        <v>0</v>
      </c>
      <c r="CY199" s="2">
        <f>0</f>
        <v>0</v>
      </c>
      <c r="CZ199" s="2">
        <f>0</f>
        <v>0</v>
      </c>
      <c r="DA199" s="2"/>
      <c r="DB199" s="2"/>
      <c r="DC199" s="2" t="s">
        <v>3</v>
      </c>
      <c r="DD199" s="2" t="s">
        <v>3</v>
      </c>
      <c r="DE199" s="2" t="s">
        <v>3</v>
      </c>
      <c r="DF199" s="2" t="s">
        <v>3</v>
      </c>
      <c r="DG199" s="2" t="s">
        <v>3</v>
      </c>
      <c r="DH199" s="2" t="s">
        <v>3</v>
      </c>
      <c r="DI199" s="2" t="s">
        <v>3</v>
      </c>
      <c r="DJ199" s="2" t="s">
        <v>3</v>
      </c>
      <c r="DK199" s="2" t="s">
        <v>3</v>
      </c>
      <c r="DL199" s="2" t="s">
        <v>3</v>
      </c>
      <c r="DM199" s="2" t="s">
        <v>3</v>
      </c>
      <c r="DN199" s="2">
        <v>0</v>
      </c>
      <c r="DO199" s="2">
        <v>0</v>
      </c>
      <c r="DP199" s="2">
        <v>1</v>
      </c>
      <c r="DQ199" s="2">
        <v>1</v>
      </c>
      <c r="DR199" s="2"/>
      <c r="DS199" s="2"/>
      <c r="DT199" s="2"/>
      <c r="DU199" s="2">
        <v>1013</v>
      </c>
      <c r="DV199" s="2" t="s">
        <v>130</v>
      </c>
      <c r="DW199" s="2" t="s">
        <v>130</v>
      </c>
      <c r="DX199" s="2">
        <v>1</v>
      </c>
      <c r="DY199" s="2"/>
      <c r="DZ199" s="2" t="s">
        <v>3</v>
      </c>
      <c r="EA199" s="2" t="s">
        <v>3</v>
      </c>
      <c r="EB199" s="2" t="s">
        <v>3</v>
      </c>
      <c r="EC199" s="2" t="s">
        <v>3</v>
      </c>
      <c r="ED199" s="2"/>
      <c r="EE199" s="2">
        <v>72340530</v>
      </c>
      <c r="EF199" s="2">
        <v>8</v>
      </c>
      <c r="EG199" s="2" t="s">
        <v>50</v>
      </c>
      <c r="EH199" s="2">
        <v>0</v>
      </c>
      <c r="EI199" s="2" t="s">
        <v>3</v>
      </c>
      <c r="EJ199" s="2">
        <v>1</v>
      </c>
      <c r="EK199" s="2">
        <v>500001</v>
      </c>
      <c r="EL199" s="2" t="s">
        <v>51</v>
      </c>
      <c r="EM199" s="2" t="s">
        <v>52</v>
      </c>
      <c r="EN199" s="2"/>
      <c r="EO199" s="2" t="s">
        <v>3</v>
      </c>
      <c r="EP199" s="2"/>
      <c r="EQ199" s="2">
        <v>0</v>
      </c>
      <c r="ER199" s="2">
        <v>403.06</v>
      </c>
      <c r="ES199" s="2">
        <v>403.06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>
        <v>0</v>
      </c>
      <c r="FR199" s="2">
        <v>0</v>
      </c>
      <c r="FS199" s="2">
        <v>0</v>
      </c>
      <c r="FT199" s="2"/>
      <c r="FU199" s="2"/>
      <c r="FV199" s="2"/>
      <c r="FW199" s="2"/>
      <c r="FX199" s="2">
        <v>0</v>
      </c>
      <c r="FY199" s="2">
        <v>0</v>
      </c>
      <c r="FZ199" s="2"/>
      <c r="GA199" s="2" t="s">
        <v>3</v>
      </c>
      <c r="GB199" s="2"/>
      <c r="GC199" s="2"/>
      <c r="GD199" s="2">
        <v>1</v>
      </c>
      <c r="GE199" s="2"/>
      <c r="GF199" s="2">
        <v>1885568230</v>
      </c>
      <c r="GG199" s="2">
        <v>2</v>
      </c>
      <c r="GH199" s="2">
        <v>1</v>
      </c>
      <c r="GI199" s="2">
        <v>2</v>
      </c>
      <c r="GJ199" s="2">
        <v>0</v>
      </c>
      <c r="GK199" s="2">
        <v>0</v>
      </c>
      <c r="GL199" s="2">
        <f t="shared" si="127"/>
        <v>0</v>
      </c>
      <c r="GM199" s="2">
        <f t="shared" si="128"/>
        <v>431.27</v>
      </c>
      <c r="GN199" s="2">
        <f t="shared" si="129"/>
        <v>431.27</v>
      </c>
      <c r="GO199" s="2">
        <f t="shared" si="130"/>
        <v>0</v>
      </c>
      <c r="GP199" s="2">
        <f t="shared" si="131"/>
        <v>0</v>
      </c>
      <c r="GQ199" s="2"/>
      <c r="GR199" s="2">
        <v>0</v>
      </c>
      <c r="GS199" s="2">
        <v>3</v>
      </c>
      <c r="GT199" s="2">
        <v>0</v>
      </c>
      <c r="GU199" s="2" t="s">
        <v>3</v>
      </c>
      <c r="GV199" s="2">
        <f t="shared" si="132"/>
        <v>0</v>
      </c>
      <c r="GW199" s="2">
        <v>1</v>
      </c>
      <c r="GX199" s="2">
        <f t="shared" si="133"/>
        <v>0</v>
      </c>
      <c r="GY199" s="2"/>
      <c r="GZ199" s="2"/>
      <c r="HA199" s="2">
        <v>0</v>
      </c>
      <c r="HB199" s="2">
        <v>0</v>
      </c>
      <c r="HC199" s="2">
        <f t="shared" si="134"/>
        <v>0</v>
      </c>
      <c r="HD199" s="2"/>
      <c r="HE199" s="2" t="s">
        <v>3</v>
      </c>
      <c r="HF199" s="2" t="s">
        <v>3</v>
      </c>
      <c r="HG199" s="2"/>
      <c r="HH199" s="2"/>
      <c r="HI199" s="2"/>
      <c r="HJ199" s="2"/>
      <c r="HK199" s="2"/>
      <c r="HL199" s="2"/>
      <c r="HM199" s="2" t="s">
        <v>3</v>
      </c>
      <c r="HN199" s="2" t="s">
        <v>3</v>
      </c>
      <c r="HO199" s="2" t="s">
        <v>3</v>
      </c>
      <c r="HP199" s="2" t="s">
        <v>3</v>
      </c>
      <c r="HQ199" s="2" t="s">
        <v>3</v>
      </c>
      <c r="HR199" s="2"/>
      <c r="HS199" s="2">
        <v>0</v>
      </c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>
        <v>0</v>
      </c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x14ac:dyDescent="0.2">
      <c r="A200" s="2">
        <v>17</v>
      </c>
      <c r="B200" s="2">
        <v>1</v>
      </c>
      <c r="C200" s="2">
        <f>ROW(SmtRes!A240)</f>
        <v>240</v>
      </c>
      <c r="D200" s="2">
        <f>ROW(EtalonRes!A264)</f>
        <v>264</v>
      </c>
      <c r="E200" s="2" t="s">
        <v>370</v>
      </c>
      <c r="F200" s="2" t="s">
        <v>182</v>
      </c>
      <c r="G200" s="2" t="s">
        <v>183</v>
      </c>
      <c r="H200" s="2" t="s">
        <v>184</v>
      </c>
      <c r="I200" s="2">
        <v>2.4E-2</v>
      </c>
      <c r="J200" s="2">
        <v>0</v>
      </c>
      <c r="K200" s="2">
        <v>2.4E-2</v>
      </c>
      <c r="L200" s="2"/>
      <c r="M200" s="2"/>
      <c r="N200" s="2"/>
      <c r="O200" s="2">
        <f t="shared" si="114"/>
        <v>576.92999999999995</v>
      </c>
      <c r="P200" s="2">
        <f>SUMIF(SmtRes!AQ236:'SmtRes'!AQ240,"=1",SmtRes!DF236:'SmtRes'!DF240)</f>
        <v>0</v>
      </c>
      <c r="Q200" s="2">
        <f>SUMIF(SmtRes!AQ236:'SmtRes'!AQ240,"=1",SmtRes!DG236:'SmtRes'!DG240)</f>
        <v>250.18</v>
      </c>
      <c r="R200" s="2">
        <f>SUMIF(SmtRes!AQ236:'SmtRes'!AQ240,"=1",SmtRes!DH236:'SmtRes'!DH240)</f>
        <v>81.91</v>
      </c>
      <c r="S200" s="2">
        <f>SUMIF(SmtRes!AQ236:'SmtRes'!AQ240,"=1",SmtRes!DI236:'SmtRes'!DI240)</f>
        <v>244.84</v>
      </c>
      <c r="T200" s="2">
        <f t="shared" si="115"/>
        <v>0</v>
      </c>
      <c r="U200" s="2">
        <f>SUMIF(SmtRes!AQ236:'SmtRes'!AQ240,"=1",SmtRes!CV236:'SmtRes'!CV240)</f>
        <v>0.64800000000000002</v>
      </c>
      <c r="V200" s="2">
        <f>SUMIF(SmtRes!AQ236:'SmtRes'!AQ240,"=1",SmtRes!CW236:'SmtRes'!CW240)</f>
        <v>0.17807999999999999</v>
      </c>
      <c r="W200" s="2">
        <f t="shared" si="116"/>
        <v>0</v>
      </c>
      <c r="X200" s="2">
        <f t="shared" si="117"/>
        <v>362.69</v>
      </c>
      <c r="Y200" s="2">
        <f t="shared" si="118"/>
        <v>169.91</v>
      </c>
      <c r="Z200" s="2"/>
      <c r="AA200" s="2">
        <v>74014550</v>
      </c>
      <c r="AB200" s="2">
        <f t="shared" si="119"/>
        <v>17843.686399999999</v>
      </c>
      <c r="AC200" s="2">
        <f>ROUND((0),6)</f>
        <v>0</v>
      </c>
      <c r="AD200" s="2">
        <f>ROUND((((SUM(SmtRes!BR236:'SmtRes'!BR240))-(SUM(SmtRes!BS236:'SmtRes'!BS240)))+AE200),6)</f>
        <v>7642.0064000000002</v>
      </c>
      <c r="AE200" s="2">
        <f>ROUND((SUM(SmtRes!BS236:'SmtRes'!BS240)),6)</f>
        <v>3413.0515999999998</v>
      </c>
      <c r="AF200" s="2">
        <f>ROUND((SUM(SmtRes!BT236:'SmtRes'!BT240)),6)</f>
        <v>10201.68</v>
      </c>
      <c r="AG200" s="2">
        <f t="shared" si="120"/>
        <v>0</v>
      </c>
      <c r="AH200" s="2">
        <f>(SUM(SmtRes!BU236:'SmtRes'!BU240))</f>
        <v>27</v>
      </c>
      <c r="AI200" s="2">
        <f>(SUM(SmtRes!BV236:'SmtRes'!BV240))</f>
        <v>7.42</v>
      </c>
      <c r="AJ200" s="2">
        <f t="shared" si="121"/>
        <v>0</v>
      </c>
      <c r="AK200" s="2">
        <v>21256.737999999998</v>
      </c>
      <c r="AL200" s="2">
        <v>0</v>
      </c>
      <c r="AM200" s="2">
        <v>7642.0063999999993</v>
      </c>
      <c r="AN200" s="2">
        <v>3413.0516000000002</v>
      </c>
      <c r="AO200" s="2">
        <v>10201.679999999998</v>
      </c>
      <c r="AP200" s="2">
        <v>0</v>
      </c>
      <c r="AQ200" s="2">
        <v>27</v>
      </c>
      <c r="AR200" s="2">
        <v>7.42</v>
      </c>
      <c r="AS200" s="2">
        <v>0</v>
      </c>
      <c r="AT200" s="2">
        <v>111</v>
      </c>
      <c r="AU200" s="2">
        <v>52</v>
      </c>
      <c r="AV200" s="2">
        <v>1</v>
      </c>
      <c r="AW200" s="2">
        <v>1</v>
      </c>
      <c r="AX200" s="2"/>
      <c r="AY200" s="2"/>
      <c r="AZ200" s="2">
        <v>1</v>
      </c>
      <c r="BA200" s="2">
        <v>1</v>
      </c>
      <c r="BB200" s="2">
        <v>1</v>
      </c>
      <c r="BC200" s="2">
        <v>1</v>
      </c>
      <c r="BD200" s="2" t="s">
        <v>3</v>
      </c>
      <c r="BE200" s="2" t="s">
        <v>3</v>
      </c>
      <c r="BF200" s="2" t="s">
        <v>3</v>
      </c>
      <c r="BG200" s="2" t="s">
        <v>3</v>
      </c>
      <c r="BH200" s="2">
        <v>0</v>
      </c>
      <c r="BI200" s="2">
        <v>2</v>
      </c>
      <c r="BJ200" s="2" t="s">
        <v>185</v>
      </c>
      <c r="BK200" s="2"/>
      <c r="BL200" s="2"/>
      <c r="BM200" s="2">
        <v>110005</v>
      </c>
      <c r="BN200" s="2">
        <v>0</v>
      </c>
      <c r="BO200" s="2" t="s">
        <v>3</v>
      </c>
      <c r="BP200" s="2">
        <v>0</v>
      </c>
      <c r="BQ200" s="2">
        <v>3</v>
      </c>
      <c r="BR200" s="2">
        <v>0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 t="s">
        <v>3</v>
      </c>
      <c r="BZ200" s="2">
        <v>111</v>
      </c>
      <c r="CA200" s="2">
        <v>52</v>
      </c>
      <c r="CB200" s="2" t="s">
        <v>3</v>
      </c>
      <c r="CC200" s="2"/>
      <c r="CD200" s="2"/>
      <c r="CE200" s="2">
        <v>0</v>
      </c>
      <c r="CF200" s="2">
        <v>0</v>
      </c>
      <c r="CG200" s="2">
        <v>0</v>
      </c>
      <c r="CH200" s="2"/>
      <c r="CI200" s="2"/>
      <c r="CJ200" s="2"/>
      <c r="CK200" s="2"/>
      <c r="CL200" s="2"/>
      <c r="CM200" s="2">
        <v>0</v>
      </c>
      <c r="CN200" s="2" t="s">
        <v>3</v>
      </c>
      <c r="CO200" s="2">
        <v>0</v>
      </c>
      <c r="CP200" s="2">
        <f t="shared" si="122"/>
        <v>576.92999999999995</v>
      </c>
      <c r="CQ200" s="2">
        <f>SUMIF(SmtRes!AQ236:'SmtRes'!AQ240,"=1",SmtRes!AA236:'SmtRes'!AA240)</f>
        <v>0</v>
      </c>
      <c r="CR200" s="2">
        <f>SUMIF(SmtRes!AQ236:'SmtRes'!AQ240,"=1",SmtRes!AB236:'SmtRes'!AB240)</f>
        <v>1404.8500000000001</v>
      </c>
      <c r="CS200" s="2">
        <f>SUMIF(SmtRes!AQ236:'SmtRes'!AQ240,"=1",SmtRes!AC236:'SmtRes'!AC240)</f>
        <v>459.98</v>
      </c>
      <c r="CT200" s="2">
        <f>SUMIF(SmtRes!AQ236:'SmtRes'!AQ240,"=1",SmtRes!AD236:'SmtRes'!AD240)</f>
        <v>377.84</v>
      </c>
      <c r="CU200" s="2">
        <f t="shared" si="123"/>
        <v>0</v>
      </c>
      <c r="CV200" s="2">
        <f>SUMIF(SmtRes!AQ236:'SmtRes'!AQ240,"=1",SmtRes!BU236:'SmtRes'!BU240)</f>
        <v>27</v>
      </c>
      <c r="CW200" s="2">
        <f>SUMIF(SmtRes!AQ236:'SmtRes'!AQ240,"=1",SmtRes!BV236:'SmtRes'!BV240)</f>
        <v>7.42</v>
      </c>
      <c r="CX200" s="2">
        <f t="shared" si="124"/>
        <v>0</v>
      </c>
      <c r="CY200" s="2">
        <f>(((S200+R200)*AT200)/100)</f>
        <v>362.6925</v>
      </c>
      <c r="CZ200" s="2">
        <f>(((S200+R200)*AU200)/100)</f>
        <v>169.91</v>
      </c>
      <c r="DA200" s="2"/>
      <c r="DB200" s="2"/>
      <c r="DC200" s="2" t="s">
        <v>3</v>
      </c>
      <c r="DD200" s="2" t="s">
        <v>3</v>
      </c>
      <c r="DE200" s="2" t="s">
        <v>3</v>
      </c>
      <c r="DF200" s="2" t="s">
        <v>3</v>
      </c>
      <c r="DG200" s="2" t="s">
        <v>3</v>
      </c>
      <c r="DH200" s="2" t="s">
        <v>3</v>
      </c>
      <c r="DI200" s="2" t="s">
        <v>3</v>
      </c>
      <c r="DJ200" s="2" t="s">
        <v>3</v>
      </c>
      <c r="DK200" s="2" t="s">
        <v>3</v>
      </c>
      <c r="DL200" s="2" t="s">
        <v>3</v>
      </c>
      <c r="DM200" s="2" t="s">
        <v>3</v>
      </c>
      <c r="DN200" s="2">
        <v>0</v>
      </c>
      <c r="DO200" s="2">
        <v>0</v>
      </c>
      <c r="DP200" s="2">
        <v>1</v>
      </c>
      <c r="DQ200" s="2">
        <v>1</v>
      </c>
      <c r="DR200" s="2"/>
      <c r="DS200" s="2"/>
      <c r="DT200" s="2"/>
      <c r="DU200" s="2">
        <v>30717392</v>
      </c>
      <c r="DV200" s="2" t="s">
        <v>184</v>
      </c>
      <c r="DW200" s="2" t="s">
        <v>184</v>
      </c>
      <c r="DX200" s="2">
        <v>1</v>
      </c>
      <c r="DY200" s="2"/>
      <c r="DZ200" s="2" t="s">
        <v>3</v>
      </c>
      <c r="EA200" s="2" t="s">
        <v>3</v>
      </c>
      <c r="EB200" s="2" t="s">
        <v>3</v>
      </c>
      <c r="EC200" s="2" t="s">
        <v>3</v>
      </c>
      <c r="ED200" s="2"/>
      <c r="EE200" s="2">
        <v>72340517</v>
      </c>
      <c r="EF200" s="2">
        <v>3</v>
      </c>
      <c r="EG200" s="2" t="s">
        <v>186</v>
      </c>
      <c r="EH200" s="2">
        <v>0</v>
      </c>
      <c r="EI200" s="2" t="s">
        <v>3</v>
      </c>
      <c r="EJ200" s="2">
        <v>2</v>
      </c>
      <c r="EK200" s="2">
        <v>110005</v>
      </c>
      <c r="EL200" s="2" t="s">
        <v>187</v>
      </c>
      <c r="EM200" s="2" t="s">
        <v>188</v>
      </c>
      <c r="EN200" s="2"/>
      <c r="EO200" s="2" t="s">
        <v>3</v>
      </c>
      <c r="EP200" s="2"/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27</v>
      </c>
      <c r="EX200" s="2">
        <v>7.42</v>
      </c>
      <c r="EY200" s="2">
        <v>0</v>
      </c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>
        <v>0</v>
      </c>
      <c r="FR200" s="2">
        <v>0</v>
      </c>
      <c r="FS200" s="2">
        <v>0</v>
      </c>
      <c r="FT200" s="2"/>
      <c r="FU200" s="2"/>
      <c r="FV200" s="2"/>
      <c r="FW200" s="2"/>
      <c r="FX200" s="2">
        <v>111</v>
      </c>
      <c r="FY200" s="2">
        <v>52</v>
      </c>
      <c r="FZ200" s="2"/>
      <c r="GA200" s="2" t="s">
        <v>3</v>
      </c>
      <c r="GB200" s="2"/>
      <c r="GC200" s="2"/>
      <c r="GD200" s="2">
        <v>1</v>
      </c>
      <c r="GE200" s="2"/>
      <c r="GF200" s="2">
        <v>1356055473</v>
      </c>
      <c r="GG200" s="2">
        <v>2</v>
      </c>
      <c r="GH200" s="2">
        <v>1</v>
      </c>
      <c r="GI200" s="2">
        <v>-2</v>
      </c>
      <c r="GJ200" s="2">
        <v>0</v>
      </c>
      <c r="GK200" s="2">
        <v>0</v>
      </c>
      <c r="GL200" s="2">
        <f t="shared" si="127"/>
        <v>0</v>
      </c>
      <c r="GM200" s="2">
        <f t="shared" si="128"/>
        <v>1109.53</v>
      </c>
      <c r="GN200" s="2">
        <f t="shared" si="129"/>
        <v>0</v>
      </c>
      <c r="GO200" s="2">
        <f t="shared" si="130"/>
        <v>1109.53</v>
      </c>
      <c r="GP200" s="2">
        <f t="shared" si="131"/>
        <v>0</v>
      </c>
      <c r="GQ200" s="2"/>
      <c r="GR200" s="2">
        <v>0</v>
      </c>
      <c r="GS200" s="2">
        <v>3</v>
      </c>
      <c r="GT200" s="2">
        <v>0</v>
      </c>
      <c r="GU200" s="2" t="s">
        <v>3</v>
      </c>
      <c r="GV200" s="2">
        <f t="shared" si="132"/>
        <v>0</v>
      </c>
      <c r="GW200" s="2">
        <v>1</v>
      </c>
      <c r="GX200" s="2">
        <f t="shared" si="133"/>
        <v>0</v>
      </c>
      <c r="GY200" s="2"/>
      <c r="GZ200" s="2"/>
      <c r="HA200" s="2">
        <v>0</v>
      </c>
      <c r="HB200" s="2">
        <v>0</v>
      </c>
      <c r="HC200" s="2">
        <f t="shared" si="134"/>
        <v>0</v>
      </c>
      <c r="HD200" s="2"/>
      <c r="HE200" s="2" t="s">
        <v>3</v>
      </c>
      <c r="HF200" s="2" t="s">
        <v>3</v>
      </c>
      <c r="HG200" s="2"/>
      <c r="HH200" s="2"/>
      <c r="HI200" s="2"/>
      <c r="HJ200" s="2"/>
      <c r="HK200" s="2"/>
      <c r="HL200" s="2"/>
      <c r="HM200" s="2" t="s">
        <v>3</v>
      </c>
      <c r="HN200" s="2" t="s">
        <v>189</v>
      </c>
      <c r="HO200" s="2" t="s">
        <v>190</v>
      </c>
      <c r="HP200" s="2" t="s">
        <v>187</v>
      </c>
      <c r="HQ200" s="2" t="s">
        <v>187</v>
      </c>
      <c r="HR200" s="2"/>
      <c r="HS200" s="2">
        <v>0</v>
      </c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>
        <v>0</v>
      </c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x14ac:dyDescent="0.2">
      <c r="A201" s="2">
        <v>18</v>
      </c>
      <c r="B201" s="2">
        <v>1</v>
      </c>
      <c r="C201" s="2">
        <v>240</v>
      </c>
      <c r="D201" s="2"/>
      <c r="E201" s="2" t="s">
        <v>371</v>
      </c>
      <c r="F201" s="2" t="s">
        <v>192</v>
      </c>
      <c r="G201" s="2" t="s">
        <v>193</v>
      </c>
      <c r="H201" s="2" t="s">
        <v>194</v>
      </c>
      <c r="I201" s="2">
        <f>J201</f>
        <v>2</v>
      </c>
      <c r="J201" s="2">
        <v>2</v>
      </c>
      <c r="K201" s="2">
        <v>2</v>
      </c>
      <c r="L201" s="2"/>
      <c r="M201" s="2"/>
      <c r="N201" s="2"/>
      <c r="O201" s="2">
        <f>ROUND(P201,2)</f>
        <v>4.9000000000000004</v>
      </c>
      <c r="P201" s="2">
        <f>ROUND(ROUND(ROUND(SUMIF(SmtRes!AQ236:'SmtRes'!AQ240,"=1",SmtRes!CU236:'SmtRes'!CU240),2),2)*I201/100,2)</f>
        <v>4.9000000000000004</v>
      </c>
      <c r="Q201" s="2">
        <f>ROUND(CR201*I201,2)</f>
        <v>0</v>
      </c>
      <c r="R201" s="2">
        <f>ROUND(CS201*I201,2)</f>
        <v>0</v>
      </c>
      <c r="S201" s="2">
        <f>ROUND(CT201*I201,2)</f>
        <v>0</v>
      </c>
      <c r="T201" s="2">
        <f t="shared" si="115"/>
        <v>0</v>
      </c>
      <c r="U201" s="2">
        <f>ROUND(CV201*I201,7)</f>
        <v>0</v>
      </c>
      <c r="V201" s="2">
        <f>ROUND(CW201*I201,7)</f>
        <v>0</v>
      </c>
      <c r="W201" s="2">
        <f t="shared" si="116"/>
        <v>0</v>
      </c>
      <c r="X201" s="2">
        <f t="shared" si="117"/>
        <v>0</v>
      </c>
      <c r="Y201" s="2">
        <f t="shared" si="118"/>
        <v>0</v>
      </c>
      <c r="Z201" s="2"/>
      <c r="AA201" s="2">
        <v>74014550</v>
      </c>
      <c r="AB201" s="2">
        <f t="shared" si="119"/>
        <v>0</v>
      </c>
      <c r="AC201" s="2">
        <f>ROUND((ES201),6)</f>
        <v>0</v>
      </c>
      <c r="AD201" s="2">
        <f>ROUND((((ET201)-(EU201))+AE201),6)</f>
        <v>0</v>
      </c>
      <c r="AE201" s="2">
        <f>ROUND((EU201),6)</f>
        <v>0</v>
      </c>
      <c r="AF201" s="2">
        <f>ROUND((EV201),6)</f>
        <v>0</v>
      </c>
      <c r="AG201" s="2">
        <f t="shared" si="120"/>
        <v>0</v>
      </c>
      <c r="AH201" s="2">
        <f>(EW201)</f>
        <v>0</v>
      </c>
      <c r="AI201" s="2">
        <f>(EX201)</f>
        <v>0</v>
      </c>
      <c r="AJ201" s="2">
        <f t="shared" si="121"/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111</v>
      </c>
      <c r="AU201" s="2">
        <v>52</v>
      </c>
      <c r="AV201" s="2">
        <v>1</v>
      </c>
      <c r="AW201" s="2">
        <v>1</v>
      </c>
      <c r="AX201" s="2"/>
      <c r="AY201" s="2"/>
      <c r="AZ201" s="2">
        <v>1</v>
      </c>
      <c r="BA201" s="2">
        <v>1</v>
      </c>
      <c r="BB201" s="2">
        <v>1</v>
      </c>
      <c r="BC201" s="2">
        <v>1</v>
      </c>
      <c r="BD201" s="2" t="s">
        <v>3</v>
      </c>
      <c r="BE201" s="2" t="s">
        <v>3</v>
      </c>
      <c r="BF201" s="2" t="s">
        <v>3</v>
      </c>
      <c r="BG201" s="2" t="s">
        <v>3</v>
      </c>
      <c r="BH201" s="2">
        <v>3</v>
      </c>
      <c r="BI201" s="2">
        <v>2</v>
      </c>
      <c r="BJ201" s="2" t="s">
        <v>3</v>
      </c>
      <c r="BK201" s="2"/>
      <c r="BL201" s="2"/>
      <c r="BM201" s="2">
        <v>110005</v>
      </c>
      <c r="BN201" s="2">
        <v>0</v>
      </c>
      <c r="BO201" s="2" t="s">
        <v>3</v>
      </c>
      <c r="BP201" s="2">
        <v>0</v>
      </c>
      <c r="BQ201" s="2">
        <v>3</v>
      </c>
      <c r="BR201" s="2">
        <v>0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 t="s">
        <v>3</v>
      </c>
      <c r="BZ201" s="2">
        <v>111</v>
      </c>
      <c r="CA201" s="2">
        <v>52</v>
      </c>
      <c r="CB201" s="2" t="s">
        <v>3</v>
      </c>
      <c r="CC201" s="2"/>
      <c r="CD201" s="2"/>
      <c r="CE201" s="2">
        <v>0</v>
      </c>
      <c r="CF201" s="2">
        <v>0</v>
      </c>
      <c r="CG201" s="2">
        <v>0</v>
      </c>
      <c r="CH201" s="2"/>
      <c r="CI201" s="2"/>
      <c r="CJ201" s="2"/>
      <c r="CK201" s="2"/>
      <c r="CL201" s="2"/>
      <c r="CM201" s="2">
        <v>0</v>
      </c>
      <c r="CN201" s="2" t="s">
        <v>3</v>
      </c>
      <c r="CO201" s="2">
        <v>0</v>
      </c>
      <c r="CP201" s="2">
        <f>0</f>
        <v>0</v>
      </c>
      <c r="CQ201" s="2">
        <f>0</f>
        <v>0</v>
      </c>
      <c r="CR201" s="2">
        <f>0</f>
        <v>0</v>
      </c>
      <c r="CS201" s="2">
        <f>0</f>
        <v>0</v>
      </c>
      <c r="CT201" s="2">
        <f>0</f>
        <v>0</v>
      </c>
      <c r="CU201" s="2">
        <f>0</f>
        <v>0</v>
      </c>
      <c r="CV201" s="2">
        <f>0</f>
        <v>0</v>
      </c>
      <c r="CW201" s="2">
        <f>0</f>
        <v>0</v>
      </c>
      <c r="CX201" s="2">
        <f>0</f>
        <v>0</v>
      </c>
      <c r="CY201" s="2">
        <f>0</f>
        <v>0</v>
      </c>
      <c r="CZ201" s="2">
        <f>0</f>
        <v>0</v>
      </c>
      <c r="DA201" s="2"/>
      <c r="DB201" s="2"/>
      <c r="DC201" s="2" t="s">
        <v>3</v>
      </c>
      <c r="DD201" s="2" t="s">
        <v>3</v>
      </c>
      <c r="DE201" s="2" t="s">
        <v>3</v>
      </c>
      <c r="DF201" s="2" t="s">
        <v>3</v>
      </c>
      <c r="DG201" s="2" t="s">
        <v>3</v>
      </c>
      <c r="DH201" s="2" t="s">
        <v>3</v>
      </c>
      <c r="DI201" s="2" t="s">
        <v>3</v>
      </c>
      <c r="DJ201" s="2" t="s">
        <v>3</v>
      </c>
      <c r="DK201" s="2" t="s">
        <v>3</v>
      </c>
      <c r="DL201" s="2" t="s">
        <v>3</v>
      </c>
      <c r="DM201" s="2" t="s">
        <v>3</v>
      </c>
      <c r="DN201" s="2">
        <v>0</v>
      </c>
      <c r="DO201" s="2">
        <v>0</v>
      </c>
      <c r="DP201" s="2">
        <v>1</v>
      </c>
      <c r="DQ201" s="2">
        <v>1</v>
      </c>
      <c r="DR201" s="2"/>
      <c r="DS201" s="2"/>
      <c r="DT201" s="2"/>
      <c r="DU201" s="2">
        <v>1013</v>
      </c>
      <c r="DV201" s="2" t="s">
        <v>194</v>
      </c>
      <c r="DW201" s="2" t="s">
        <v>194</v>
      </c>
      <c r="DX201" s="2">
        <v>1</v>
      </c>
      <c r="DY201" s="2"/>
      <c r="DZ201" s="2" t="s">
        <v>3</v>
      </c>
      <c r="EA201" s="2" t="s">
        <v>3</v>
      </c>
      <c r="EB201" s="2" t="s">
        <v>3</v>
      </c>
      <c r="EC201" s="2" t="s">
        <v>3</v>
      </c>
      <c r="ED201" s="2"/>
      <c r="EE201" s="2">
        <v>72340517</v>
      </c>
      <c r="EF201" s="2">
        <v>3</v>
      </c>
      <c r="EG201" s="2" t="s">
        <v>186</v>
      </c>
      <c r="EH201" s="2">
        <v>0</v>
      </c>
      <c r="EI201" s="2" t="s">
        <v>3</v>
      </c>
      <c r="EJ201" s="2">
        <v>2</v>
      </c>
      <c r="EK201" s="2">
        <v>110005</v>
      </c>
      <c r="EL201" s="2" t="s">
        <v>187</v>
      </c>
      <c r="EM201" s="2" t="s">
        <v>188</v>
      </c>
      <c r="EN201" s="2"/>
      <c r="EO201" s="2" t="s">
        <v>3</v>
      </c>
      <c r="EP201" s="2"/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>
        <v>0</v>
      </c>
      <c r="FR201" s="2">
        <v>0</v>
      </c>
      <c r="FS201" s="2">
        <v>0</v>
      </c>
      <c r="FT201" s="2"/>
      <c r="FU201" s="2"/>
      <c r="FV201" s="2"/>
      <c r="FW201" s="2"/>
      <c r="FX201" s="2">
        <v>111</v>
      </c>
      <c r="FY201" s="2">
        <v>52</v>
      </c>
      <c r="FZ201" s="2"/>
      <c r="GA201" s="2" t="s">
        <v>3</v>
      </c>
      <c r="GB201" s="2"/>
      <c r="GC201" s="2"/>
      <c r="GD201" s="2">
        <v>1</v>
      </c>
      <c r="GE201" s="2"/>
      <c r="GF201" s="2">
        <v>274903907</v>
      </c>
      <c r="GG201" s="2">
        <v>2</v>
      </c>
      <c r="GH201" s="2">
        <v>1</v>
      </c>
      <c r="GI201" s="2">
        <v>-2</v>
      </c>
      <c r="GJ201" s="2">
        <v>0</v>
      </c>
      <c r="GK201" s="2">
        <v>0</v>
      </c>
      <c r="GL201" s="2">
        <f t="shared" si="127"/>
        <v>0</v>
      </c>
      <c r="GM201" s="2">
        <f t="shared" si="128"/>
        <v>4.9000000000000004</v>
      </c>
      <c r="GN201" s="2">
        <f t="shared" si="129"/>
        <v>0</v>
      </c>
      <c r="GO201" s="2">
        <f t="shared" si="130"/>
        <v>4.9000000000000004</v>
      </c>
      <c r="GP201" s="2">
        <f t="shared" si="131"/>
        <v>0</v>
      </c>
      <c r="GQ201" s="2"/>
      <c r="GR201" s="2">
        <v>0</v>
      </c>
      <c r="GS201" s="2">
        <v>3</v>
      </c>
      <c r="GT201" s="2">
        <v>0</v>
      </c>
      <c r="GU201" s="2" t="s">
        <v>3</v>
      </c>
      <c r="GV201" s="2">
        <f t="shared" si="132"/>
        <v>0</v>
      </c>
      <c r="GW201" s="2">
        <v>1</v>
      </c>
      <c r="GX201" s="2">
        <f t="shared" si="133"/>
        <v>0</v>
      </c>
      <c r="GY201" s="2"/>
      <c r="GZ201" s="2"/>
      <c r="HA201" s="2">
        <v>0</v>
      </c>
      <c r="HB201" s="2">
        <v>0</v>
      </c>
      <c r="HC201" s="2">
        <f>0</f>
        <v>0</v>
      </c>
      <c r="HD201" s="2"/>
      <c r="HE201" s="2" t="s">
        <v>3</v>
      </c>
      <c r="HF201" s="2" t="s">
        <v>3</v>
      </c>
      <c r="HG201" s="2"/>
      <c r="HH201" s="2"/>
      <c r="HI201" s="2"/>
      <c r="HJ201" s="2"/>
      <c r="HK201" s="2"/>
      <c r="HL201" s="2"/>
      <c r="HM201" s="2" t="s">
        <v>3</v>
      </c>
      <c r="HN201" s="2" t="s">
        <v>189</v>
      </c>
      <c r="HO201" s="2" t="s">
        <v>190</v>
      </c>
      <c r="HP201" s="2" t="s">
        <v>187</v>
      </c>
      <c r="HQ201" s="2" t="s">
        <v>187</v>
      </c>
      <c r="HR201" s="2"/>
      <c r="HS201" s="2">
        <v>0</v>
      </c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>
        <v>0</v>
      </c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x14ac:dyDescent="0.2">
      <c r="A202" s="2">
        <v>17</v>
      </c>
      <c r="B202" s="2">
        <v>1</v>
      </c>
      <c r="C202" s="2"/>
      <c r="D202" s="2"/>
      <c r="E202" s="2" t="s">
        <v>372</v>
      </c>
      <c r="F202" s="2" t="s">
        <v>373</v>
      </c>
      <c r="G202" s="2" t="s">
        <v>374</v>
      </c>
      <c r="H202" s="2" t="s">
        <v>125</v>
      </c>
      <c r="I202" s="2">
        <v>24</v>
      </c>
      <c r="J202" s="2">
        <v>0</v>
      </c>
      <c r="K202" s="2">
        <v>24</v>
      </c>
      <c r="L202" s="2"/>
      <c r="M202" s="2"/>
      <c r="N202" s="2"/>
      <c r="O202" s="2">
        <f>ROUND(CP202,2)</f>
        <v>1084.32</v>
      </c>
      <c r="P202" s="2">
        <f>ROUND(CQ202*I202,2)</f>
        <v>1084.32</v>
      </c>
      <c r="Q202" s="2">
        <f>ROUND(CR202*I202,2)</f>
        <v>0</v>
      </c>
      <c r="R202" s="2">
        <f>ROUND(CS202*I202,2)</f>
        <v>0</v>
      </c>
      <c r="S202" s="2">
        <f>ROUND(CT202*I202,2)</f>
        <v>0</v>
      </c>
      <c r="T202" s="2">
        <f t="shared" si="115"/>
        <v>0</v>
      </c>
      <c r="U202" s="2">
        <f>ROUND(CV202*I202,7)</f>
        <v>0</v>
      </c>
      <c r="V202" s="2">
        <f>ROUND(CW202*I202,7)</f>
        <v>0</v>
      </c>
      <c r="W202" s="2">
        <f t="shared" si="116"/>
        <v>0</v>
      </c>
      <c r="X202" s="2">
        <f t="shared" si="117"/>
        <v>0</v>
      </c>
      <c r="Y202" s="2">
        <f t="shared" si="118"/>
        <v>0</v>
      </c>
      <c r="Z202" s="2"/>
      <c r="AA202" s="2">
        <v>74014550</v>
      </c>
      <c r="AB202" s="2">
        <f t="shared" si="119"/>
        <v>45.18</v>
      </c>
      <c r="AC202" s="2">
        <f>ROUND((ES202),6)</f>
        <v>45.18</v>
      </c>
      <c r="AD202" s="2">
        <f>ROUND((ET202),6)</f>
        <v>0</v>
      </c>
      <c r="AE202" s="2">
        <f>ROUND((EU202),6)</f>
        <v>0</v>
      </c>
      <c r="AF202" s="2">
        <f>ROUND((EV202),6)</f>
        <v>0</v>
      </c>
      <c r="AG202" s="2">
        <f t="shared" si="120"/>
        <v>0</v>
      </c>
      <c r="AH202" s="2">
        <f>(EW202)</f>
        <v>0</v>
      </c>
      <c r="AI202" s="2">
        <f>(EX202)</f>
        <v>0</v>
      </c>
      <c r="AJ202" s="2">
        <f t="shared" si="121"/>
        <v>0</v>
      </c>
      <c r="AK202" s="2">
        <v>45.18</v>
      </c>
      <c r="AL202" s="2">
        <v>45.18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1</v>
      </c>
      <c r="AW202" s="2">
        <v>1</v>
      </c>
      <c r="AX202" s="2"/>
      <c r="AY202" s="2"/>
      <c r="AZ202" s="2">
        <v>1</v>
      </c>
      <c r="BA202" s="2">
        <v>1</v>
      </c>
      <c r="BB202" s="2">
        <v>1</v>
      </c>
      <c r="BC202" s="2">
        <v>1</v>
      </c>
      <c r="BD202" s="2" t="s">
        <v>3</v>
      </c>
      <c r="BE202" s="2" t="s">
        <v>3</v>
      </c>
      <c r="BF202" s="2" t="s">
        <v>3</v>
      </c>
      <c r="BG202" s="2" t="s">
        <v>3</v>
      </c>
      <c r="BH202" s="2">
        <v>3</v>
      </c>
      <c r="BI202" s="2">
        <v>1</v>
      </c>
      <c r="BJ202" s="2" t="s">
        <v>373</v>
      </c>
      <c r="BK202" s="2"/>
      <c r="BL202" s="2"/>
      <c r="BM202" s="2">
        <v>900</v>
      </c>
      <c r="BN202" s="2">
        <v>0</v>
      </c>
      <c r="BO202" s="2" t="s">
        <v>3</v>
      </c>
      <c r="BP202" s="2">
        <v>0</v>
      </c>
      <c r="BQ202" s="2">
        <v>90</v>
      </c>
      <c r="BR202" s="2">
        <v>0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 t="s">
        <v>3</v>
      </c>
      <c r="BZ202" s="2">
        <v>0</v>
      </c>
      <c r="CA202" s="2">
        <v>0</v>
      </c>
      <c r="CB202" s="2" t="s">
        <v>3</v>
      </c>
      <c r="CC202" s="2"/>
      <c r="CD202" s="2"/>
      <c r="CE202" s="2">
        <v>0</v>
      </c>
      <c r="CF202" s="2">
        <v>0</v>
      </c>
      <c r="CG202" s="2">
        <v>0</v>
      </c>
      <c r="CH202" s="2"/>
      <c r="CI202" s="2"/>
      <c r="CJ202" s="2"/>
      <c r="CK202" s="2"/>
      <c r="CL202" s="2"/>
      <c r="CM202" s="2">
        <v>0</v>
      </c>
      <c r="CN202" s="2" t="s">
        <v>3</v>
      </c>
      <c r="CO202" s="2">
        <v>0</v>
      </c>
      <c r="CP202" s="2">
        <f>(P202+Q202+S202+R202)</f>
        <v>1084.32</v>
      </c>
      <c r="CQ202" s="2">
        <f>ROUND(AL202,2)</f>
        <v>45.18</v>
      </c>
      <c r="CR202" s="2">
        <f>ROUND(AM202,2)</f>
        <v>0</v>
      </c>
      <c r="CS202" s="2">
        <f>ROUND(AN202*BS202,2)</f>
        <v>0</v>
      </c>
      <c r="CT202" s="2">
        <f>ROUND(AO202*BA202,2)</f>
        <v>0</v>
      </c>
      <c r="CU202" s="2">
        <f>AG202</f>
        <v>0</v>
      </c>
      <c r="CV202" s="2">
        <f>AH202</f>
        <v>0</v>
      </c>
      <c r="CW202" s="2">
        <f>AI202</f>
        <v>0</v>
      </c>
      <c r="CX202" s="2">
        <f>AJ202</f>
        <v>0</v>
      </c>
      <c r="CY202" s="2">
        <f>0</f>
        <v>0</v>
      </c>
      <c r="CZ202" s="2">
        <f>0</f>
        <v>0</v>
      </c>
      <c r="DA202" s="2"/>
      <c r="DB202" s="2"/>
      <c r="DC202" s="2" t="s">
        <v>3</v>
      </c>
      <c r="DD202" s="2" t="s">
        <v>3</v>
      </c>
      <c r="DE202" s="2" t="s">
        <v>3</v>
      </c>
      <c r="DF202" s="2" t="s">
        <v>3</v>
      </c>
      <c r="DG202" s="2" t="s">
        <v>3</v>
      </c>
      <c r="DH202" s="2" t="s">
        <v>3</v>
      </c>
      <c r="DI202" s="2" t="s">
        <v>3</v>
      </c>
      <c r="DJ202" s="2" t="s">
        <v>3</v>
      </c>
      <c r="DK202" s="2" t="s">
        <v>3</v>
      </c>
      <c r="DL202" s="2" t="s">
        <v>3</v>
      </c>
      <c r="DM202" s="2" t="s">
        <v>3</v>
      </c>
      <c r="DN202" s="2">
        <v>0</v>
      </c>
      <c r="DO202" s="2">
        <v>0</v>
      </c>
      <c r="DP202" s="2">
        <v>1</v>
      </c>
      <c r="DQ202" s="2">
        <v>1</v>
      </c>
      <c r="DR202" s="2"/>
      <c r="DS202" s="2"/>
      <c r="DT202" s="2"/>
      <c r="DU202" s="2">
        <v>1003</v>
      </c>
      <c r="DV202" s="2" t="s">
        <v>125</v>
      </c>
      <c r="DW202" s="2" t="s">
        <v>125</v>
      </c>
      <c r="DX202" s="2">
        <v>1</v>
      </c>
      <c r="DY202" s="2"/>
      <c r="DZ202" s="2" t="s">
        <v>3</v>
      </c>
      <c r="EA202" s="2" t="s">
        <v>3</v>
      </c>
      <c r="EB202" s="2" t="s">
        <v>3</v>
      </c>
      <c r="EC202" s="2" t="s">
        <v>3</v>
      </c>
      <c r="ED202" s="2"/>
      <c r="EE202" s="2">
        <v>72341033</v>
      </c>
      <c r="EF202" s="2">
        <v>90</v>
      </c>
      <c r="EG202" s="2" t="s">
        <v>375</v>
      </c>
      <c r="EH202" s="2">
        <v>0</v>
      </c>
      <c r="EI202" s="2" t="s">
        <v>3</v>
      </c>
      <c r="EJ202" s="2">
        <v>1</v>
      </c>
      <c r="EK202" s="2">
        <v>900</v>
      </c>
      <c r="EL202" s="2" t="s">
        <v>375</v>
      </c>
      <c r="EM202" s="2" t="s">
        <v>376</v>
      </c>
      <c r="EN202" s="2"/>
      <c r="EO202" s="2" t="s">
        <v>3</v>
      </c>
      <c r="EP202" s="2"/>
      <c r="EQ202" s="2">
        <v>16</v>
      </c>
      <c r="ER202" s="2">
        <v>0</v>
      </c>
      <c r="ES202" s="2">
        <v>45.18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5</v>
      </c>
      <c r="FA202" s="2"/>
      <c r="FB202" s="2"/>
      <c r="FC202" s="2">
        <v>0</v>
      </c>
      <c r="FD202" s="2">
        <v>18</v>
      </c>
      <c r="FE202" s="2"/>
      <c r="FF202" s="2">
        <v>45.18</v>
      </c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>
        <v>0</v>
      </c>
      <c r="FR202" s="2">
        <v>0</v>
      </c>
      <c r="FS202" s="2">
        <v>0</v>
      </c>
      <c r="FT202" s="2"/>
      <c r="FU202" s="2"/>
      <c r="FV202" s="2"/>
      <c r="FW202" s="2"/>
      <c r="FX202" s="2">
        <v>0</v>
      </c>
      <c r="FY202" s="2">
        <v>0</v>
      </c>
      <c r="FZ202" s="2"/>
      <c r="GA202" s="2" t="s">
        <v>3</v>
      </c>
      <c r="GB202" s="2"/>
      <c r="GC202" s="2"/>
      <c r="GD202" s="2">
        <v>1</v>
      </c>
      <c r="GE202" s="2"/>
      <c r="GF202" s="2">
        <v>1156843276</v>
      </c>
      <c r="GG202" s="2">
        <v>2</v>
      </c>
      <c r="GH202" s="2">
        <v>3</v>
      </c>
      <c r="GI202" s="2">
        <v>-2</v>
      </c>
      <c r="GJ202" s="2">
        <v>0</v>
      </c>
      <c r="GK202" s="2">
        <v>0</v>
      </c>
      <c r="GL202" s="2">
        <f t="shared" si="127"/>
        <v>0</v>
      </c>
      <c r="GM202" s="2">
        <f t="shared" si="128"/>
        <v>1084.32</v>
      </c>
      <c r="GN202" s="2">
        <f t="shared" si="129"/>
        <v>1084.32</v>
      </c>
      <c r="GO202" s="2">
        <f t="shared" si="130"/>
        <v>0</v>
      </c>
      <c r="GP202" s="2">
        <f t="shared" si="131"/>
        <v>0</v>
      </c>
      <c r="GQ202" s="2"/>
      <c r="GR202" s="2">
        <v>1</v>
      </c>
      <c r="GS202" s="2">
        <v>1</v>
      </c>
      <c r="GT202" s="2">
        <v>0</v>
      </c>
      <c r="GU202" s="2" t="s">
        <v>3</v>
      </c>
      <c r="GV202" s="2">
        <f t="shared" si="132"/>
        <v>0</v>
      </c>
      <c r="GW202" s="2">
        <v>1</v>
      </c>
      <c r="GX202" s="2">
        <f t="shared" si="133"/>
        <v>0</v>
      </c>
      <c r="GY202" s="2"/>
      <c r="GZ202" s="2"/>
      <c r="HA202" s="2">
        <v>0</v>
      </c>
      <c r="HB202" s="2">
        <v>0</v>
      </c>
      <c r="HC202" s="2">
        <f>GV202*GW202</f>
        <v>0</v>
      </c>
      <c r="HD202" s="2"/>
      <c r="HE202" s="2" t="s">
        <v>3</v>
      </c>
      <c r="HF202" s="2" t="s">
        <v>3</v>
      </c>
      <c r="HG202" s="2">
        <f>ROUND(ROUND(AL202,2)*I202,2)</f>
        <v>1084.32</v>
      </c>
      <c r="HH202" s="2"/>
      <c r="HI202" s="2"/>
      <c r="HJ202" s="2"/>
      <c r="HK202" s="2"/>
      <c r="HL202" s="2"/>
      <c r="HM202" s="2" t="s">
        <v>3</v>
      </c>
      <c r="HN202" s="2" t="s">
        <v>3</v>
      </c>
      <c r="HO202" s="2" t="s">
        <v>3</v>
      </c>
      <c r="HP202" s="2" t="s">
        <v>3</v>
      </c>
      <c r="HQ202" s="2" t="s">
        <v>3</v>
      </c>
      <c r="HR202" s="2"/>
      <c r="HS202" s="2">
        <v>0</v>
      </c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>
        <v>0</v>
      </c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x14ac:dyDescent="0.2">
      <c r="A203" s="2">
        <v>17</v>
      </c>
      <c r="B203" s="2">
        <v>1</v>
      </c>
      <c r="C203" s="2">
        <f>ROW(SmtRes!A246)</f>
        <v>246</v>
      </c>
      <c r="D203" s="2">
        <f>ROW(EtalonRes!A270)</f>
        <v>270</v>
      </c>
      <c r="E203" s="2" t="s">
        <v>377</v>
      </c>
      <c r="F203" s="2" t="s">
        <v>378</v>
      </c>
      <c r="G203" s="2" t="s">
        <v>379</v>
      </c>
      <c r="H203" s="2" t="s">
        <v>163</v>
      </c>
      <c r="I203" s="2">
        <v>2</v>
      </c>
      <c r="J203" s="2">
        <v>0</v>
      </c>
      <c r="K203" s="2">
        <v>2</v>
      </c>
      <c r="L203" s="2"/>
      <c r="M203" s="2"/>
      <c r="N203" s="2"/>
      <c r="O203" s="2">
        <f>ROUND(CP203,2)</f>
        <v>243.5</v>
      </c>
      <c r="P203" s="2">
        <f>SUMIF(SmtRes!AQ241:'SmtRes'!AQ246,"=1",SmtRes!DF241:'SmtRes'!DF246)</f>
        <v>20.23</v>
      </c>
      <c r="Q203" s="2">
        <f>SUMIF(SmtRes!AQ241:'SmtRes'!AQ246,"=1",SmtRes!DG241:'SmtRes'!DG246)</f>
        <v>6.66</v>
      </c>
      <c r="R203" s="2">
        <f>SUMIF(SmtRes!AQ241:'SmtRes'!AQ246,"=1",SmtRes!DH241:'SmtRes'!DH246)</f>
        <v>0</v>
      </c>
      <c r="S203" s="2">
        <f>SUMIF(SmtRes!AQ241:'SmtRes'!AQ246,"=1",SmtRes!DI241:'SmtRes'!DI246)</f>
        <v>216.61</v>
      </c>
      <c r="T203" s="2">
        <f t="shared" si="115"/>
        <v>0</v>
      </c>
      <c r="U203" s="2">
        <f>SUMIF(SmtRes!AQ241:'SmtRes'!AQ246,"=1",SmtRes!CV241:'SmtRes'!CV246)</f>
        <v>0.56000000000000005</v>
      </c>
      <c r="V203" s="2">
        <f>SUMIF(SmtRes!AQ241:'SmtRes'!AQ246,"=1",SmtRes!CW241:'SmtRes'!CW246)</f>
        <v>0</v>
      </c>
      <c r="W203" s="2">
        <f t="shared" si="116"/>
        <v>0</v>
      </c>
      <c r="X203" s="2">
        <f t="shared" si="117"/>
        <v>253.43</v>
      </c>
      <c r="Y203" s="2">
        <f t="shared" si="118"/>
        <v>160.29</v>
      </c>
      <c r="Z203" s="2"/>
      <c r="AA203" s="2">
        <v>74014550</v>
      </c>
      <c r="AB203" s="2">
        <f t="shared" si="119"/>
        <v>116.59130999999999</v>
      </c>
      <c r="AC203" s="2">
        <f>ROUND((SUM(SmtRes!BQ241:'SmtRes'!BQ246)),6)</f>
        <v>6.0242100000000001</v>
      </c>
      <c r="AD203" s="2">
        <f>ROUND((((SUM(SmtRes!BR241:'SmtRes'!BR246))-(0))+AE203),6)</f>
        <v>2.2631000000000001</v>
      </c>
      <c r="AE203" s="2">
        <f>ROUND((0),6)</f>
        <v>0</v>
      </c>
      <c r="AF203" s="2">
        <f>ROUND((SUM(SmtRes!BT241:'SmtRes'!BT246)),6)</f>
        <v>108.304</v>
      </c>
      <c r="AG203" s="2">
        <f t="shared" si="120"/>
        <v>0</v>
      </c>
      <c r="AH203" s="2">
        <f>(SUM(SmtRes!BU241:'SmtRes'!BU246))</f>
        <v>0.28000000000000003</v>
      </c>
      <c r="AI203" s="2">
        <f>(0)</f>
        <v>0</v>
      </c>
      <c r="AJ203" s="2">
        <f t="shared" si="121"/>
        <v>0</v>
      </c>
      <c r="AK203" s="2">
        <v>116.59131000000002</v>
      </c>
      <c r="AL203" s="2">
        <v>6.0242100000000001</v>
      </c>
      <c r="AM203" s="2">
        <v>2.2630999999999997</v>
      </c>
      <c r="AN203" s="2">
        <v>0</v>
      </c>
      <c r="AO203" s="2">
        <v>108.30400000000002</v>
      </c>
      <c r="AP203" s="2">
        <v>0</v>
      </c>
      <c r="AQ203" s="2">
        <v>0.28000000000000003</v>
      </c>
      <c r="AR203" s="2">
        <v>0</v>
      </c>
      <c r="AS203" s="2">
        <v>0</v>
      </c>
      <c r="AT203" s="2">
        <v>117</v>
      </c>
      <c r="AU203" s="2">
        <v>74</v>
      </c>
      <c r="AV203" s="2">
        <v>1</v>
      </c>
      <c r="AW203" s="2">
        <v>1</v>
      </c>
      <c r="AX203" s="2"/>
      <c r="AY203" s="2"/>
      <c r="AZ203" s="2">
        <v>1</v>
      </c>
      <c r="BA203" s="2">
        <v>1</v>
      </c>
      <c r="BB203" s="2">
        <v>1</v>
      </c>
      <c r="BC203" s="2">
        <v>1</v>
      </c>
      <c r="BD203" s="2" t="s">
        <v>3</v>
      </c>
      <c r="BE203" s="2" t="s">
        <v>3</v>
      </c>
      <c r="BF203" s="2" t="s">
        <v>3</v>
      </c>
      <c r="BG203" s="2" t="s">
        <v>3</v>
      </c>
      <c r="BH203" s="2">
        <v>0</v>
      </c>
      <c r="BI203" s="2">
        <v>1</v>
      </c>
      <c r="BJ203" s="2" t="s">
        <v>380</v>
      </c>
      <c r="BK203" s="2"/>
      <c r="BL203" s="2"/>
      <c r="BM203" s="2">
        <v>24001</v>
      </c>
      <c r="BN203" s="2">
        <v>0</v>
      </c>
      <c r="BO203" s="2" t="s">
        <v>3</v>
      </c>
      <c r="BP203" s="2">
        <v>0</v>
      </c>
      <c r="BQ203" s="2">
        <v>2</v>
      </c>
      <c r="BR203" s="2">
        <v>0</v>
      </c>
      <c r="BS203" s="2">
        <v>1</v>
      </c>
      <c r="BT203" s="2">
        <v>1</v>
      </c>
      <c r="BU203" s="2">
        <v>1</v>
      </c>
      <c r="BV203" s="2">
        <v>1</v>
      </c>
      <c r="BW203" s="2">
        <v>1</v>
      </c>
      <c r="BX203" s="2">
        <v>1</v>
      </c>
      <c r="BY203" s="2" t="s">
        <v>3</v>
      </c>
      <c r="BZ203" s="2">
        <v>117</v>
      </c>
      <c r="CA203" s="2">
        <v>74</v>
      </c>
      <c r="CB203" s="2" t="s">
        <v>3</v>
      </c>
      <c r="CC203" s="2"/>
      <c r="CD203" s="2"/>
      <c r="CE203" s="2">
        <v>0</v>
      </c>
      <c r="CF203" s="2">
        <v>0</v>
      </c>
      <c r="CG203" s="2">
        <v>0</v>
      </c>
      <c r="CH203" s="2"/>
      <c r="CI203" s="2"/>
      <c r="CJ203" s="2"/>
      <c r="CK203" s="2"/>
      <c r="CL203" s="2"/>
      <c r="CM203" s="2">
        <v>0</v>
      </c>
      <c r="CN203" s="2" t="s">
        <v>3</v>
      </c>
      <c r="CO203" s="2">
        <v>0</v>
      </c>
      <c r="CP203" s="2">
        <f>(P203+Q203+S203+R203)</f>
        <v>243.5</v>
      </c>
      <c r="CQ203" s="2">
        <f>SUMIF(SmtRes!AQ241:'SmtRes'!AQ246,"=1",SmtRes!AA241:'SmtRes'!AA246)</f>
        <v>1094.0999999999999</v>
      </c>
      <c r="CR203" s="2">
        <f>SUMIF(SmtRes!AQ241:'SmtRes'!AQ246,"=1",SmtRes!AB241:'SmtRes'!AB246)</f>
        <v>18.149999999999999</v>
      </c>
      <c r="CS203" s="2">
        <f>SUMIF(SmtRes!AQ241:'SmtRes'!AQ246,"=1",SmtRes!AC241:'SmtRes'!AC246)</f>
        <v>0</v>
      </c>
      <c r="CT203" s="2">
        <f>SUMIF(SmtRes!AQ241:'SmtRes'!AQ246,"=1",SmtRes!AD241:'SmtRes'!AD246)</f>
        <v>386.8</v>
      </c>
      <c r="CU203" s="2">
        <f>AG203</f>
        <v>0</v>
      </c>
      <c r="CV203" s="2">
        <f>SUMIF(SmtRes!AQ241:'SmtRes'!AQ246,"=1",SmtRes!BU241:'SmtRes'!BU246)</f>
        <v>0.28000000000000003</v>
      </c>
      <c r="CW203" s="2">
        <f>SUMIF(SmtRes!AQ241:'SmtRes'!AQ246,"=1",SmtRes!BV241:'SmtRes'!BV246)</f>
        <v>0</v>
      </c>
      <c r="CX203" s="2">
        <f>AJ203</f>
        <v>0</v>
      </c>
      <c r="CY203" s="2">
        <f>(((S203+R203)*AT203)/100)</f>
        <v>253.43370000000002</v>
      </c>
      <c r="CZ203" s="2">
        <f>(((S203+R203)*AU203)/100)</f>
        <v>160.29140000000001</v>
      </c>
      <c r="DA203" s="2"/>
      <c r="DB203" s="2"/>
      <c r="DC203" s="2" t="s">
        <v>3</v>
      </c>
      <c r="DD203" s="2" t="s">
        <v>3</v>
      </c>
      <c r="DE203" s="2" t="s">
        <v>3</v>
      </c>
      <c r="DF203" s="2" t="s">
        <v>3</v>
      </c>
      <c r="DG203" s="2" t="s">
        <v>3</v>
      </c>
      <c r="DH203" s="2" t="s">
        <v>3</v>
      </c>
      <c r="DI203" s="2" t="s">
        <v>3</v>
      </c>
      <c r="DJ203" s="2" t="s">
        <v>3</v>
      </c>
      <c r="DK203" s="2" t="s">
        <v>3</v>
      </c>
      <c r="DL203" s="2" t="s">
        <v>3</v>
      </c>
      <c r="DM203" s="2" t="s">
        <v>3</v>
      </c>
      <c r="DN203" s="2">
        <v>0</v>
      </c>
      <c r="DO203" s="2">
        <v>0</v>
      </c>
      <c r="DP203" s="2">
        <v>1</v>
      </c>
      <c r="DQ203" s="2">
        <v>1</v>
      </c>
      <c r="DR203" s="2"/>
      <c r="DS203" s="2"/>
      <c r="DT203" s="2"/>
      <c r="DU203" s="2">
        <v>1013</v>
      </c>
      <c r="DV203" s="2" t="s">
        <v>163</v>
      </c>
      <c r="DW203" s="2" t="s">
        <v>163</v>
      </c>
      <c r="DX203" s="2">
        <v>1</v>
      </c>
      <c r="DY203" s="2"/>
      <c r="DZ203" s="2" t="s">
        <v>3</v>
      </c>
      <c r="EA203" s="2" t="s">
        <v>3</v>
      </c>
      <c r="EB203" s="2" t="s">
        <v>3</v>
      </c>
      <c r="EC203" s="2" t="s">
        <v>3</v>
      </c>
      <c r="ED203" s="2"/>
      <c r="EE203" s="2">
        <v>72340632</v>
      </c>
      <c r="EF203" s="2">
        <v>2</v>
      </c>
      <c r="EG203" s="2" t="s">
        <v>23</v>
      </c>
      <c r="EH203" s="2">
        <v>18</v>
      </c>
      <c r="EI203" s="2" t="s">
        <v>41</v>
      </c>
      <c r="EJ203" s="2">
        <v>1</v>
      </c>
      <c r="EK203" s="2">
        <v>24001</v>
      </c>
      <c r="EL203" s="2" t="s">
        <v>41</v>
      </c>
      <c r="EM203" s="2" t="s">
        <v>121</v>
      </c>
      <c r="EN203" s="2"/>
      <c r="EO203" s="2" t="s">
        <v>3</v>
      </c>
      <c r="EP203" s="2"/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0.28000000000000003</v>
      </c>
      <c r="EX203" s="2">
        <v>0</v>
      </c>
      <c r="EY203" s="2">
        <v>0</v>
      </c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>
        <v>0</v>
      </c>
      <c r="FR203" s="2">
        <v>0</v>
      </c>
      <c r="FS203" s="2">
        <v>0</v>
      </c>
      <c r="FT203" s="2"/>
      <c r="FU203" s="2"/>
      <c r="FV203" s="2"/>
      <c r="FW203" s="2"/>
      <c r="FX203" s="2">
        <v>117</v>
      </c>
      <c r="FY203" s="2">
        <v>74</v>
      </c>
      <c r="FZ203" s="2"/>
      <c r="GA203" s="2" t="s">
        <v>3</v>
      </c>
      <c r="GB203" s="2"/>
      <c r="GC203" s="2"/>
      <c r="GD203" s="2">
        <v>1</v>
      </c>
      <c r="GE203" s="2"/>
      <c r="GF203" s="2">
        <v>-279115442</v>
      </c>
      <c r="GG203" s="2">
        <v>2</v>
      </c>
      <c r="GH203" s="2">
        <v>1</v>
      </c>
      <c r="GI203" s="2">
        <v>-2</v>
      </c>
      <c r="GJ203" s="2">
        <v>0</v>
      </c>
      <c r="GK203" s="2">
        <v>0</v>
      </c>
      <c r="GL203" s="2">
        <f t="shared" si="127"/>
        <v>0</v>
      </c>
      <c r="GM203" s="2">
        <f t="shared" si="128"/>
        <v>657.22</v>
      </c>
      <c r="GN203" s="2">
        <f t="shared" si="129"/>
        <v>657.22</v>
      </c>
      <c r="GO203" s="2">
        <f t="shared" si="130"/>
        <v>0</v>
      </c>
      <c r="GP203" s="2">
        <f t="shared" si="131"/>
        <v>0</v>
      </c>
      <c r="GQ203" s="2"/>
      <c r="GR203" s="2">
        <v>0</v>
      </c>
      <c r="GS203" s="2">
        <v>3</v>
      </c>
      <c r="GT203" s="2">
        <v>0</v>
      </c>
      <c r="GU203" s="2" t="s">
        <v>3</v>
      </c>
      <c r="GV203" s="2">
        <f t="shared" si="132"/>
        <v>0</v>
      </c>
      <c r="GW203" s="2">
        <v>1</v>
      </c>
      <c r="GX203" s="2">
        <f t="shared" si="133"/>
        <v>0</v>
      </c>
      <c r="GY203" s="2"/>
      <c r="GZ203" s="2"/>
      <c r="HA203" s="2">
        <v>0</v>
      </c>
      <c r="HB203" s="2">
        <v>0</v>
      </c>
      <c r="HC203" s="2">
        <f>GV203*GW203</f>
        <v>0</v>
      </c>
      <c r="HD203" s="2"/>
      <c r="HE203" s="2" t="s">
        <v>3</v>
      </c>
      <c r="HF203" s="2" t="s">
        <v>3</v>
      </c>
      <c r="HG203" s="2"/>
      <c r="HH203" s="2"/>
      <c r="HI203" s="2"/>
      <c r="HJ203" s="2"/>
      <c r="HK203" s="2"/>
      <c r="HL203" s="2"/>
      <c r="HM203" s="2" t="s">
        <v>3</v>
      </c>
      <c r="HN203" s="2" t="s">
        <v>43</v>
      </c>
      <c r="HO203" s="2" t="s">
        <v>44</v>
      </c>
      <c r="HP203" s="2" t="s">
        <v>41</v>
      </c>
      <c r="HQ203" s="2" t="s">
        <v>41</v>
      </c>
      <c r="HR203" s="2"/>
      <c r="HS203" s="2">
        <v>0</v>
      </c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>
        <v>0</v>
      </c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 x14ac:dyDescent="0.2">
      <c r="A204" s="2">
        <v>18</v>
      </c>
      <c r="B204" s="2">
        <v>1</v>
      </c>
      <c r="C204" s="2">
        <v>246</v>
      </c>
      <c r="D204" s="2"/>
      <c r="E204" s="2" t="s">
        <v>381</v>
      </c>
      <c r="F204" s="2" t="s">
        <v>382</v>
      </c>
      <c r="G204" s="2" t="s">
        <v>383</v>
      </c>
      <c r="H204" s="2" t="s">
        <v>130</v>
      </c>
      <c r="I204" s="2">
        <f>I203*J204</f>
        <v>2</v>
      </c>
      <c r="J204" s="2">
        <v>1</v>
      </c>
      <c r="K204" s="2">
        <v>1</v>
      </c>
      <c r="L204" s="2"/>
      <c r="M204" s="2"/>
      <c r="N204" s="2"/>
      <c r="O204" s="2">
        <f>ROUND(CP204,2)</f>
        <v>306.8</v>
      </c>
      <c r="P204" s="2">
        <f>ROUND(CQ204*I204,2)</f>
        <v>306.8</v>
      </c>
      <c r="Q204" s="2">
        <f>ROUND(CR204*I204,2)</f>
        <v>0</v>
      </c>
      <c r="R204" s="2">
        <f>ROUND(CS204*I204,2)</f>
        <v>0</v>
      </c>
      <c r="S204" s="2">
        <f>ROUND(CT204*I204,2)</f>
        <v>0</v>
      </c>
      <c r="T204" s="2">
        <f t="shared" si="115"/>
        <v>0</v>
      </c>
      <c r="U204" s="2">
        <f>ROUND(CV204*I204,7)</f>
        <v>0</v>
      </c>
      <c r="V204" s="2">
        <f>ROUND(CW204*I204,7)</f>
        <v>0</v>
      </c>
      <c r="W204" s="2">
        <f t="shared" si="116"/>
        <v>0</v>
      </c>
      <c r="X204" s="2">
        <f t="shared" si="117"/>
        <v>0</v>
      </c>
      <c r="Y204" s="2">
        <f t="shared" si="118"/>
        <v>0</v>
      </c>
      <c r="Z204" s="2"/>
      <c r="AA204" s="2">
        <v>74014550</v>
      </c>
      <c r="AB204" s="2">
        <f t="shared" si="119"/>
        <v>120.79</v>
      </c>
      <c r="AC204" s="2">
        <f>ROUND((ES204),6)</f>
        <v>120.79</v>
      </c>
      <c r="AD204" s="2">
        <f>ROUND((((ET204)-(EU204))+AE204),6)</f>
        <v>0</v>
      </c>
      <c r="AE204" s="2">
        <f>ROUND((EU204),6)</f>
        <v>0</v>
      </c>
      <c r="AF204" s="2">
        <f>ROUND((EV204),6)</f>
        <v>0</v>
      </c>
      <c r="AG204" s="2">
        <f t="shared" si="120"/>
        <v>0</v>
      </c>
      <c r="AH204" s="2">
        <f>(EW204)</f>
        <v>0</v>
      </c>
      <c r="AI204" s="2">
        <f>(EX204)</f>
        <v>0</v>
      </c>
      <c r="AJ204" s="2">
        <f t="shared" si="121"/>
        <v>0</v>
      </c>
      <c r="AK204" s="2">
        <v>120.79</v>
      </c>
      <c r="AL204" s="2">
        <v>120.79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117</v>
      </c>
      <c r="AU204" s="2">
        <v>74</v>
      </c>
      <c r="AV204" s="2">
        <v>1</v>
      </c>
      <c r="AW204" s="2">
        <v>1</v>
      </c>
      <c r="AX204" s="2"/>
      <c r="AY204" s="2"/>
      <c r="AZ204" s="2">
        <v>1</v>
      </c>
      <c r="BA204" s="2">
        <v>1</v>
      </c>
      <c r="BB204" s="2">
        <v>1</v>
      </c>
      <c r="BC204" s="2">
        <v>1.27</v>
      </c>
      <c r="BD204" s="2" t="s">
        <v>3</v>
      </c>
      <c r="BE204" s="2" t="s">
        <v>3</v>
      </c>
      <c r="BF204" s="2" t="s">
        <v>3</v>
      </c>
      <c r="BG204" s="2" t="s">
        <v>3</v>
      </c>
      <c r="BH204" s="2">
        <v>3</v>
      </c>
      <c r="BI204" s="2">
        <v>1</v>
      </c>
      <c r="BJ204" s="2" t="s">
        <v>384</v>
      </c>
      <c r="BK204" s="2"/>
      <c r="BL204" s="2"/>
      <c r="BM204" s="2">
        <v>24001</v>
      </c>
      <c r="BN204" s="2">
        <v>0</v>
      </c>
      <c r="BO204" s="2" t="s">
        <v>382</v>
      </c>
      <c r="BP204" s="2">
        <v>1</v>
      </c>
      <c r="BQ204" s="2">
        <v>2</v>
      </c>
      <c r="BR204" s="2">
        <v>0</v>
      </c>
      <c r="BS204" s="2">
        <v>1</v>
      </c>
      <c r="BT204" s="2">
        <v>1</v>
      </c>
      <c r="BU204" s="2">
        <v>1</v>
      </c>
      <c r="BV204" s="2">
        <v>1</v>
      </c>
      <c r="BW204" s="2">
        <v>1</v>
      </c>
      <c r="BX204" s="2">
        <v>1</v>
      </c>
      <c r="BY204" s="2" t="s">
        <v>3</v>
      </c>
      <c r="BZ204" s="2">
        <v>117</v>
      </c>
      <c r="CA204" s="2">
        <v>74</v>
      </c>
      <c r="CB204" s="2" t="s">
        <v>3</v>
      </c>
      <c r="CC204" s="2"/>
      <c r="CD204" s="2"/>
      <c r="CE204" s="2">
        <v>0</v>
      </c>
      <c r="CF204" s="2">
        <v>0</v>
      </c>
      <c r="CG204" s="2">
        <v>0</v>
      </c>
      <c r="CH204" s="2"/>
      <c r="CI204" s="2"/>
      <c r="CJ204" s="2"/>
      <c r="CK204" s="2"/>
      <c r="CL204" s="2"/>
      <c r="CM204" s="2">
        <v>0</v>
      </c>
      <c r="CN204" s="2" t="s">
        <v>3</v>
      </c>
      <c r="CO204" s="2">
        <v>0</v>
      </c>
      <c r="CP204" s="2">
        <f>(P204+Q204+S204+R204)</f>
        <v>306.8</v>
      </c>
      <c r="CQ204" s="2">
        <f>ROUND(AL204*BC204,2)</f>
        <v>153.4</v>
      </c>
      <c r="CR204" s="2">
        <f>ROUND(AM204*BB204,2)</f>
        <v>0</v>
      </c>
      <c r="CS204" s="2">
        <f>ROUND(AN204*BS204,2)</f>
        <v>0</v>
      </c>
      <c r="CT204" s="2">
        <f>ROUND(AO204*BA204,2)</f>
        <v>0</v>
      </c>
      <c r="CU204" s="2">
        <f>AG204</f>
        <v>0</v>
      </c>
      <c r="CV204" s="2">
        <f>AH204</f>
        <v>0</v>
      </c>
      <c r="CW204" s="2">
        <f>AI204</f>
        <v>0</v>
      </c>
      <c r="CX204" s="2">
        <f>AJ204</f>
        <v>0</v>
      </c>
      <c r="CY204" s="2">
        <f>(((S204+R204)*AT204)/100)</f>
        <v>0</v>
      </c>
      <c r="CZ204" s="2">
        <f>(((S204+R204)*AU204)/100)</f>
        <v>0</v>
      </c>
      <c r="DA204" s="2"/>
      <c r="DB204" s="2"/>
      <c r="DC204" s="2" t="s">
        <v>3</v>
      </c>
      <c r="DD204" s="2" t="s">
        <v>3</v>
      </c>
      <c r="DE204" s="2" t="s">
        <v>3</v>
      </c>
      <c r="DF204" s="2" t="s">
        <v>3</v>
      </c>
      <c r="DG204" s="2" t="s">
        <v>3</v>
      </c>
      <c r="DH204" s="2" t="s">
        <v>3</v>
      </c>
      <c r="DI204" s="2" t="s">
        <v>3</v>
      </c>
      <c r="DJ204" s="2" t="s">
        <v>3</v>
      </c>
      <c r="DK204" s="2" t="s">
        <v>3</v>
      </c>
      <c r="DL204" s="2" t="s">
        <v>3</v>
      </c>
      <c r="DM204" s="2" t="s">
        <v>3</v>
      </c>
      <c r="DN204" s="2">
        <v>0</v>
      </c>
      <c r="DO204" s="2">
        <v>0</v>
      </c>
      <c r="DP204" s="2">
        <v>1</v>
      </c>
      <c r="DQ204" s="2">
        <v>1</v>
      </c>
      <c r="DR204" s="2"/>
      <c r="DS204" s="2"/>
      <c r="DT204" s="2"/>
      <c r="DU204" s="2">
        <v>1013</v>
      </c>
      <c r="DV204" s="2" t="s">
        <v>130</v>
      </c>
      <c r="DW204" s="2" t="s">
        <v>130</v>
      </c>
      <c r="DX204" s="2">
        <v>1</v>
      </c>
      <c r="DY204" s="2"/>
      <c r="DZ204" s="2" t="s">
        <v>3</v>
      </c>
      <c r="EA204" s="2" t="s">
        <v>3</v>
      </c>
      <c r="EB204" s="2" t="s">
        <v>3</v>
      </c>
      <c r="EC204" s="2" t="s">
        <v>3</v>
      </c>
      <c r="ED204" s="2"/>
      <c r="EE204" s="2">
        <v>72340632</v>
      </c>
      <c r="EF204" s="2">
        <v>2</v>
      </c>
      <c r="EG204" s="2" t="s">
        <v>23</v>
      </c>
      <c r="EH204" s="2">
        <v>18</v>
      </c>
      <c r="EI204" s="2" t="s">
        <v>41</v>
      </c>
      <c r="EJ204" s="2">
        <v>1</v>
      </c>
      <c r="EK204" s="2">
        <v>24001</v>
      </c>
      <c r="EL204" s="2" t="s">
        <v>41</v>
      </c>
      <c r="EM204" s="2" t="s">
        <v>121</v>
      </c>
      <c r="EN204" s="2"/>
      <c r="EO204" s="2" t="s">
        <v>3</v>
      </c>
      <c r="EP204" s="2"/>
      <c r="EQ204" s="2">
        <v>0</v>
      </c>
      <c r="ER204" s="2">
        <v>120.79</v>
      </c>
      <c r="ES204" s="2">
        <v>120.79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>
        <v>0</v>
      </c>
      <c r="FR204" s="2">
        <v>0</v>
      </c>
      <c r="FS204" s="2">
        <v>0</v>
      </c>
      <c r="FT204" s="2"/>
      <c r="FU204" s="2"/>
      <c r="FV204" s="2"/>
      <c r="FW204" s="2"/>
      <c r="FX204" s="2">
        <v>117</v>
      </c>
      <c r="FY204" s="2">
        <v>74</v>
      </c>
      <c r="FZ204" s="2"/>
      <c r="GA204" s="2" t="s">
        <v>3</v>
      </c>
      <c r="GB204" s="2"/>
      <c r="GC204" s="2"/>
      <c r="GD204" s="2">
        <v>1</v>
      </c>
      <c r="GE204" s="2"/>
      <c r="GF204" s="2">
        <v>1640984246</v>
      </c>
      <c r="GG204" s="2">
        <v>2</v>
      </c>
      <c r="GH204" s="2">
        <v>1</v>
      </c>
      <c r="GI204" s="2">
        <v>2</v>
      </c>
      <c r="GJ204" s="2">
        <v>0</v>
      </c>
      <c r="GK204" s="2">
        <v>0</v>
      </c>
      <c r="GL204" s="2">
        <f t="shared" si="127"/>
        <v>0</v>
      </c>
      <c r="GM204" s="2">
        <f t="shared" si="128"/>
        <v>306.8</v>
      </c>
      <c r="GN204" s="2">
        <f t="shared" si="129"/>
        <v>306.8</v>
      </c>
      <c r="GO204" s="2">
        <f t="shared" si="130"/>
        <v>0</v>
      </c>
      <c r="GP204" s="2">
        <f t="shared" si="131"/>
        <v>0</v>
      </c>
      <c r="GQ204" s="2"/>
      <c r="GR204" s="2">
        <v>0</v>
      </c>
      <c r="GS204" s="2">
        <v>3</v>
      </c>
      <c r="GT204" s="2">
        <v>0</v>
      </c>
      <c r="GU204" s="2" t="s">
        <v>3</v>
      </c>
      <c r="GV204" s="2">
        <f t="shared" si="132"/>
        <v>0</v>
      </c>
      <c r="GW204" s="2">
        <v>1</v>
      </c>
      <c r="GX204" s="2">
        <f t="shared" si="133"/>
        <v>0</v>
      </c>
      <c r="GY204" s="2"/>
      <c r="GZ204" s="2"/>
      <c r="HA204" s="2">
        <v>0</v>
      </c>
      <c r="HB204" s="2">
        <v>0</v>
      </c>
      <c r="HC204" s="2">
        <f>GV204*GW204</f>
        <v>0</v>
      </c>
      <c r="HD204" s="2"/>
      <c r="HE204" s="2" t="s">
        <v>3</v>
      </c>
      <c r="HF204" s="2" t="s">
        <v>3</v>
      </c>
      <c r="HG204" s="2"/>
      <c r="HH204" s="2"/>
      <c r="HI204" s="2"/>
      <c r="HJ204" s="2"/>
      <c r="HK204" s="2"/>
      <c r="HL204" s="2"/>
      <c r="HM204" s="2" t="s">
        <v>3</v>
      </c>
      <c r="HN204" s="2" t="s">
        <v>43</v>
      </c>
      <c r="HO204" s="2" t="s">
        <v>44</v>
      </c>
      <c r="HP204" s="2" t="s">
        <v>41</v>
      </c>
      <c r="HQ204" s="2" t="s">
        <v>41</v>
      </c>
      <c r="HR204" s="2"/>
      <c r="HS204" s="2">
        <v>0</v>
      </c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>
        <v>0</v>
      </c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x14ac:dyDescent="0.2">
      <c r="A205" s="2">
        <v>17</v>
      </c>
      <c r="B205" s="2">
        <v>1</v>
      </c>
      <c r="C205" s="2">
        <f>ROW(SmtRes!A250)</f>
        <v>250</v>
      </c>
      <c r="D205" s="2">
        <f>ROW(EtalonRes!A274)</f>
        <v>274</v>
      </c>
      <c r="E205" s="2" t="s">
        <v>385</v>
      </c>
      <c r="F205" s="2" t="s">
        <v>386</v>
      </c>
      <c r="G205" s="2" t="s">
        <v>387</v>
      </c>
      <c r="H205" s="2" t="s">
        <v>163</v>
      </c>
      <c r="I205" s="2">
        <v>1</v>
      </c>
      <c r="J205" s="2">
        <v>0</v>
      </c>
      <c r="K205" s="2">
        <v>1</v>
      </c>
      <c r="L205" s="2"/>
      <c r="M205" s="2"/>
      <c r="N205" s="2"/>
      <c r="O205" s="2">
        <f>ROUND(CP205,2)</f>
        <v>647.51</v>
      </c>
      <c r="P205" s="2">
        <f>SUMIF(SmtRes!AQ247:'SmtRes'!AQ250,"=1",SmtRes!DF247:'SmtRes'!DF250)</f>
        <v>40.11</v>
      </c>
      <c r="Q205" s="2">
        <f>SUMIF(SmtRes!AQ247:'SmtRes'!AQ250,"=1",SmtRes!DG247:'SmtRes'!DG250)</f>
        <v>5.25</v>
      </c>
      <c r="R205" s="2">
        <f>SUMIF(SmtRes!AQ247:'SmtRes'!AQ250,"=1",SmtRes!DH247:'SmtRes'!DH250)</f>
        <v>0</v>
      </c>
      <c r="S205" s="2">
        <f>SUMIF(SmtRes!AQ247:'SmtRes'!AQ250,"=1",SmtRes!DI247:'SmtRes'!DI250)</f>
        <v>602.15</v>
      </c>
      <c r="T205" s="2">
        <f t="shared" si="115"/>
        <v>0</v>
      </c>
      <c r="U205" s="2">
        <f>SUMIF(SmtRes!AQ247:'SmtRes'!AQ250,"=1",SmtRes!CV247:'SmtRes'!CV250)</f>
        <v>1.4</v>
      </c>
      <c r="V205" s="2">
        <f>SUMIF(SmtRes!AQ247:'SmtRes'!AQ250,"=1",SmtRes!CW247:'SmtRes'!CW250)</f>
        <v>0</v>
      </c>
      <c r="W205" s="2">
        <f t="shared" si="116"/>
        <v>0</v>
      </c>
      <c r="X205" s="2">
        <f t="shared" si="117"/>
        <v>704.52</v>
      </c>
      <c r="Y205" s="2">
        <f t="shared" si="118"/>
        <v>445.59</v>
      </c>
      <c r="Z205" s="2"/>
      <c r="AA205" s="2">
        <v>74014550</v>
      </c>
      <c r="AB205" s="2">
        <f t="shared" si="119"/>
        <v>629.30579999999998</v>
      </c>
      <c r="AC205" s="2">
        <f>ROUND((SUM(SmtRes!BQ247:'SmtRes'!BQ250)),6)</f>
        <v>23.872399999999999</v>
      </c>
      <c r="AD205" s="2">
        <f>ROUND((((SUM(SmtRes!BR247:'SmtRes'!BR250))-(0))+AE205),6)</f>
        <v>3.2793999999999999</v>
      </c>
      <c r="AE205" s="2">
        <f>ROUND((0),6)</f>
        <v>0</v>
      </c>
      <c r="AF205" s="2">
        <f>ROUND((SUM(SmtRes!BT247:'SmtRes'!BT250)),6)</f>
        <v>602.154</v>
      </c>
      <c r="AG205" s="2">
        <f t="shared" si="120"/>
        <v>0</v>
      </c>
      <c r="AH205" s="2">
        <f>(SUM(SmtRes!BU247:'SmtRes'!BU250))</f>
        <v>1.4</v>
      </c>
      <c r="AI205" s="2">
        <f>(0)</f>
        <v>0</v>
      </c>
      <c r="AJ205" s="2">
        <f t="shared" si="121"/>
        <v>0</v>
      </c>
      <c r="AK205" s="2">
        <v>629.30579999999998</v>
      </c>
      <c r="AL205" s="2">
        <v>23.872399999999999</v>
      </c>
      <c r="AM205" s="2">
        <v>3.2794000000000003</v>
      </c>
      <c r="AN205" s="2">
        <v>0</v>
      </c>
      <c r="AO205" s="2">
        <v>602.154</v>
      </c>
      <c r="AP205" s="2">
        <v>0</v>
      </c>
      <c r="AQ205" s="2">
        <v>1.4</v>
      </c>
      <c r="AR205" s="2">
        <v>0</v>
      </c>
      <c r="AS205" s="2">
        <v>0</v>
      </c>
      <c r="AT205" s="2">
        <v>117</v>
      </c>
      <c r="AU205" s="2">
        <v>74</v>
      </c>
      <c r="AV205" s="2">
        <v>1</v>
      </c>
      <c r="AW205" s="2">
        <v>1</v>
      </c>
      <c r="AX205" s="2"/>
      <c r="AY205" s="2"/>
      <c r="AZ205" s="2">
        <v>1</v>
      </c>
      <c r="BA205" s="2">
        <v>1</v>
      </c>
      <c r="BB205" s="2">
        <v>1</v>
      </c>
      <c r="BC205" s="2">
        <v>1</v>
      </c>
      <c r="BD205" s="2" t="s">
        <v>3</v>
      </c>
      <c r="BE205" s="2" t="s">
        <v>3</v>
      </c>
      <c r="BF205" s="2" t="s">
        <v>3</v>
      </c>
      <c r="BG205" s="2" t="s">
        <v>3</v>
      </c>
      <c r="BH205" s="2">
        <v>0</v>
      </c>
      <c r="BI205" s="2">
        <v>1</v>
      </c>
      <c r="BJ205" s="2" t="s">
        <v>388</v>
      </c>
      <c r="BK205" s="2"/>
      <c r="BL205" s="2"/>
      <c r="BM205" s="2">
        <v>24001</v>
      </c>
      <c r="BN205" s="2">
        <v>0</v>
      </c>
      <c r="BO205" s="2" t="s">
        <v>3</v>
      </c>
      <c r="BP205" s="2">
        <v>0</v>
      </c>
      <c r="BQ205" s="2">
        <v>2</v>
      </c>
      <c r="BR205" s="2">
        <v>0</v>
      </c>
      <c r="BS205" s="2">
        <v>1</v>
      </c>
      <c r="BT205" s="2">
        <v>1</v>
      </c>
      <c r="BU205" s="2">
        <v>1</v>
      </c>
      <c r="BV205" s="2">
        <v>1</v>
      </c>
      <c r="BW205" s="2">
        <v>1</v>
      </c>
      <c r="BX205" s="2">
        <v>1</v>
      </c>
      <c r="BY205" s="2" t="s">
        <v>3</v>
      </c>
      <c r="BZ205" s="2">
        <v>117</v>
      </c>
      <c r="CA205" s="2">
        <v>74</v>
      </c>
      <c r="CB205" s="2" t="s">
        <v>3</v>
      </c>
      <c r="CC205" s="2"/>
      <c r="CD205" s="2"/>
      <c r="CE205" s="2">
        <v>0</v>
      </c>
      <c r="CF205" s="2">
        <v>0</v>
      </c>
      <c r="CG205" s="2">
        <v>0</v>
      </c>
      <c r="CH205" s="2"/>
      <c r="CI205" s="2"/>
      <c r="CJ205" s="2"/>
      <c r="CK205" s="2"/>
      <c r="CL205" s="2"/>
      <c r="CM205" s="2">
        <v>0</v>
      </c>
      <c r="CN205" s="2" t="s">
        <v>3</v>
      </c>
      <c r="CO205" s="2">
        <v>0</v>
      </c>
      <c r="CP205" s="2">
        <f>(P205+Q205+S205+R205)</f>
        <v>647.51</v>
      </c>
      <c r="CQ205" s="2">
        <f>SUMIF(SmtRes!AQ247:'SmtRes'!AQ250,"=1",SmtRes!AA247:'SmtRes'!AA250)</f>
        <v>1002.64</v>
      </c>
      <c r="CR205" s="2">
        <f>SUMIF(SmtRes!AQ247:'SmtRes'!AQ250,"=1",SmtRes!AB247:'SmtRes'!AB250)</f>
        <v>13.81</v>
      </c>
      <c r="CS205" s="2">
        <f>SUMIF(SmtRes!AQ247:'SmtRes'!AQ250,"=1",SmtRes!AC247:'SmtRes'!AC250)</f>
        <v>0</v>
      </c>
      <c r="CT205" s="2">
        <f>SUMIF(SmtRes!AQ247:'SmtRes'!AQ250,"=1",SmtRes!AD247:'SmtRes'!AD250)</f>
        <v>430.11</v>
      </c>
      <c r="CU205" s="2">
        <f>AG205</f>
        <v>0</v>
      </c>
      <c r="CV205" s="2">
        <f>SUMIF(SmtRes!AQ247:'SmtRes'!AQ250,"=1",SmtRes!BU247:'SmtRes'!BU250)</f>
        <v>1.4</v>
      </c>
      <c r="CW205" s="2">
        <f>SUMIF(SmtRes!AQ247:'SmtRes'!AQ250,"=1",SmtRes!BV247:'SmtRes'!BV250)</f>
        <v>0</v>
      </c>
      <c r="CX205" s="2">
        <f>AJ205</f>
        <v>0</v>
      </c>
      <c r="CY205" s="2">
        <f>(((S205+R205)*AT205)/100)</f>
        <v>704.51549999999997</v>
      </c>
      <c r="CZ205" s="2">
        <f>(((S205+R205)*AU205)/100)</f>
        <v>445.59100000000001</v>
      </c>
      <c r="DA205" s="2"/>
      <c r="DB205" s="2"/>
      <c r="DC205" s="2" t="s">
        <v>3</v>
      </c>
      <c r="DD205" s="2" t="s">
        <v>3</v>
      </c>
      <c r="DE205" s="2" t="s">
        <v>3</v>
      </c>
      <c r="DF205" s="2" t="s">
        <v>3</v>
      </c>
      <c r="DG205" s="2" t="s">
        <v>3</v>
      </c>
      <c r="DH205" s="2" t="s">
        <v>3</v>
      </c>
      <c r="DI205" s="2" t="s">
        <v>3</v>
      </c>
      <c r="DJ205" s="2" t="s">
        <v>3</v>
      </c>
      <c r="DK205" s="2" t="s">
        <v>3</v>
      </c>
      <c r="DL205" s="2" t="s">
        <v>3</v>
      </c>
      <c r="DM205" s="2" t="s">
        <v>3</v>
      </c>
      <c r="DN205" s="2">
        <v>0</v>
      </c>
      <c r="DO205" s="2">
        <v>0</v>
      </c>
      <c r="DP205" s="2">
        <v>1</v>
      </c>
      <c r="DQ205" s="2">
        <v>1</v>
      </c>
      <c r="DR205" s="2"/>
      <c r="DS205" s="2"/>
      <c r="DT205" s="2"/>
      <c r="DU205" s="2">
        <v>1013</v>
      </c>
      <c r="DV205" s="2" t="s">
        <v>163</v>
      </c>
      <c r="DW205" s="2" t="s">
        <v>163</v>
      </c>
      <c r="DX205" s="2">
        <v>1</v>
      </c>
      <c r="DY205" s="2"/>
      <c r="DZ205" s="2" t="s">
        <v>3</v>
      </c>
      <c r="EA205" s="2" t="s">
        <v>3</v>
      </c>
      <c r="EB205" s="2" t="s">
        <v>3</v>
      </c>
      <c r="EC205" s="2" t="s">
        <v>3</v>
      </c>
      <c r="ED205" s="2"/>
      <c r="EE205" s="2">
        <v>72340632</v>
      </c>
      <c r="EF205" s="2">
        <v>2</v>
      </c>
      <c r="EG205" s="2" t="s">
        <v>23</v>
      </c>
      <c r="EH205" s="2">
        <v>18</v>
      </c>
      <c r="EI205" s="2" t="s">
        <v>41</v>
      </c>
      <c r="EJ205" s="2">
        <v>1</v>
      </c>
      <c r="EK205" s="2">
        <v>24001</v>
      </c>
      <c r="EL205" s="2" t="s">
        <v>41</v>
      </c>
      <c r="EM205" s="2" t="s">
        <v>121</v>
      </c>
      <c r="EN205" s="2"/>
      <c r="EO205" s="2" t="s">
        <v>3</v>
      </c>
      <c r="EP205" s="2"/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0</v>
      </c>
      <c r="EW205" s="2">
        <v>1.4</v>
      </c>
      <c r="EX205" s="2">
        <v>0</v>
      </c>
      <c r="EY205" s="2">
        <v>0</v>
      </c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>
        <v>0</v>
      </c>
      <c r="FR205" s="2">
        <v>0</v>
      </c>
      <c r="FS205" s="2">
        <v>0</v>
      </c>
      <c r="FT205" s="2"/>
      <c r="FU205" s="2"/>
      <c r="FV205" s="2"/>
      <c r="FW205" s="2"/>
      <c r="FX205" s="2">
        <v>117</v>
      </c>
      <c r="FY205" s="2">
        <v>74</v>
      </c>
      <c r="FZ205" s="2"/>
      <c r="GA205" s="2" t="s">
        <v>3</v>
      </c>
      <c r="GB205" s="2"/>
      <c r="GC205" s="2"/>
      <c r="GD205" s="2">
        <v>1</v>
      </c>
      <c r="GE205" s="2"/>
      <c r="GF205" s="2">
        <v>-785323531</v>
      </c>
      <c r="GG205" s="2">
        <v>2</v>
      </c>
      <c r="GH205" s="2">
        <v>1</v>
      </c>
      <c r="GI205" s="2">
        <v>-2</v>
      </c>
      <c r="GJ205" s="2">
        <v>0</v>
      </c>
      <c r="GK205" s="2">
        <v>0</v>
      </c>
      <c r="GL205" s="2">
        <f t="shared" si="127"/>
        <v>0</v>
      </c>
      <c r="GM205" s="2">
        <f t="shared" si="128"/>
        <v>1797.62</v>
      </c>
      <c r="GN205" s="2">
        <f t="shared" si="129"/>
        <v>1797.62</v>
      </c>
      <c r="GO205" s="2">
        <f t="shared" si="130"/>
        <v>0</v>
      </c>
      <c r="GP205" s="2">
        <f t="shared" si="131"/>
        <v>0</v>
      </c>
      <c r="GQ205" s="2"/>
      <c r="GR205" s="2">
        <v>0</v>
      </c>
      <c r="GS205" s="2">
        <v>3</v>
      </c>
      <c r="GT205" s="2">
        <v>0</v>
      </c>
      <c r="GU205" s="2" t="s">
        <v>3</v>
      </c>
      <c r="GV205" s="2">
        <f t="shared" si="132"/>
        <v>0</v>
      </c>
      <c r="GW205" s="2">
        <v>1</v>
      </c>
      <c r="GX205" s="2">
        <f t="shared" si="133"/>
        <v>0</v>
      </c>
      <c r="GY205" s="2"/>
      <c r="GZ205" s="2"/>
      <c r="HA205" s="2">
        <v>0</v>
      </c>
      <c r="HB205" s="2">
        <v>0</v>
      </c>
      <c r="HC205" s="2">
        <f>GV205*GW205</f>
        <v>0</v>
      </c>
      <c r="HD205" s="2"/>
      <c r="HE205" s="2" t="s">
        <v>3</v>
      </c>
      <c r="HF205" s="2" t="s">
        <v>3</v>
      </c>
      <c r="HG205" s="2"/>
      <c r="HH205" s="2"/>
      <c r="HI205" s="2"/>
      <c r="HJ205" s="2"/>
      <c r="HK205" s="2"/>
      <c r="HL205" s="2"/>
      <c r="HM205" s="2" t="s">
        <v>3</v>
      </c>
      <c r="HN205" s="2" t="s">
        <v>43</v>
      </c>
      <c r="HO205" s="2" t="s">
        <v>44</v>
      </c>
      <c r="HP205" s="2" t="s">
        <v>41</v>
      </c>
      <c r="HQ205" s="2" t="s">
        <v>41</v>
      </c>
      <c r="HR205" s="2"/>
      <c r="HS205" s="2">
        <v>0</v>
      </c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>
        <v>0</v>
      </c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6" spans="1:255" x14ac:dyDescent="0.2">
      <c r="A206" s="2">
        <v>18</v>
      </c>
      <c r="B206" s="2">
        <v>1</v>
      </c>
      <c r="C206" s="2">
        <v>250</v>
      </c>
      <c r="D206" s="2"/>
      <c r="E206" s="2" t="s">
        <v>389</v>
      </c>
      <c r="F206" s="2" t="s">
        <v>390</v>
      </c>
      <c r="G206" s="2" t="s">
        <v>391</v>
      </c>
      <c r="H206" s="2" t="s">
        <v>130</v>
      </c>
      <c r="I206" s="2">
        <f>I205*J206</f>
        <v>1</v>
      </c>
      <c r="J206" s="2">
        <v>1</v>
      </c>
      <c r="K206" s="2">
        <v>1</v>
      </c>
      <c r="L206" s="2"/>
      <c r="M206" s="2"/>
      <c r="N206" s="2"/>
      <c r="O206" s="2">
        <f>ROUND(CP206,2)</f>
        <v>3075.37</v>
      </c>
      <c r="P206" s="2">
        <f>ROUND(CQ206*I206,2)</f>
        <v>3075.37</v>
      </c>
      <c r="Q206" s="2">
        <f>ROUND(CR206*I206,2)</f>
        <v>0</v>
      </c>
      <c r="R206" s="2">
        <f>ROUND(CS206*I206,2)</f>
        <v>0</v>
      </c>
      <c r="S206" s="2">
        <f>ROUND(CT206*I206,2)</f>
        <v>0</v>
      </c>
      <c r="T206" s="2">
        <f t="shared" si="115"/>
        <v>0</v>
      </c>
      <c r="U206" s="2">
        <f>ROUND(CV206*I206,7)</f>
        <v>0</v>
      </c>
      <c r="V206" s="2">
        <f>ROUND(CW206*I206,7)</f>
        <v>0</v>
      </c>
      <c r="W206" s="2">
        <f t="shared" si="116"/>
        <v>0</v>
      </c>
      <c r="X206" s="2">
        <f t="shared" si="117"/>
        <v>0</v>
      </c>
      <c r="Y206" s="2">
        <f t="shared" si="118"/>
        <v>0</v>
      </c>
      <c r="Z206" s="2"/>
      <c r="AA206" s="2">
        <v>74014550</v>
      </c>
      <c r="AB206" s="2">
        <f t="shared" si="119"/>
        <v>3106.43</v>
      </c>
      <c r="AC206" s="2">
        <f>ROUND((ES206),6)</f>
        <v>3106.43</v>
      </c>
      <c r="AD206" s="2">
        <f>ROUND((((ET206)-(EU206))+AE206),6)</f>
        <v>0</v>
      </c>
      <c r="AE206" s="2">
        <f>ROUND((EU206),6)</f>
        <v>0</v>
      </c>
      <c r="AF206" s="2">
        <f>ROUND((EV206),6)</f>
        <v>0</v>
      </c>
      <c r="AG206" s="2">
        <f t="shared" si="120"/>
        <v>0</v>
      </c>
      <c r="AH206" s="2">
        <f>(EW206)</f>
        <v>0</v>
      </c>
      <c r="AI206" s="2">
        <f>(EX206)</f>
        <v>0</v>
      </c>
      <c r="AJ206" s="2">
        <f t="shared" si="121"/>
        <v>0</v>
      </c>
      <c r="AK206" s="2">
        <v>3106.43</v>
      </c>
      <c r="AL206" s="2">
        <v>3106.43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117</v>
      </c>
      <c r="AU206" s="2">
        <v>74</v>
      </c>
      <c r="AV206" s="2">
        <v>1</v>
      </c>
      <c r="AW206" s="2">
        <v>1</v>
      </c>
      <c r="AX206" s="2"/>
      <c r="AY206" s="2"/>
      <c r="AZ206" s="2">
        <v>1</v>
      </c>
      <c r="BA206" s="2">
        <v>1</v>
      </c>
      <c r="BB206" s="2">
        <v>1</v>
      </c>
      <c r="BC206" s="2">
        <v>0.99</v>
      </c>
      <c r="BD206" s="2" t="s">
        <v>3</v>
      </c>
      <c r="BE206" s="2" t="s">
        <v>3</v>
      </c>
      <c r="BF206" s="2" t="s">
        <v>3</v>
      </c>
      <c r="BG206" s="2" t="s">
        <v>3</v>
      </c>
      <c r="BH206" s="2">
        <v>3</v>
      </c>
      <c r="BI206" s="2">
        <v>1</v>
      </c>
      <c r="BJ206" s="2" t="s">
        <v>392</v>
      </c>
      <c r="BK206" s="2"/>
      <c r="BL206" s="2"/>
      <c r="BM206" s="2">
        <v>24001</v>
      </c>
      <c r="BN206" s="2">
        <v>0</v>
      </c>
      <c r="BO206" s="2" t="s">
        <v>390</v>
      </c>
      <c r="BP206" s="2">
        <v>1</v>
      </c>
      <c r="BQ206" s="2">
        <v>2</v>
      </c>
      <c r="BR206" s="2">
        <v>0</v>
      </c>
      <c r="BS206" s="2">
        <v>1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 t="s">
        <v>3</v>
      </c>
      <c r="BZ206" s="2">
        <v>117</v>
      </c>
      <c r="CA206" s="2">
        <v>74</v>
      </c>
      <c r="CB206" s="2" t="s">
        <v>3</v>
      </c>
      <c r="CC206" s="2"/>
      <c r="CD206" s="2"/>
      <c r="CE206" s="2">
        <v>0</v>
      </c>
      <c r="CF206" s="2">
        <v>0</v>
      </c>
      <c r="CG206" s="2">
        <v>0</v>
      </c>
      <c r="CH206" s="2"/>
      <c r="CI206" s="2"/>
      <c r="CJ206" s="2"/>
      <c r="CK206" s="2"/>
      <c r="CL206" s="2"/>
      <c r="CM206" s="2">
        <v>0</v>
      </c>
      <c r="CN206" s="2" t="s">
        <v>3</v>
      </c>
      <c r="CO206" s="2">
        <v>0</v>
      </c>
      <c r="CP206" s="2">
        <f>(P206+Q206+S206+R206)</f>
        <v>3075.37</v>
      </c>
      <c r="CQ206" s="2">
        <f>ROUND(AL206*BC206,2)</f>
        <v>3075.37</v>
      </c>
      <c r="CR206" s="2">
        <f>ROUND(AM206*BB206,2)</f>
        <v>0</v>
      </c>
      <c r="CS206" s="2">
        <f>ROUND(AN206*BS206,2)</f>
        <v>0</v>
      </c>
      <c r="CT206" s="2">
        <f>ROUND(AO206*BA206,2)</f>
        <v>0</v>
      </c>
      <c r="CU206" s="2">
        <f>AG206</f>
        <v>0</v>
      </c>
      <c r="CV206" s="2">
        <f>AH206</f>
        <v>0</v>
      </c>
      <c r="CW206" s="2">
        <f>AI206</f>
        <v>0</v>
      </c>
      <c r="CX206" s="2">
        <f>AJ206</f>
        <v>0</v>
      </c>
      <c r="CY206" s="2">
        <f>(((S206+R206)*AT206)/100)</f>
        <v>0</v>
      </c>
      <c r="CZ206" s="2">
        <f>(((S206+R206)*AU206)/100)</f>
        <v>0</v>
      </c>
      <c r="DA206" s="2"/>
      <c r="DB206" s="2"/>
      <c r="DC206" s="2" t="s">
        <v>3</v>
      </c>
      <c r="DD206" s="2" t="s">
        <v>3</v>
      </c>
      <c r="DE206" s="2" t="s">
        <v>3</v>
      </c>
      <c r="DF206" s="2" t="s">
        <v>3</v>
      </c>
      <c r="DG206" s="2" t="s">
        <v>3</v>
      </c>
      <c r="DH206" s="2" t="s">
        <v>3</v>
      </c>
      <c r="DI206" s="2" t="s">
        <v>3</v>
      </c>
      <c r="DJ206" s="2" t="s">
        <v>3</v>
      </c>
      <c r="DK206" s="2" t="s">
        <v>3</v>
      </c>
      <c r="DL206" s="2" t="s">
        <v>3</v>
      </c>
      <c r="DM206" s="2" t="s">
        <v>3</v>
      </c>
      <c r="DN206" s="2">
        <v>0</v>
      </c>
      <c r="DO206" s="2">
        <v>0</v>
      </c>
      <c r="DP206" s="2">
        <v>1</v>
      </c>
      <c r="DQ206" s="2">
        <v>1</v>
      </c>
      <c r="DR206" s="2"/>
      <c r="DS206" s="2"/>
      <c r="DT206" s="2"/>
      <c r="DU206" s="2">
        <v>1013</v>
      </c>
      <c r="DV206" s="2" t="s">
        <v>130</v>
      </c>
      <c r="DW206" s="2" t="s">
        <v>130</v>
      </c>
      <c r="DX206" s="2">
        <v>1</v>
      </c>
      <c r="DY206" s="2"/>
      <c r="DZ206" s="2" t="s">
        <v>3</v>
      </c>
      <c r="EA206" s="2" t="s">
        <v>3</v>
      </c>
      <c r="EB206" s="2" t="s">
        <v>3</v>
      </c>
      <c r="EC206" s="2" t="s">
        <v>3</v>
      </c>
      <c r="ED206" s="2"/>
      <c r="EE206" s="2">
        <v>72340632</v>
      </c>
      <c r="EF206" s="2">
        <v>2</v>
      </c>
      <c r="EG206" s="2" t="s">
        <v>23</v>
      </c>
      <c r="EH206" s="2">
        <v>18</v>
      </c>
      <c r="EI206" s="2" t="s">
        <v>41</v>
      </c>
      <c r="EJ206" s="2">
        <v>1</v>
      </c>
      <c r="EK206" s="2">
        <v>24001</v>
      </c>
      <c r="EL206" s="2" t="s">
        <v>41</v>
      </c>
      <c r="EM206" s="2" t="s">
        <v>121</v>
      </c>
      <c r="EN206" s="2"/>
      <c r="EO206" s="2" t="s">
        <v>3</v>
      </c>
      <c r="EP206" s="2"/>
      <c r="EQ206" s="2">
        <v>0</v>
      </c>
      <c r="ER206" s="2">
        <v>3106.43</v>
      </c>
      <c r="ES206" s="2">
        <v>3106.43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>
        <v>0</v>
      </c>
      <c r="FR206" s="2">
        <v>0</v>
      </c>
      <c r="FS206" s="2">
        <v>0</v>
      </c>
      <c r="FT206" s="2"/>
      <c r="FU206" s="2"/>
      <c r="FV206" s="2"/>
      <c r="FW206" s="2"/>
      <c r="FX206" s="2">
        <v>117</v>
      </c>
      <c r="FY206" s="2">
        <v>74</v>
      </c>
      <c r="FZ206" s="2"/>
      <c r="GA206" s="2" t="s">
        <v>3</v>
      </c>
      <c r="GB206" s="2"/>
      <c r="GC206" s="2"/>
      <c r="GD206" s="2">
        <v>1</v>
      </c>
      <c r="GE206" s="2"/>
      <c r="GF206" s="2">
        <v>-1971811453</v>
      </c>
      <c r="GG206" s="2">
        <v>2</v>
      </c>
      <c r="GH206" s="2">
        <v>1</v>
      </c>
      <c r="GI206" s="2">
        <v>2</v>
      </c>
      <c r="GJ206" s="2">
        <v>0</v>
      </c>
      <c r="GK206" s="2">
        <v>0</v>
      </c>
      <c r="GL206" s="2">
        <f t="shared" si="127"/>
        <v>0</v>
      </c>
      <c r="GM206" s="2">
        <f t="shared" si="128"/>
        <v>3075.37</v>
      </c>
      <c r="GN206" s="2">
        <f t="shared" si="129"/>
        <v>3075.37</v>
      </c>
      <c r="GO206" s="2">
        <f t="shared" si="130"/>
        <v>0</v>
      </c>
      <c r="GP206" s="2">
        <f t="shared" si="131"/>
        <v>0</v>
      </c>
      <c r="GQ206" s="2"/>
      <c r="GR206" s="2">
        <v>0</v>
      </c>
      <c r="GS206" s="2">
        <v>3</v>
      </c>
      <c r="GT206" s="2">
        <v>0</v>
      </c>
      <c r="GU206" s="2" t="s">
        <v>3</v>
      </c>
      <c r="GV206" s="2">
        <f t="shared" si="132"/>
        <v>0</v>
      </c>
      <c r="GW206" s="2">
        <v>1</v>
      </c>
      <c r="GX206" s="2">
        <f t="shared" si="133"/>
        <v>0</v>
      </c>
      <c r="GY206" s="2"/>
      <c r="GZ206" s="2"/>
      <c r="HA206" s="2">
        <v>0</v>
      </c>
      <c r="HB206" s="2">
        <v>0</v>
      </c>
      <c r="HC206" s="2">
        <f>GV206*GW206</f>
        <v>0</v>
      </c>
      <c r="HD206" s="2"/>
      <c r="HE206" s="2" t="s">
        <v>3</v>
      </c>
      <c r="HF206" s="2" t="s">
        <v>3</v>
      </c>
      <c r="HG206" s="2"/>
      <c r="HH206" s="2"/>
      <c r="HI206" s="2"/>
      <c r="HJ206" s="2"/>
      <c r="HK206" s="2"/>
      <c r="HL206" s="2"/>
      <c r="HM206" s="2" t="s">
        <v>3</v>
      </c>
      <c r="HN206" s="2" t="s">
        <v>43</v>
      </c>
      <c r="HO206" s="2" t="s">
        <v>44</v>
      </c>
      <c r="HP206" s="2" t="s">
        <v>41</v>
      </c>
      <c r="HQ206" s="2" t="s">
        <v>41</v>
      </c>
      <c r="HR206" s="2"/>
      <c r="HS206" s="2">
        <v>0</v>
      </c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>
        <v>0</v>
      </c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8" spans="1:255" x14ac:dyDescent="0.2">
      <c r="A208" s="3">
        <v>51</v>
      </c>
      <c r="B208" s="3">
        <f>B180</f>
        <v>1</v>
      </c>
      <c r="C208" s="3">
        <f>A180</f>
        <v>4</v>
      </c>
      <c r="D208" s="3">
        <f>ROW(A180)</f>
        <v>180</v>
      </c>
      <c r="E208" s="3"/>
      <c r="F208" s="3" t="str">
        <f>IF(F180&lt;&gt;"",F180,"")</f>
        <v>Новый раздел</v>
      </c>
      <c r="G208" s="3" t="str">
        <f>IF(G180&lt;&gt;"",G180,"")</f>
        <v>Прокладка газопровода ПЭ100 ГАЗ SDR 11 д.63*5,8мм в футляре ПЭ100 SDR 11  д.110*10мм совместно с проводом-спутником П-274М методом наклонно-направленного бурения длиной 21м</v>
      </c>
      <c r="H208" s="3">
        <v>0</v>
      </c>
      <c r="I208" s="3"/>
      <c r="J208" s="3"/>
      <c r="K208" s="3"/>
      <c r="L208" s="3"/>
      <c r="M208" s="3"/>
      <c r="N208" s="3"/>
      <c r="O208" s="3">
        <f t="shared" ref="O208:T208" si="135">ROUND(AB208,2)</f>
        <v>75288.36</v>
      </c>
      <c r="P208" s="3">
        <f t="shared" si="135"/>
        <v>29822.17</v>
      </c>
      <c r="Q208" s="3">
        <f t="shared" si="135"/>
        <v>25192.06</v>
      </c>
      <c r="R208" s="3">
        <f t="shared" si="135"/>
        <v>6827.55</v>
      </c>
      <c r="S208" s="3">
        <f t="shared" si="135"/>
        <v>13446.58</v>
      </c>
      <c r="T208" s="3">
        <f t="shared" si="135"/>
        <v>0</v>
      </c>
      <c r="U208" s="3">
        <f>AH208</f>
        <v>32.084289999999996</v>
      </c>
      <c r="V208" s="3">
        <f>AI208</f>
        <v>13.885150000000001</v>
      </c>
      <c r="W208" s="3">
        <f>ROUND(AJ208,2)</f>
        <v>0</v>
      </c>
      <c r="X208" s="3">
        <f>ROUND(AK208,2)</f>
        <v>22403.62</v>
      </c>
      <c r="Y208" s="3">
        <f>ROUND(AL208,2)</f>
        <v>11708.34</v>
      </c>
      <c r="Z208" s="3"/>
      <c r="AA208" s="3"/>
      <c r="AB208" s="3">
        <f>ROUND(SUMIF(AA184:AA206,"=74014550",O184:O206),2)</f>
        <v>75288.36</v>
      </c>
      <c r="AC208" s="3">
        <f>ROUND(SUMIF(AA184:AA206,"=74014550",P184:P206),2)</f>
        <v>29822.17</v>
      </c>
      <c r="AD208" s="3">
        <f>ROUND(SUMIF(AA184:AA206,"=74014550",Q184:Q206),2)</f>
        <v>25192.06</v>
      </c>
      <c r="AE208" s="3">
        <f>ROUND(SUMIF(AA184:AA206,"=74014550",R184:R206),2)</f>
        <v>6827.55</v>
      </c>
      <c r="AF208" s="3">
        <f>ROUND(SUMIF(AA184:AA206,"=74014550",S184:S206),2)</f>
        <v>13446.58</v>
      </c>
      <c r="AG208" s="3">
        <f>ROUND(SUMIF(AA184:AA206,"=74014550",T184:T206),2)</f>
        <v>0</v>
      </c>
      <c r="AH208" s="3">
        <f>SUMIF(AA184:AA206,"=74014550",U184:U206)</f>
        <v>32.084289999999996</v>
      </c>
      <c r="AI208" s="3">
        <f>SUMIF(AA184:AA206,"=74014550",V184:V206)</f>
        <v>13.885150000000001</v>
      </c>
      <c r="AJ208" s="3">
        <f>ROUND(SUMIF(AA184:AA206,"=74014550",W184:W206),2)</f>
        <v>0</v>
      </c>
      <c r="AK208" s="3">
        <f>ROUND(SUMIF(AA184:AA206,"=74014550",X184:X206),2)</f>
        <v>22403.62</v>
      </c>
      <c r="AL208" s="3">
        <f>ROUND(SUMIF(AA184:AA206,"=74014550",Y184:Y206),2)</f>
        <v>11708.34</v>
      </c>
      <c r="AM208" s="3"/>
      <c r="AN208" s="3"/>
      <c r="AO208" s="3">
        <f t="shared" ref="AO208:BD208" si="136">ROUND(BX208,2)</f>
        <v>0</v>
      </c>
      <c r="AP208" s="3">
        <f t="shared" si="136"/>
        <v>0</v>
      </c>
      <c r="AQ208" s="3">
        <f t="shared" si="136"/>
        <v>0</v>
      </c>
      <c r="AR208" s="3">
        <f t="shared" si="136"/>
        <v>109400.32000000001</v>
      </c>
      <c r="AS208" s="3">
        <f t="shared" si="136"/>
        <v>108285.89</v>
      </c>
      <c r="AT208" s="3">
        <f t="shared" si="136"/>
        <v>1114.43</v>
      </c>
      <c r="AU208" s="3">
        <f t="shared" si="136"/>
        <v>0</v>
      </c>
      <c r="AV208" s="3">
        <f t="shared" si="136"/>
        <v>29822.17</v>
      </c>
      <c r="AW208" s="3">
        <f t="shared" si="136"/>
        <v>29822.17</v>
      </c>
      <c r="AX208" s="3">
        <f t="shared" si="136"/>
        <v>0</v>
      </c>
      <c r="AY208" s="3">
        <f t="shared" si="136"/>
        <v>29822.17</v>
      </c>
      <c r="AZ208" s="3">
        <f t="shared" si="136"/>
        <v>0</v>
      </c>
      <c r="BA208" s="3">
        <f t="shared" si="136"/>
        <v>0</v>
      </c>
      <c r="BB208" s="3">
        <f t="shared" si="136"/>
        <v>0</v>
      </c>
      <c r="BC208" s="3">
        <f t="shared" si="136"/>
        <v>0</v>
      </c>
      <c r="BD208" s="3">
        <f t="shared" si="136"/>
        <v>0</v>
      </c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>
        <f>ROUND(SUMIF(AA184:AA206,"=74014550",FQ184:FQ206),2)</f>
        <v>0</v>
      </c>
      <c r="BY208" s="3">
        <f>ROUND(SUMIF(AA184:AA206,"=74014550",FR184:FR206),2)</f>
        <v>0</v>
      </c>
      <c r="BZ208" s="3">
        <f>ROUND(SUMIF(AA184:AA206,"=74014550",GL184:GL206),2)</f>
        <v>0</v>
      </c>
      <c r="CA208" s="3">
        <f>ROUND(SUMIF(AA184:AA206,"=74014550",GM184:GM206),2)</f>
        <v>109400.32000000001</v>
      </c>
      <c r="CB208" s="3">
        <f>ROUND(SUMIF(AA184:AA206,"=74014550",GN184:GN206),2)</f>
        <v>108285.89</v>
      </c>
      <c r="CC208" s="3">
        <f>ROUND(SUMIF(AA184:AA206,"=74014550",GO184:GO206),2)</f>
        <v>1114.43</v>
      </c>
      <c r="CD208" s="3">
        <f>ROUND(SUMIF(AA184:AA206,"=74014550",GP184:GP206),2)</f>
        <v>0</v>
      </c>
      <c r="CE208" s="3">
        <f>AC208-BX208</f>
        <v>29822.17</v>
      </c>
      <c r="CF208" s="3">
        <f>AC208-BY208</f>
        <v>29822.17</v>
      </c>
      <c r="CG208" s="3">
        <f>BX208-BZ208</f>
        <v>0</v>
      </c>
      <c r="CH208" s="3">
        <f>AC208-BX208-BY208+BZ208</f>
        <v>29822.17</v>
      </c>
      <c r="CI208" s="3">
        <f>BY208-BZ208</f>
        <v>0</v>
      </c>
      <c r="CJ208" s="3">
        <f>ROUND(SUMIF(AA184:AA206,"=74014550",GX184:GX206),2)</f>
        <v>0</v>
      </c>
      <c r="CK208" s="3">
        <f>ROUND(SUMIF(AA184:AA206,"=74014550",GY184:GY206),2)</f>
        <v>0</v>
      </c>
      <c r="CL208" s="3">
        <f>ROUND(SUMIF(AA184:AA206,"=74014550",GZ184:GZ206),2)</f>
        <v>0</v>
      </c>
      <c r="CM208" s="3">
        <f>ROUND(SUMIF(AA184:AA206,"=74014550",HD184:HD206),2)</f>
        <v>0</v>
      </c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>
        <v>0</v>
      </c>
    </row>
    <row r="210" spans="1:28" x14ac:dyDescent="0.2">
      <c r="A210" s="5">
        <v>50</v>
      </c>
      <c r="B210" s="5">
        <v>0</v>
      </c>
      <c r="C210" s="5">
        <v>0</v>
      </c>
      <c r="D210" s="5">
        <v>1</v>
      </c>
      <c r="E210" s="5">
        <v>201</v>
      </c>
      <c r="F210" s="5">
        <f>ROUND(Source!O208,O210)</f>
        <v>75288.36</v>
      </c>
      <c r="G210" s="5" t="s">
        <v>61</v>
      </c>
      <c r="H210" s="5" t="s">
        <v>62</v>
      </c>
      <c r="I210" s="5"/>
      <c r="J210" s="5"/>
      <c r="K210" s="5">
        <v>201</v>
      </c>
      <c r="L210" s="5">
        <v>1</v>
      </c>
      <c r="M210" s="5">
        <v>3</v>
      </c>
      <c r="N210" s="5" t="s">
        <v>3</v>
      </c>
      <c r="O210" s="5">
        <v>2</v>
      </c>
      <c r="P210" s="5"/>
      <c r="Q210" s="5"/>
      <c r="R210" s="5"/>
      <c r="S210" s="5"/>
      <c r="T210" s="5"/>
      <c r="U210" s="5"/>
      <c r="V210" s="5"/>
      <c r="W210" s="5">
        <v>75288.36</v>
      </c>
      <c r="X210" s="5">
        <v>1</v>
      </c>
      <c r="Y210" s="5">
        <v>75288.36</v>
      </c>
      <c r="Z210" s="5"/>
      <c r="AA210" s="5"/>
      <c r="AB210" s="5"/>
    </row>
    <row r="211" spans="1:28" x14ac:dyDescent="0.2">
      <c r="A211" s="5">
        <v>50</v>
      </c>
      <c r="B211" s="5">
        <v>0</v>
      </c>
      <c r="C211" s="5">
        <v>0</v>
      </c>
      <c r="D211" s="5">
        <v>1</v>
      </c>
      <c r="E211" s="5">
        <v>202</v>
      </c>
      <c r="F211" s="5">
        <f>ROUND(Source!P208,O211)</f>
        <v>29822.17</v>
      </c>
      <c r="G211" s="5" t="s">
        <v>63</v>
      </c>
      <c r="H211" s="5" t="s">
        <v>64</v>
      </c>
      <c r="I211" s="5"/>
      <c r="J211" s="5"/>
      <c r="K211" s="5">
        <v>202</v>
      </c>
      <c r="L211" s="5">
        <v>2</v>
      </c>
      <c r="M211" s="5">
        <v>3</v>
      </c>
      <c r="N211" s="5" t="s">
        <v>3</v>
      </c>
      <c r="O211" s="5">
        <v>2</v>
      </c>
      <c r="P211" s="5"/>
      <c r="Q211" s="5"/>
      <c r="R211" s="5"/>
      <c r="S211" s="5"/>
      <c r="T211" s="5"/>
      <c r="U211" s="5"/>
      <c r="V211" s="5"/>
      <c r="W211" s="5">
        <v>29822.17</v>
      </c>
      <c r="X211" s="5">
        <v>1</v>
      </c>
      <c r="Y211" s="5">
        <v>29822.17</v>
      </c>
      <c r="Z211" s="5"/>
      <c r="AA211" s="5"/>
      <c r="AB211" s="5"/>
    </row>
    <row r="212" spans="1:28" x14ac:dyDescent="0.2">
      <c r="A212" s="5">
        <v>50</v>
      </c>
      <c r="B212" s="5">
        <v>0</v>
      </c>
      <c r="C212" s="5">
        <v>0</v>
      </c>
      <c r="D212" s="5">
        <v>1</v>
      </c>
      <c r="E212" s="5">
        <v>222</v>
      </c>
      <c r="F212" s="5">
        <f>ROUND(Source!AO208,O212)</f>
        <v>0</v>
      </c>
      <c r="G212" s="5" t="s">
        <v>65</v>
      </c>
      <c r="H212" s="5" t="s">
        <v>66</v>
      </c>
      <c r="I212" s="5"/>
      <c r="J212" s="5"/>
      <c r="K212" s="5">
        <v>222</v>
      </c>
      <c r="L212" s="5">
        <v>3</v>
      </c>
      <c r="M212" s="5">
        <v>3</v>
      </c>
      <c r="N212" s="5" t="s">
        <v>3</v>
      </c>
      <c r="O212" s="5">
        <v>2</v>
      </c>
      <c r="P212" s="5"/>
      <c r="Q212" s="5"/>
      <c r="R212" s="5"/>
      <c r="S212" s="5"/>
      <c r="T212" s="5"/>
      <c r="U212" s="5"/>
      <c r="V212" s="5"/>
      <c r="W212" s="5">
        <v>0</v>
      </c>
      <c r="X212" s="5">
        <v>1</v>
      </c>
      <c r="Y212" s="5">
        <v>0</v>
      </c>
      <c r="Z212" s="5"/>
      <c r="AA212" s="5"/>
      <c r="AB212" s="5"/>
    </row>
    <row r="213" spans="1:28" x14ac:dyDescent="0.2">
      <c r="A213" s="5">
        <v>50</v>
      </c>
      <c r="B213" s="5">
        <v>0</v>
      </c>
      <c r="C213" s="5">
        <v>0</v>
      </c>
      <c r="D213" s="5">
        <v>1</v>
      </c>
      <c r="E213" s="5">
        <v>225</v>
      </c>
      <c r="F213" s="5">
        <f>ROUND(Source!AV208,O213)</f>
        <v>29822.17</v>
      </c>
      <c r="G213" s="5" t="s">
        <v>67</v>
      </c>
      <c r="H213" s="5" t="s">
        <v>68</v>
      </c>
      <c r="I213" s="5"/>
      <c r="J213" s="5"/>
      <c r="K213" s="5">
        <v>225</v>
      </c>
      <c r="L213" s="5">
        <v>4</v>
      </c>
      <c r="M213" s="5">
        <v>3</v>
      </c>
      <c r="N213" s="5" t="s">
        <v>3</v>
      </c>
      <c r="O213" s="5">
        <v>2</v>
      </c>
      <c r="P213" s="5"/>
      <c r="Q213" s="5"/>
      <c r="R213" s="5"/>
      <c r="S213" s="5"/>
      <c r="T213" s="5"/>
      <c r="U213" s="5"/>
      <c r="V213" s="5"/>
      <c r="W213" s="5">
        <v>29822.17</v>
      </c>
      <c r="X213" s="5">
        <v>1</v>
      </c>
      <c r="Y213" s="5">
        <v>29822.17</v>
      </c>
      <c r="Z213" s="5"/>
      <c r="AA213" s="5"/>
      <c r="AB213" s="5"/>
    </row>
    <row r="214" spans="1:28" x14ac:dyDescent="0.2">
      <c r="A214" s="5">
        <v>50</v>
      </c>
      <c r="B214" s="5">
        <v>0</v>
      </c>
      <c r="C214" s="5">
        <v>0</v>
      </c>
      <c r="D214" s="5">
        <v>1</v>
      </c>
      <c r="E214" s="5">
        <v>226</v>
      </c>
      <c r="F214" s="5">
        <f>ROUND(Source!AW208,O214)</f>
        <v>29822.17</v>
      </c>
      <c r="G214" s="5" t="s">
        <v>69</v>
      </c>
      <c r="H214" s="5" t="s">
        <v>70</v>
      </c>
      <c r="I214" s="5"/>
      <c r="J214" s="5"/>
      <c r="K214" s="5">
        <v>226</v>
      </c>
      <c r="L214" s="5">
        <v>5</v>
      </c>
      <c r="M214" s="5">
        <v>3</v>
      </c>
      <c r="N214" s="5" t="s">
        <v>3</v>
      </c>
      <c r="O214" s="5">
        <v>2</v>
      </c>
      <c r="P214" s="5"/>
      <c r="Q214" s="5"/>
      <c r="R214" s="5"/>
      <c r="S214" s="5"/>
      <c r="T214" s="5"/>
      <c r="U214" s="5"/>
      <c r="V214" s="5"/>
      <c r="W214" s="5">
        <v>29822.17</v>
      </c>
      <c r="X214" s="5">
        <v>1</v>
      </c>
      <c r="Y214" s="5">
        <v>29822.17</v>
      </c>
      <c r="Z214" s="5"/>
      <c r="AA214" s="5"/>
      <c r="AB214" s="5"/>
    </row>
    <row r="215" spans="1:28" x14ac:dyDescent="0.2">
      <c r="A215" s="5">
        <v>50</v>
      </c>
      <c r="B215" s="5">
        <v>0</v>
      </c>
      <c r="C215" s="5">
        <v>0</v>
      </c>
      <c r="D215" s="5">
        <v>1</v>
      </c>
      <c r="E215" s="5">
        <v>227</v>
      </c>
      <c r="F215" s="5">
        <f>ROUND(Source!AX208,O215)</f>
        <v>0</v>
      </c>
      <c r="G215" s="5" t="s">
        <v>71</v>
      </c>
      <c r="H215" s="5" t="s">
        <v>72</v>
      </c>
      <c r="I215" s="5"/>
      <c r="J215" s="5"/>
      <c r="K215" s="5">
        <v>227</v>
      </c>
      <c r="L215" s="5">
        <v>6</v>
      </c>
      <c r="M215" s="5">
        <v>3</v>
      </c>
      <c r="N215" s="5" t="s">
        <v>3</v>
      </c>
      <c r="O215" s="5">
        <v>2</v>
      </c>
      <c r="P215" s="5"/>
      <c r="Q215" s="5"/>
      <c r="R215" s="5"/>
      <c r="S215" s="5"/>
      <c r="T215" s="5"/>
      <c r="U215" s="5"/>
      <c r="V215" s="5"/>
      <c r="W215" s="5">
        <v>0</v>
      </c>
      <c r="X215" s="5">
        <v>1</v>
      </c>
      <c r="Y215" s="5">
        <v>0</v>
      </c>
      <c r="Z215" s="5"/>
      <c r="AA215" s="5"/>
      <c r="AB215" s="5"/>
    </row>
    <row r="216" spans="1:28" x14ac:dyDescent="0.2">
      <c r="A216" s="5">
        <v>50</v>
      </c>
      <c r="B216" s="5">
        <v>0</v>
      </c>
      <c r="C216" s="5">
        <v>0</v>
      </c>
      <c r="D216" s="5">
        <v>1</v>
      </c>
      <c r="E216" s="5">
        <v>228</v>
      </c>
      <c r="F216" s="5">
        <f>ROUND(Source!AY208,O216)</f>
        <v>29822.17</v>
      </c>
      <c r="G216" s="5" t="s">
        <v>73</v>
      </c>
      <c r="H216" s="5" t="s">
        <v>74</v>
      </c>
      <c r="I216" s="5"/>
      <c r="J216" s="5"/>
      <c r="K216" s="5">
        <v>228</v>
      </c>
      <c r="L216" s="5">
        <v>7</v>
      </c>
      <c r="M216" s="5">
        <v>3</v>
      </c>
      <c r="N216" s="5" t="s">
        <v>3</v>
      </c>
      <c r="O216" s="5">
        <v>2</v>
      </c>
      <c r="P216" s="5"/>
      <c r="Q216" s="5"/>
      <c r="R216" s="5"/>
      <c r="S216" s="5"/>
      <c r="T216" s="5"/>
      <c r="U216" s="5"/>
      <c r="V216" s="5"/>
      <c r="W216" s="5">
        <v>29822.17</v>
      </c>
      <c r="X216" s="5">
        <v>1</v>
      </c>
      <c r="Y216" s="5">
        <v>29822.17</v>
      </c>
      <c r="Z216" s="5"/>
      <c r="AA216" s="5"/>
      <c r="AB216" s="5"/>
    </row>
    <row r="217" spans="1:28" x14ac:dyDescent="0.2">
      <c r="A217" s="5">
        <v>50</v>
      </c>
      <c r="B217" s="5">
        <v>0</v>
      </c>
      <c r="C217" s="5">
        <v>0</v>
      </c>
      <c r="D217" s="5">
        <v>1</v>
      </c>
      <c r="E217" s="5">
        <v>216</v>
      </c>
      <c r="F217" s="5">
        <f>ROUND(Source!AP208,O217)</f>
        <v>0</v>
      </c>
      <c r="G217" s="5" t="s">
        <v>75</v>
      </c>
      <c r="H217" s="5" t="s">
        <v>76</v>
      </c>
      <c r="I217" s="5"/>
      <c r="J217" s="5"/>
      <c r="K217" s="5">
        <v>216</v>
      </c>
      <c r="L217" s="5">
        <v>8</v>
      </c>
      <c r="M217" s="5">
        <v>3</v>
      </c>
      <c r="N217" s="5" t="s">
        <v>3</v>
      </c>
      <c r="O217" s="5">
        <v>2</v>
      </c>
      <c r="P217" s="5"/>
      <c r="Q217" s="5"/>
      <c r="R217" s="5"/>
      <c r="S217" s="5"/>
      <c r="T217" s="5"/>
      <c r="U217" s="5"/>
      <c r="V217" s="5"/>
      <c r="W217" s="5">
        <v>0</v>
      </c>
      <c r="X217" s="5">
        <v>1</v>
      </c>
      <c r="Y217" s="5">
        <v>0</v>
      </c>
      <c r="Z217" s="5"/>
      <c r="AA217" s="5"/>
      <c r="AB217" s="5"/>
    </row>
    <row r="218" spans="1:28" x14ac:dyDescent="0.2">
      <c r="A218" s="5">
        <v>50</v>
      </c>
      <c r="B218" s="5">
        <v>0</v>
      </c>
      <c r="C218" s="5">
        <v>0</v>
      </c>
      <c r="D218" s="5">
        <v>1</v>
      </c>
      <c r="E218" s="5">
        <v>223</v>
      </c>
      <c r="F218" s="5">
        <f>ROUND(Source!AQ208,O218)</f>
        <v>0</v>
      </c>
      <c r="G218" s="5" t="s">
        <v>77</v>
      </c>
      <c r="H218" s="5" t="s">
        <v>78</v>
      </c>
      <c r="I218" s="5"/>
      <c r="J218" s="5"/>
      <c r="K218" s="5">
        <v>223</v>
      </c>
      <c r="L218" s="5">
        <v>9</v>
      </c>
      <c r="M218" s="5">
        <v>3</v>
      </c>
      <c r="N218" s="5" t="s">
        <v>3</v>
      </c>
      <c r="O218" s="5">
        <v>2</v>
      </c>
      <c r="P218" s="5"/>
      <c r="Q218" s="5"/>
      <c r="R218" s="5"/>
      <c r="S218" s="5"/>
      <c r="T218" s="5"/>
      <c r="U218" s="5"/>
      <c r="V218" s="5"/>
      <c r="W218" s="5">
        <v>0</v>
      </c>
      <c r="X218" s="5">
        <v>1</v>
      </c>
      <c r="Y218" s="5">
        <v>0</v>
      </c>
      <c r="Z218" s="5"/>
      <c r="AA218" s="5"/>
      <c r="AB218" s="5"/>
    </row>
    <row r="219" spans="1:28" x14ac:dyDescent="0.2">
      <c r="A219" s="5">
        <v>50</v>
      </c>
      <c r="B219" s="5">
        <v>0</v>
      </c>
      <c r="C219" s="5">
        <v>0</v>
      </c>
      <c r="D219" s="5">
        <v>1</v>
      </c>
      <c r="E219" s="5">
        <v>229</v>
      </c>
      <c r="F219" s="5">
        <f>ROUND(Source!AZ208,O219)</f>
        <v>0</v>
      </c>
      <c r="G219" s="5" t="s">
        <v>79</v>
      </c>
      <c r="H219" s="5" t="s">
        <v>80</v>
      </c>
      <c r="I219" s="5"/>
      <c r="J219" s="5"/>
      <c r="K219" s="5">
        <v>229</v>
      </c>
      <c r="L219" s="5">
        <v>10</v>
      </c>
      <c r="M219" s="5">
        <v>3</v>
      </c>
      <c r="N219" s="5" t="s">
        <v>3</v>
      </c>
      <c r="O219" s="5">
        <v>2</v>
      </c>
      <c r="P219" s="5"/>
      <c r="Q219" s="5"/>
      <c r="R219" s="5"/>
      <c r="S219" s="5"/>
      <c r="T219" s="5"/>
      <c r="U219" s="5"/>
      <c r="V219" s="5"/>
      <c r="W219" s="5">
        <v>0</v>
      </c>
      <c r="X219" s="5">
        <v>1</v>
      </c>
      <c r="Y219" s="5">
        <v>0</v>
      </c>
      <c r="Z219" s="5"/>
      <c r="AA219" s="5"/>
      <c r="AB219" s="5"/>
    </row>
    <row r="220" spans="1:28" x14ac:dyDescent="0.2">
      <c r="A220" s="5">
        <v>50</v>
      </c>
      <c r="B220" s="5">
        <v>0</v>
      </c>
      <c r="C220" s="5">
        <v>0</v>
      </c>
      <c r="D220" s="5">
        <v>1</v>
      </c>
      <c r="E220" s="5">
        <v>203</v>
      </c>
      <c r="F220" s="5">
        <f>ROUND(Source!Q208,O220)</f>
        <v>25192.06</v>
      </c>
      <c r="G220" s="5" t="s">
        <v>81</v>
      </c>
      <c r="H220" s="5" t="s">
        <v>82</v>
      </c>
      <c r="I220" s="5"/>
      <c r="J220" s="5"/>
      <c r="K220" s="5">
        <v>203</v>
      </c>
      <c r="L220" s="5">
        <v>11</v>
      </c>
      <c r="M220" s="5">
        <v>3</v>
      </c>
      <c r="N220" s="5" t="s">
        <v>3</v>
      </c>
      <c r="O220" s="5">
        <v>2</v>
      </c>
      <c r="P220" s="5"/>
      <c r="Q220" s="5"/>
      <c r="R220" s="5"/>
      <c r="S220" s="5"/>
      <c r="T220" s="5"/>
      <c r="U220" s="5"/>
      <c r="V220" s="5"/>
      <c r="W220" s="5">
        <v>25192.06</v>
      </c>
      <c r="X220" s="5">
        <v>1</v>
      </c>
      <c r="Y220" s="5">
        <v>25192.06</v>
      </c>
      <c r="Z220" s="5"/>
      <c r="AA220" s="5"/>
      <c r="AB220" s="5"/>
    </row>
    <row r="221" spans="1:28" x14ac:dyDescent="0.2">
      <c r="A221" s="5">
        <v>50</v>
      </c>
      <c r="B221" s="5">
        <v>0</v>
      </c>
      <c r="C221" s="5">
        <v>0</v>
      </c>
      <c r="D221" s="5">
        <v>1</v>
      </c>
      <c r="E221" s="5">
        <v>231</v>
      </c>
      <c r="F221" s="5">
        <f>ROUND(Source!BB208,O221)</f>
        <v>0</v>
      </c>
      <c r="G221" s="5" t="s">
        <v>83</v>
      </c>
      <c r="H221" s="5" t="s">
        <v>84</v>
      </c>
      <c r="I221" s="5"/>
      <c r="J221" s="5"/>
      <c r="K221" s="5">
        <v>231</v>
      </c>
      <c r="L221" s="5">
        <v>12</v>
      </c>
      <c r="M221" s="5">
        <v>3</v>
      </c>
      <c r="N221" s="5" t="s">
        <v>3</v>
      </c>
      <c r="O221" s="5">
        <v>2</v>
      </c>
      <c r="P221" s="5"/>
      <c r="Q221" s="5"/>
      <c r="R221" s="5"/>
      <c r="S221" s="5"/>
      <c r="T221" s="5"/>
      <c r="U221" s="5"/>
      <c r="V221" s="5"/>
      <c r="W221" s="5">
        <v>0</v>
      </c>
      <c r="X221" s="5">
        <v>1</v>
      </c>
      <c r="Y221" s="5">
        <v>0</v>
      </c>
      <c r="Z221" s="5"/>
      <c r="AA221" s="5"/>
      <c r="AB221" s="5"/>
    </row>
    <row r="222" spans="1:28" x14ac:dyDescent="0.2">
      <c r="A222" s="5">
        <v>50</v>
      </c>
      <c r="B222" s="5">
        <v>0</v>
      </c>
      <c r="C222" s="5">
        <v>0</v>
      </c>
      <c r="D222" s="5">
        <v>1</v>
      </c>
      <c r="E222" s="5">
        <v>204</v>
      </c>
      <c r="F222" s="5">
        <f>ROUND(Source!R208,O222)</f>
        <v>6827.55</v>
      </c>
      <c r="G222" s="5" t="s">
        <v>85</v>
      </c>
      <c r="H222" s="5" t="s">
        <v>86</v>
      </c>
      <c r="I222" s="5"/>
      <c r="J222" s="5"/>
      <c r="K222" s="5">
        <v>204</v>
      </c>
      <c r="L222" s="5">
        <v>13</v>
      </c>
      <c r="M222" s="5">
        <v>3</v>
      </c>
      <c r="N222" s="5" t="s">
        <v>3</v>
      </c>
      <c r="O222" s="5">
        <v>2</v>
      </c>
      <c r="P222" s="5"/>
      <c r="Q222" s="5"/>
      <c r="R222" s="5"/>
      <c r="S222" s="5"/>
      <c r="T222" s="5"/>
      <c r="U222" s="5"/>
      <c r="V222" s="5"/>
      <c r="W222" s="5">
        <v>6827.5499999999993</v>
      </c>
      <c r="X222" s="5">
        <v>1</v>
      </c>
      <c r="Y222" s="5">
        <v>6827.5499999999993</v>
      </c>
      <c r="Z222" s="5"/>
      <c r="AA222" s="5"/>
      <c r="AB222" s="5"/>
    </row>
    <row r="223" spans="1:28" x14ac:dyDescent="0.2">
      <c r="A223" s="5">
        <v>50</v>
      </c>
      <c r="B223" s="5">
        <v>0</v>
      </c>
      <c r="C223" s="5">
        <v>0</v>
      </c>
      <c r="D223" s="5">
        <v>1</v>
      </c>
      <c r="E223" s="5">
        <v>205</v>
      </c>
      <c r="F223" s="5">
        <f>ROUND(Source!S208,O223)</f>
        <v>13446.58</v>
      </c>
      <c r="G223" s="5" t="s">
        <v>87</v>
      </c>
      <c r="H223" s="5" t="s">
        <v>88</v>
      </c>
      <c r="I223" s="5"/>
      <c r="J223" s="5"/>
      <c r="K223" s="5">
        <v>205</v>
      </c>
      <c r="L223" s="5">
        <v>14</v>
      </c>
      <c r="M223" s="5">
        <v>3</v>
      </c>
      <c r="N223" s="5" t="s">
        <v>3</v>
      </c>
      <c r="O223" s="5">
        <v>2</v>
      </c>
      <c r="P223" s="5"/>
      <c r="Q223" s="5"/>
      <c r="R223" s="5"/>
      <c r="S223" s="5"/>
      <c r="T223" s="5"/>
      <c r="U223" s="5"/>
      <c r="V223" s="5"/>
      <c r="W223" s="5">
        <v>13446.580000000002</v>
      </c>
      <c r="X223" s="5">
        <v>1</v>
      </c>
      <c r="Y223" s="5">
        <v>13446.580000000002</v>
      </c>
      <c r="Z223" s="5"/>
      <c r="AA223" s="5"/>
      <c r="AB223" s="5"/>
    </row>
    <row r="224" spans="1:28" x14ac:dyDescent="0.2">
      <c r="A224" s="5">
        <v>50</v>
      </c>
      <c r="B224" s="5">
        <v>0</v>
      </c>
      <c r="C224" s="5">
        <v>0</v>
      </c>
      <c r="D224" s="5">
        <v>1</v>
      </c>
      <c r="E224" s="5">
        <v>232</v>
      </c>
      <c r="F224" s="5">
        <f>ROUND(Source!BC208,O224)</f>
        <v>0</v>
      </c>
      <c r="G224" s="5" t="s">
        <v>89</v>
      </c>
      <c r="H224" s="5" t="s">
        <v>90</v>
      </c>
      <c r="I224" s="5"/>
      <c r="J224" s="5"/>
      <c r="K224" s="5">
        <v>232</v>
      </c>
      <c r="L224" s="5">
        <v>15</v>
      </c>
      <c r="M224" s="5">
        <v>3</v>
      </c>
      <c r="N224" s="5" t="s">
        <v>3</v>
      </c>
      <c r="O224" s="5">
        <v>2</v>
      </c>
      <c r="P224" s="5"/>
      <c r="Q224" s="5"/>
      <c r="R224" s="5"/>
      <c r="S224" s="5"/>
      <c r="T224" s="5"/>
      <c r="U224" s="5"/>
      <c r="V224" s="5"/>
      <c r="W224" s="5">
        <v>0</v>
      </c>
      <c r="X224" s="5">
        <v>1</v>
      </c>
      <c r="Y224" s="5">
        <v>0</v>
      </c>
      <c r="Z224" s="5"/>
      <c r="AA224" s="5"/>
      <c r="AB224" s="5"/>
    </row>
    <row r="225" spans="1:206" x14ac:dyDescent="0.2">
      <c r="A225" s="5">
        <v>50</v>
      </c>
      <c r="B225" s="5">
        <v>0</v>
      </c>
      <c r="C225" s="5">
        <v>0</v>
      </c>
      <c r="D225" s="5">
        <v>1</v>
      </c>
      <c r="E225" s="5">
        <v>214</v>
      </c>
      <c r="F225" s="5">
        <f>ROUND(Source!AS208,O225)</f>
        <v>108285.89</v>
      </c>
      <c r="G225" s="5" t="s">
        <v>91</v>
      </c>
      <c r="H225" s="5" t="s">
        <v>92</v>
      </c>
      <c r="I225" s="5"/>
      <c r="J225" s="5"/>
      <c r="K225" s="5">
        <v>214</v>
      </c>
      <c r="L225" s="5">
        <v>16</v>
      </c>
      <c r="M225" s="5">
        <v>3</v>
      </c>
      <c r="N225" s="5" t="s">
        <v>3</v>
      </c>
      <c r="O225" s="5">
        <v>2</v>
      </c>
      <c r="P225" s="5"/>
      <c r="Q225" s="5"/>
      <c r="R225" s="5"/>
      <c r="S225" s="5"/>
      <c r="T225" s="5"/>
      <c r="U225" s="5"/>
      <c r="V225" s="5"/>
      <c r="W225" s="5">
        <v>108285.89</v>
      </c>
      <c r="X225" s="5">
        <v>1</v>
      </c>
      <c r="Y225" s="5">
        <v>108285.89</v>
      </c>
      <c r="Z225" s="5"/>
      <c r="AA225" s="5"/>
      <c r="AB225" s="5"/>
    </row>
    <row r="226" spans="1:206" x14ac:dyDescent="0.2">
      <c r="A226" s="5">
        <v>50</v>
      </c>
      <c r="B226" s="5">
        <v>0</v>
      </c>
      <c r="C226" s="5">
        <v>0</v>
      </c>
      <c r="D226" s="5">
        <v>1</v>
      </c>
      <c r="E226" s="5">
        <v>215</v>
      </c>
      <c r="F226" s="5">
        <f>ROUND(Source!AT208,O226)</f>
        <v>1114.43</v>
      </c>
      <c r="G226" s="5" t="s">
        <v>93</v>
      </c>
      <c r="H226" s="5" t="s">
        <v>94</v>
      </c>
      <c r="I226" s="5"/>
      <c r="J226" s="5"/>
      <c r="K226" s="5">
        <v>215</v>
      </c>
      <c r="L226" s="5">
        <v>17</v>
      </c>
      <c r="M226" s="5">
        <v>3</v>
      </c>
      <c r="N226" s="5" t="s">
        <v>3</v>
      </c>
      <c r="O226" s="5">
        <v>2</v>
      </c>
      <c r="P226" s="5"/>
      <c r="Q226" s="5"/>
      <c r="R226" s="5"/>
      <c r="S226" s="5"/>
      <c r="T226" s="5"/>
      <c r="U226" s="5"/>
      <c r="V226" s="5"/>
      <c r="W226" s="5">
        <v>1114.43</v>
      </c>
      <c r="X226" s="5">
        <v>1</v>
      </c>
      <c r="Y226" s="5">
        <v>1114.43</v>
      </c>
      <c r="Z226" s="5"/>
      <c r="AA226" s="5"/>
      <c r="AB226" s="5"/>
    </row>
    <row r="227" spans="1:206" x14ac:dyDescent="0.2">
      <c r="A227" s="5">
        <v>50</v>
      </c>
      <c r="B227" s="5">
        <v>0</v>
      </c>
      <c r="C227" s="5">
        <v>0</v>
      </c>
      <c r="D227" s="5">
        <v>1</v>
      </c>
      <c r="E227" s="5">
        <v>217</v>
      </c>
      <c r="F227" s="5">
        <f>ROUND(Source!AU208,O227)</f>
        <v>0</v>
      </c>
      <c r="G227" s="5" t="s">
        <v>95</v>
      </c>
      <c r="H227" s="5" t="s">
        <v>96</v>
      </c>
      <c r="I227" s="5"/>
      <c r="J227" s="5"/>
      <c r="K227" s="5">
        <v>217</v>
      </c>
      <c r="L227" s="5">
        <v>18</v>
      </c>
      <c r="M227" s="5">
        <v>3</v>
      </c>
      <c r="N227" s="5" t="s">
        <v>3</v>
      </c>
      <c r="O227" s="5">
        <v>2</v>
      </c>
      <c r="P227" s="5"/>
      <c r="Q227" s="5"/>
      <c r="R227" s="5"/>
      <c r="S227" s="5"/>
      <c r="T227" s="5"/>
      <c r="U227" s="5"/>
      <c r="V227" s="5"/>
      <c r="W227" s="5">
        <v>0</v>
      </c>
      <c r="X227" s="5">
        <v>1</v>
      </c>
      <c r="Y227" s="5">
        <v>0</v>
      </c>
      <c r="Z227" s="5"/>
      <c r="AA227" s="5"/>
      <c r="AB227" s="5"/>
    </row>
    <row r="228" spans="1:206" x14ac:dyDescent="0.2">
      <c r="A228" s="5">
        <v>50</v>
      </c>
      <c r="B228" s="5">
        <v>0</v>
      </c>
      <c r="C228" s="5">
        <v>0</v>
      </c>
      <c r="D228" s="5">
        <v>1</v>
      </c>
      <c r="E228" s="5">
        <v>230</v>
      </c>
      <c r="F228" s="5">
        <f>ROUND(Source!BA208,O228)</f>
        <v>0</v>
      </c>
      <c r="G228" s="5" t="s">
        <v>97</v>
      </c>
      <c r="H228" s="5" t="s">
        <v>98</v>
      </c>
      <c r="I228" s="5"/>
      <c r="J228" s="5"/>
      <c r="K228" s="5">
        <v>230</v>
      </c>
      <c r="L228" s="5">
        <v>19</v>
      </c>
      <c r="M228" s="5">
        <v>3</v>
      </c>
      <c r="N228" s="5" t="s">
        <v>3</v>
      </c>
      <c r="O228" s="5">
        <v>2</v>
      </c>
      <c r="P228" s="5"/>
      <c r="Q228" s="5"/>
      <c r="R228" s="5"/>
      <c r="S228" s="5"/>
      <c r="T228" s="5"/>
      <c r="U228" s="5"/>
      <c r="V228" s="5"/>
      <c r="W228" s="5">
        <v>0</v>
      </c>
      <c r="X228" s="5">
        <v>1</v>
      </c>
      <c r="Y228" s="5">
        <v>0</v>
      </c>
      <c r="Z228" s="5"/>
      <c r="AA228" s="5"/>
      <c r="AB228" s="5"/>
    </row>
    <row r="229" spans="1:206" x14ac:dyDescent="0.2">
      <c r="A229" s="5">
        <v>50</v>
      </c>
      <c r="B229" s="5">
        <v>0</v>
      </c>
      <c r="C229" s="5">
        <v>0</v>
      </c>
      <c r="D229" s="5">
        <v>1</v>
      </c>
      <c r="E229" s="5">
        <v>206</v>
      </c>
      <c r="F229" s="5">
        <f>ROUND(Source!T208,O229)</f>
        <v>0</v>
      </c>
      <c r="G229" s="5" t="s">
        <v>99</v>
      </c>
      <c r="H229" s="5" t="s">
        <v>100</v>
      </c>
      <c r="I229" s="5"/>
      <c r="J229" s="5"/>
      <c r="K229" s="5">
        <v>206</v>
      </c>
      <c r="L229" s="5">
        <v>20</v>
      </c>
      <c r="M229" s="5">
        <v>3</v>
      </c>
      <c r="N229" s="5" t="s">
        <v>3</v>
      </c>
      <c r="O229" s="5">
        <v>2</v>
      </c>
      <c r="P229" s="5"/>
      <c r="Q229" s="5"/>
      <c r="R229" s="5"/>
      <c r="S229" s="5"/>
      <c r="T229" s="5"/>
      <c r="U229" s="5"/>
      <c r="V229" s="5"/>
      <c r="W229" s="5">
        <v>0</v>
      </c>
      <c r="X229" s="5">
        <v>1</v>
      </c>
      <c r="Y229" s="5">
        <v>0</v>
      </c>
      <c r="Z229" s="5"/>
      <c r="AA229" s="5"/>
      <c r="AB229" s="5"/>
    </row>
    <row r="230" spans="1:206" x14ac:dyDescent="0.2">
      <c r="A230" s="5">
        <v>50</v>
      </c>
      <c r="B230" s="5">
        <v>0</v>
      </c>
      <c r="C230" s="5">
        <v>0</v>
      </c>
      <c r="D230" s="5">
        <v>1</v>
      </c>
      <c r="E230" s="5">
        <v>207</v>
      </c>
      <c r="F230" s="5">
        <f>ROUND(Source!U208,O230)</f>
        <v>32.084290000000003</v>
      </c>
      <c r="G230" s="5" t="s">
        <v>101</v>
      </c>
      <c r="H230" s="5" t="s">
        <v>102</v>
      </c>
      <c r="I230" s="5"/>
      <c r="J230" s="5"/>
      <c r="K230" s="5">
        <v>207</v>
      </c>
      <c r="L230" s="5">
        <v>21</v>
      </c>
      <c r="M230" s="5">
        <v>3</v>
      </c>
      <c r="N230" s="5" t="s">
        <v>3</v>
      </c>
      <c r="O230" s="5">
        <v>7</v>
      </c>
      <c r="P230" s="5"/>
      <c r="Q230" s="5"/>
      <c r="R230" s="5"/>
      <c r="S230" s="5"/>
      <c r="T230" s="5"/>
      <c r="U230" s="5"/>
      <c r="V230" s="5"/>
      <c r="W230" s="5">
        <v>32.084290000000003</v>
      </c>
      <c r="X230" s="5">
        <v>1</v>
      </c>
      <c r="Y230" s="5">
        <v>32.084290000000003</v>
      </c>
      <c r="Z230" s="5"/>
      <c r="AA230" s="5"/>
      <c r="AB230" s="5"/>
    </row>
    <row r="231" spans="1:206" x14ac:dyDescent="0.2">
      <c r="A231" s="5">
        <v>50</v>
      </c>
      <c r="B231" s="5">
        <v>0</v>
      </c>
      <c r="C231" s="5">
        <v>0</v>
      </c>
      <c r="D231" s="5">
        <v>1</v>
      </c>
      <c r="E231" s="5">
        <v>208</v>
      </c>
      <c r="F231" s="5">
        <f>ROUND(Source!V208,O231)</f>
        <v>13.885149999999999</v>
      </c>
      <c r="G231" s="5" t="s">
        <v>103</v>
      </c>
      <c r="H231" s="5" t="s">
        <v>104</v>
      </c>
      <c r="I231" s="5"/>
      <c r="J231" s="5"/>
      <c r="K231" s="5">
        <v>208</v>
      </c>
      <c r="L231" s="5">
        <v>22</v>
      </c>
      <c r="M231" s="5">
        <v>3</v>
      </c>
      <c r="N231" s="5" t="s">
        <v>3</v>
      </c>
      <c r="O231" s="5">
        <v>7</v>
      </c>
      <c r="P231" s="5"/>
      <c r="Q231" s="5"/>
      <c r="R231" s="5"/>
      <c r="S231" s="5"/>
      <c r="T231" s="5"/>
      <c r="U231" s="5"/>
      <c r="V231" s="5"/>
      <c r="W231" s="5">
        <v>13.885149999999999</v>
      </c>
      <c r="X231" s="5">
        <v>1</v>
      </c>
      <c r="Y231" s="5">
        <v>13.885149999999999</v>
      </c>
      <c r="Z231" s="5"/>
      <c r="AA231" s="5"/>
      <c r="AB231" s="5"/>
    </row>
    <row r="232" spans="1:206" x14ac:dyDescent="0.2">
      <c r="A232" s="5">
        <v>50</v>
      </c>
      <c r="B232" s="5">
        <v>0</v>
      </c>
      <c r="C232" s="5">
        <v>0</v>
      </c>
      <c r="D232" s="5">
        <v>1</v>
      </c>
      <c r="E232" s="5">
        <v>209</v>
      </c>
      <c r="F232" s="5">
        <f>ROUND(Source!W208,O232)</f>
        <v>0</v>
      </c>
      <c r="G232" s="5" t="s">
        <v>105</v>
      </c>
      <c r="H232" s="5" t="s">
        <v>106</v>
      </c>
      <c r="I232" s="5"/>
      <c r="J232" s="5"/>
      <c r="K232" s="5">
        <v>209</v>
      </c>
      <c r="L232" s="5">
        <v>23</v>
      </c>
      <c r="M232" s="5">
        <v>3</v>
      </c>
      <c r="N232" s="5" t="s">
        <v>3</v>
      </c>
      <c r="O232" s="5">
        <v>2</v>
      </c>
      <c r="P232" s="5"/>
      <c r="Q232" s="5"/>
      <c r="R232" s="5"/>
      <c r="S232" s="5"/>
      <c r="T232" s="5"/>
      <c r="U232" s="5"/>
      <c r="V232" s="5"/>
      <c r="W232" s="5">
        <v>0</v>
      </c>
      <c r="X232" s="5">
        <v>1</v>
      </c>
      <c r="Y232" s="5">
        <v>0</v>
      </c>
      <c r="Z232" s="5"/>
      <c r="AA232" s="5"/>
      <c r="AB232" s="5"/>
    </row>
    <row r="233" spans="1:206" x14ac:dyDescent="0.2">
      <c r="A233" s="5">
        <v>50</v>
      </c>
      <c r="B233" s="5">
        <v>0</v>
      </c>
      <c r="C233" s="5">
        <v>0</v>
      </c>
      <c r="D233" s="5">
        <v>1</v>
      </c>
      <c r="E233" s="5">
        <v>233</v>
      </c>
      <c r="F233" s="5">
        <f>ROUND(Source!BD208,O233)</f>
        <v>0</v>
      </c>
      <c r="G233" s="5" t="s">
        <v>107</v>
      </c>
      <c r="H233" s="5" t="s">
        <v>108</v>
      </c>
      <c r="I233" s="5"/>
      <c r="J233" s="5"/>
      <c r="K233" s="5">
        <v>233</v>
      </c>
      <c r="L233" s="5">
        <v>24</v>
      </c>
      <c r="M233" s="5">
        <v>3</v>
      </c>
      <c r="N233" s="5" t="s">
        <v>3</v>
      </c>
      <c r="O233" s="5">
        <v>2</v>
      </c>
      <c r="P233" s="5"/>
      <c r="Q233" s="5"/>
      <c r="R233" s="5"/>
      <c r="S233" s="5"/>
      <c r="T233" s="5"/>
      <c r="U233" s="5"/>
      <c r="V233" s="5"/>
      <c r="W233" s="5">
        <v>0</v>
      </c>
      <c r="X233" s="5">
        <v>1</v>
      </c>
      <c r="Y233" s="5">
        <v>0</v>
      </c>
      <c r="Z233" s="5"/>
      <c r="AA233" s="5"/>
      <c r="AB233" s="5"/>
    </row>
    <row r="234" spans="1:206" x14ac:dyDescent="0.2">
      <c r="A234" s="5">
        <v>50</v>
      </c>
      <c r="B234" s="5">
        <v>0</v>
      </c>
      <c r="C234" s="5">
        <v>0</v>
      </c>
      <c r="D234" s="5">
        <v>1</v>
      </c>
      <c r="E234" s="5">
        <v>210</v>
      </c>
      <c r="F234" s="5">
        <f>ROUND(Source!X208,O234)</f>
        <v>22403.62</v>
      </c>
      <c r="G234" s="5" t="s">
        <v>109</v>
      </c>
      <c r="H234" s="5" t="s">
        <v>110</v>
      </c>
      <c r="I234" s="5"/>
      <c r="J234" s="5"/>
      <c r="K234" s="5">
        <v>210</v>
      </c>
      <c r="L234" s="5">
        <v>25</v>
      </c>
      <c r="M234" s="5">
        <v>3</v>
      </c>
      <c r="N234" s="5" t="s">
        <v>3</v>
      </c>
      <c r="O234" s="5">
        <v>2</v>
      </c>
      <c r="P234" s="5"/>
      <c r="Q234" s="5"/>
      <c r="R234" s="5"/>
      <c r="S234" s="5"/>
      <c r="T234" s="5"/>
      <c r="U234" s="5"/>
      <c r="V234" s="5"/>
      <c r="W234" s="5">
        <v>22403.62</v>
      </c>
      <c r="X234" s="5">
        <v>1</v>
      </c>
      <c r="Y234" s="5">
        <v>22403.62</v>
      </c>
      <c r="Z234" s="5"/>
      <c r="AA234" s="5"/>
      <c r="AB234" s="5"/>
    </row>
    <row r="235" spans="1:206" x14ac:dyDescent="0.2">
      <c r="A235" s="5">
        <v>50</v>
      </c>
      <c r="B235" s="5">
        <v>0</v>
      </c>
      <c r="C235" s="5">
        <v>0</v>
      </c>
      <c r="D235" s="5">
        <v>1</v>
      </c>
      <c r="E235" s="5">
        <v>211</v>
      </c>
      <c r="F235" s="5">
        <f>ROUND(Source!Y208,O235)</f>
        <v>11708.34</v>
      </c>
      <c r="G235" s="5" t="s">
        <v>111</v>
      </c>
      <c r="H235" s="5" t="s">
        <v>112</v>
      </c>
      <c r="I235" s="5"/>
      <c r="J235" s="5"/>
      <c r="K235" s="5">
        <v>211</v>
      </c>
      <c r="L235" s="5">
        <v>26</v>
      </c>
      <c r="M235" s="5">
        <v>3</v>
      </c>
      <c r="N235" s="5" t="s">
        <v>3</v>
      </c>
      <c r="O235" s="5">
        <v>2</v>
      </c>
      <c r="P235" s="5"/>
      <c r="Q235" s="5"/>
      <c r="R235" s="5"/>
      <c r="S235" s="5"/>
      <c r="T235" s="5"/>
      <c r="U235" s="5"/>
      <c r="V235" s="5"/>
      <c r="W235" s="5">
        <v>11708.34</v>
      </c>
      <c r="X235" s="5">
        <v>1</v>
      </c>
      <c r="Y235" s="5">
        <v>11708.34</v>
      </c>
      <c r="Z235" s="5"/>
      <c r="AA235" s="5"/>
      <c r="AB235" s="5"/>
    </row>
    <row r="236" spans="1:206" x14ac:dyDescent="0.2">
      <c r="A236" s="5">
        <v>50</v>
      </c>
      <c r="B236" s="5">
        <v>0</v>
      </c>
      <c r="C236" s="5">
        <v>0</v>
      </c>
      <c r="D236" s="5">
        <v>1</v>
      </c>
      <c r="E236" s="5">
        <v>224</v>
      </c>
      <c r="F236" s="5">
        <f>ROUND(Source!AR208,O236)</f>
        <v>109400.32000000001</v>
      </c>
      <c r="G236" s="5" t="s">
        <v>113</v>
      </c>
      <c r="H236" s="5" t="s">
        <v>114</v>
      </c>
      <c r="I236" s="5"/>
      <c r="J236" s="5"/>
      <c r="K236" s="5">
        <v>224</v>
      </c>
      <c r="L236" s="5">
        <v>27</v>
      </c>
      <c r="M236" s="5">
        <v>3</v>
      </c>
      <c r="N236" s="5" t="s">
        <v>3</v>
      </c>
      <c r="O236" s="5">
        <v>2</v>
      </c>
      <c r="P236" s="5"/>
      <c r="Q236" s="5"/>
      <c r="R236" s="5"/>
      <c r="S236" s="5"/>
      <c r="T236" s="5"/>
      <c r="U236" s="5"/>
      <c r="V236" s="5"/>
      <c r="W236" s="5">
        <v>109400.31999999999</v>
      </c>
      <c r="X236" s="5">
        <v>1</v>
      </c>
      <c r="Y236" s="5">
        <v>109400.31999999999</v>
      </c>
      <c r="Z236" s="5"/>
      <c r="AA236" s="5"/>
      <c r="AB236" s="5"/>
    </row>
    <row r="238" spans="1:206" x14ac:dyDescent="0.2">
      <c r="A238" s="3">
        <v>51</v>
      </c>
      <c r="B238" s="3">
        <f>B20</f>
        <v>1</v>
      </c>
      <c r="C238" s="3">
        <f>A20</f>
        <v>3</v>
      </c>
      <c r="D238" s="3">
        <f>ROW(A20)</f>
        <v>20</v>
      </c>
      <c r="E238" s="3"/>
      <c r="F238" s="3" t="str">
        <f>IF(F20&lt;&gt;"",F20,"")</f>
        <v>Новая локальная смета</v>
      </c>
      <c r="G238" s="3" t="str">
        <f>IF(G20&lt;&gt;"",G20,"")</f>
        <v>Газопровод  низкого давления</v>
      </c>
      <c r="H238" s="3">
        <v>0</v>
      </c>
      <c r="I238" s="3"/>
      <c r="J238" s="3"/>
      <c r="K238" s="3"/>
      <c r="L238" s="3"/>
      <c r="M238" s="3"/>
      <c r="N238" s="3"/>
      <c r="O238" s="3">
        <f t="shared" ref="O238:T238" si="137">ROUND(O35+O102+O150+O208+AB238,2)</f>
        <v>210262.06</v>
      </c>
      <c r="P238" s="3">
        <f t="shared" si="137"/>
        <v>96642.05</v>
      </c>
      <c r="Q238" s="3">
        <f t="shared" si="137"/>
        <v>42984.01</v>
      </c>
      <c r="R238" s="3">
        <f t="shared" si="137"/>
        <v>14698.73</v>
      </c>
      <c r="S238" s="3">
        <f t="shared" si="137"/>
        <v>55937.27</v>
      </c>
      <c r="T238" s="3">
        <f t="shared" si="137"/>
        <v>0</v>
      </c>
      <c r="U238" s="3">
        <f>U35+U102+U150+U208+AH238</f>
        <v>150.46112500000001</v>
      </c>
      <c r="V238" s="3">
        <f>V35+V102+V150+V208+AI238</f>
        <v>30.978373600000005</v>
      </c>
      <c r="W238" s="3">
        <f>ROUND(W35+W102+W150+W208+AJ238,2)</f>
        <v>0</v>
      </c>
      <c r="X238" s="3">
        <f>ROUND(X35+X102+X150+X208+AK238,2)</f>
        <v>76006.48</v>
      </c>
      <c r="Y238" s="3">
        <f>ROUND(Y35+Y102+Y150+Y208+AL238,2)</f>
        <v>42249.96</v>
      </c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>
        <f t="shared" ref="AO238:BD238" si="138">ROUND(AO35+AO102+AO150+AO208+BX238,2)</f>
        <v>0</v>
      </c>
      <c r="AP238" s="3">
        <f t="shared" si="138"/>
        <v>0</v>
      </c>
      <c r="AQ238" s="3">
        <f t="shared" si="138"/>
        <v>0</v>
      </c>
      <c r="AR238" s="3">
        <f t="shared" si="138"/>
        <v>328518.5</v>
      </c>
      <c r="AS238" s="3">
        <f t="shared" si="138"/>
        <v>314279.77</v>
      </c>
      <c r="AT238" s="3">
        <f t="shared" si="138"/>
        <v>14238.73</v>
      </c>
      <c r="AU238" s="3">
        <f t="shared" si="138"/>
        <v>0</v>
      </c>
      <c r="AV238" s="3">
        <f t="shared" si="138"/>
        <v>96642.05</v>
      </c>
      <c r="AW238" s="3">
        <f t="shared" si="138"/>
        <v>96642.05</v>
      </c>
      <c r="AX238" s="3">
        <f t="shared" si="138"/>
        <v>0</v>
      </c>
      <c r="AY238" s="3">
        <f t="shared" si="138"/>
        <v>96642.05</v>
      </c>
      <c r="AZ238" s="3">
        <f t="shared" si="138"/>
        <v>0</v>
      </c>
      <c r="BA238" s="3">
        <f t="shared" si="138"/>
        <v>0</v>
      </c>
      <c r="BB238" s="3">
        <f t="shared" si="138"/>
        <v>0</v>
      </c>
      <c r="BC238" s="3">
        <f t="shared" si="138"/>
        <v>0</v>
      </c>
      <c r="BD238" s="3">
        <f t="shared" si="138"/>
        <v>0</v>
      </c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>
        <v>0</v>
      </c>
    </row>
    <row r="240" spans="1:206" x14ac:dyDescent="0.2">
      <c r="A240" s="5">
        <v>50</v>
      </c>
      <c r="B240" s="5">
        <v>0</v>
      </c>
      <c r="C240" s="5">
        <v>0</v>
      </c>
      <c r="D240" s="5">
        <v>1</v>
      </c>
      <c r="E240" s="5">
        <v>201</v>
      </c>
      <c r="F240" s="5">
        <f>ROUND(Source!O238,O240)</f>
        <v>210262.06</v>
      </c>
      <c r="G240" s="5" t="s">
        <v>61</v>
      </c>
      <c r="H240" s="5" t="s">
        <v>62</v>
      </c>
      <c r="I240" s="5"/>
      <c r="J240" s="5"/>
      <c r="K240" s="5">
        <v>201</v>
      </c>
      <c r="L240" s="5">
        <v>1</v>
      </c>
      <c r="M240" s="5">
        <v>3</v>
      </c>
      <c r="N240" s="5" t="s">
        <v>3</v>
      </c>
      <c r="O240" s="5">
        <v>2</v>
      </c>
      <c r="P240" s="5"/>
      <c r="Q240" s="5"/>
      <c r="R240" s="5"/>
      <c r="S240" s="5"/>
      <c r="T240" s="5"/>
      <c r="U240" s="5"/>
      <c r="V240" s="5"/>
      <c r="W240" s="5">
        <v>210262.06000000003</v>
      </c>
      <c r="X240" s="5">
        <v>1</v>
      </c>
      <c r="Y240" s="5">
        <v>210262.06000000003</v>
      </c>
      <c r="Z240" s="5"/>
      <c r="AA240" s="5"/>
      <c r="AB240" s="5"/>
    </row>
    <row r="241" spans="1:28" x14ac:dyDescent="0.2">
      <c r="A241" s="5">
        <v>50</v>
      </c>
      <c r="B241" s="5">
        <v>0</v>
      </c>
      <c r="C241" s="5">
        <v>0</v>
      </c>
      <c r="D241" s="5">
        <v>1</v>
      </c>
      <c r="E241" s="5">
        <v>202</v>
      </c>
      <c r="F241" s="5">
        <f>ROUND(Source!P238,O241)</f>
        <v>96642.05</v>
      </c>
      <c r="G241" s="5" t="s">
        <v>63</v>
      </c>
      <c r="H241" s="5" t="s">
        <v>64</v>
      </c>
      <c r="I241" s="5"/>
      <c r="J241" s="5"/>
      <c r="K241" s="5">
        <v>202</v>
      </c>
      <c r="L241" s="5">
        <v>2</v>
      </c>
      <c r="M241" s="5">
        <v>3</v>
      </c>
      <c r="N241" s="5" t="s">
        <v>3</v>
      </c>
      <c r="O241" s="5">
        <v>2</v>
      </c>
      <c r="P241" s="5"/>
      <c r="Q241" s="5"/>
      <c r="R241" s="5"/>
      <c r="S241" s="5"/>
      <c r="T241" s="5"/>
      <c r="U241" s="5"/>
      <c r="V241" s="5"/>
      <c r="W241" s="5">
        <v>96642.05</v>
      </c>
      <c r="X241" s="5">
        <v>1</v>
      </c>
      <c r="Y241" s="5">
        <v>96642.05</v>
      </c>
      <c r="Z241" s="5"/>
      <c r="AA241" s="5"/>
      <c r="AB241" s="5"/>
    </row>
    <row r="242" spans="1:28" x14ac:dyDescent="0.2">
      <c r="A242" s="5">
        <v>50</v>
      </c>
      <c r="B242" s="5">
        <v>0</v>
      </c>
      <c r="C242" s="5">
        <v>0</v>
      </c>
      <c r="D242" s="5">
        <v>1</v>
      </c>
      <c r="E242" s="5">
        <v>222</v>
      </c>
      <c r="F242" s="5">
        <f>ROUND(Source!AO238,O242)</f>
        <v>0</v>
      </c>
      <c r="G242" s="5" t="s">
        <v>65</v>
      </c>
      <c r="H242" s="5" t="s">
        <v>66</v>
      </c>
      <c r="I242" s="5"/>
      <c r="J242" s="5"/>
      <c r="K242" s="5">
        <v>222</v>
      </c>
      <c r="L242" s="5">
        <v>3</v>
      </c>
      <c r="M242" s="5">
        <v>3</v>
      </c>
      <c r="N242" s="5" t="s">
        <v>3</v>
      </c>
      <c r="O242" s="5">
        <v>2</v>
      </c>
      <c r="P242" s="5"/>
      <c r="Q242" s="5"/>
      <c r="R242" s="5"/>
      <c r="S242" s="5"/>
      <c r="T242" s="5"/>
      <c r="U242" s="5"/>
      <c r="V242" s="5"/>
      <c r="W242" s="5">
        <v>0</v>
      </c>
      <c r="X242" s="5">
        <v>1</v>
      </c>
      <c r="Y242" s="5">
        <v>0</v>
      </c>
      <c r="Z242" s="5"/>
      <c r="AA242" s="5"/>
      <c r="AB242" s="5"/>
    </row>
    <row r="243" spans="1:28" x14ac:dyDescent="0.2">
      <c r="A243" s="5">
        <v>50</v>
      </c>
      <c r="B243" s="5">
        <v>0</v>
      </c>
      <c r="C243" s="5">
        <v>0</v>
      </c>
      <c r="D243" s="5">
        <v>1</v>
      </c>
      <c r="E243" s="5">
        <v>225</v>
      </c>
      <c r="F243" s="5">
        <f>ROUND(Source!AV238,O243)</f>
        <v>96642.05</v>
      </c>
      <c r="G243" s="5" t="s">
        <v>67</v>
      </c>
      <c r="H243" s="5" t="s">
        <v>68</v>
      </c>
      <c r="I243" s="5"/>
      <c r="J243" s="5"/>
      <c r="K243" s="5">
        <v>225</v>
      </c>
      <c r="L243" s="5">
        <v>4</v>
      </c>
      <c r="M243" s="5">
        <v>3</v>
      </c>
      <c r="N243" s="5" t="s">
        <v>3</v>
      </c>
      <c r="O243" s="5">
        <v>2</v>
      </c>
      <c r="P243" s="5"/>
      <c r="Q243" s="5"/>
      <c r="R243" s="5"/>
      <c r="S243" s="5"/>
      <c r="T243" s="5"/>
      <c r="U243" s="5"/>
      <c r="V243" s="5"/>
      <c r="W243" s="5">
        <v>96642.05</v>
      </c>
      <c r="X243" s="5">
        <v>1</v>
      </c>
      <c r="Y243" s="5">
        <v>96642.05</v>
      </c>
      <c r="Z243" s="5"/>
      <c r="AA243" s="5"/>
      <c r="AB243" s="5"/>
    </row>
    <row r="244" spans="1:28" x14ac:dyDescent="0.2">
      <c r="A244" s="5">
        <v>50</v>
      </c>
      <c r="B244" s="5">
        <v>0</v>
      </c>
      <c r="C244" s="5">
        <v>0</v>
      </c>
      <c r="D244" s="5">
        <v>1</v>
      </c>
      <c r="E244" s="5">
        <v>226</v>
      </c>
      <c r="F244" s="5">
        <f>ROUND(Source!AW238,O244)</f>
        <v>96642.05</v>
      </c>
      <c r="G244" s="5" t="s">
        <v>69</v>
      </c>
      <c r="H244" s="5" t="s">
        <v>70</v>
      </c>
      <c r="I244" s="5"/>
      <c r="J244" s="5"/>
      <c r="K244" s="5">
        <v>226</v>
      </c>
      <c r="L244" s="5">
        <v>5</v>
      </c>
      <c r="M244" s="5">
        <v>3</v>
      </c>
      <c r="N244" s="5" t="s">
        <v>3</v>
      </c>
      <c r="O244" s="5">
        <v>2</v>
      </c>
      <c r="P244" s="5"/>
      <c r="Q244" s="5"/>
      <c r="R244" s="5"/>
      <c r="S244" s="5"/>
      <c r="T244" s="5"/>
      <c r="U244" s="5"/>
      <c r="V244" s="5"/>
      <c r="W244" s="5">
        <v>96642.05</v>
      </c>
      <c r="X244" s="5">
        <v>1</v>
      </c>
      <c r="Y244" s="5">
        <v>96642.05</v>
      </c>
      <c r="Z244" s="5"/>
      <c r="AA244" s="5"/>
      <c r="AB244" s="5"/>
    </row>
    <row r="245" spans="1:28" x14ac:dyDescent="0.2">
      <c r="A245" s="5">
        <v>50</v>
      </c>
      <c r="B245" s="5">
        <v>0</v>
      </c>
      <c r="C245" s="5">
        <v>0</v>
      </c>
      <c r="D245" s="5">
        <v>1</v>
      </c>
      <c r="E245" s="5">
        <v>227</v>
      </c>
      <c r="F245" s="5">
        <f>ROUND(Source!AX238,O245)</f>
        <v>0</v>
      </c>
      <c r="G245" s="5" t="s">
        <v>71</v>
      </c>
      <c r="H245" s="5" t="s">
        <v>72</v>
      </c>
      <c r="I245" s="5"/>
      <c r="J245" s="5"/>
      <c r="K245" s="5">
        <v>227</v>
      </c>
      <c r="L245" s="5">
        <v>6</v>
      </c>
      <c r="M245" s="5">
        <v>3</v>
      </c>
      <c r="N245" s="5" t="s">
        <v>3</v>
      </c>
      <c r="O245" s="5">
        <v>2</v>
      </c>
      <c r="P245" s="5"/>
      <c r="Q245" s="5"/>
      <c r="R245" s="5"/>
      <c r="S245" s="5"/>
      <c r="T245" s="5"/>
      <c r="U245" s="5"/>
      <c r="V245" s="5"/>
      <c r="W245" s="5">
        <v>0</v>
      </c>
      <c r="X245" s="5">
        <v>1</v>
      </c>
      <c r="Y245" s="5">
        <v>0</v>
      </c>
      <c r="Z245" s="5"/>
      <c r="AA245" s="5"/>
      <c r="AB245" s="5"/>
    </row>
    <row r="246" spans="1:28" x14ac:dyDescent="0.2">
      <c r="A246" s="5">
        <v>50</v>
      </c>
      <c r="B246" s="5">
        <v>0</v>
      </c>
      <c r="C246" s="5">
        <v>0</v>
      </c>
      <c r="D246" s="5">
        <v>1</v>
      </c>
      <c r="E246" s="5">
        <v>228</v>
      </c>
      <c r="F246" s="5">
        <f>ROUND(Source!AY238,O246)</f>
        <v>96642.05</v>
      </c>
      <c r="G246" s="5" t="s">
        <v>73</v>
      </c>
      <c r="H246" s="5" t="s">
        <v>74</v>
      </c>
      <c r="I246" s="5"/>
      <c r="J246" s="5"/>
      <c r="K246" s="5">
        <v>228</v>
      </c>
      <c r="L246" s="5">
        <v>7</v>
      </c>
      <c r="M246" s="5">
        <v>3</v>
      </c>
      <c r="N246" s="5" t="s">
        <v>3</v>
      </c>
      <c r="O246" s="5">
        <v>2</v>
      </c>
      <c r="P246" s="5"/>
      <c r="Q246" s="5"/>
      <c r="R246" s="5"/>
      <c r="S246" s="5"/>
      <c r="T246" s="5"/>
      <c r="U246" s="5"/>
      <c r="V246" s="5"/>
      <c r="W246" s="5">
        <v>96642.05</v>
      </c>
      <c r="X246" s="5">
        <v>1</v>
      </c>
      <c r="Y246" s="5">
        <v>96642.05</v>
      </c>
      <c r="Z246" s="5"/>
      <c r="AA246" s="5"/>
      <c r="AB246" s="5"/>
    </row>
    <row r="247" spans="1:28" x14ac:dyDescent="0.2">
      <c r="A247" s="5">
        <v>50</v>
      </c>
      <c r="B247" s="5">
        <v>0</v>
      </c>
      <c r="C247" s="5">
        <v>0</v>
      </c>
      <c r="D247" s="5">
        <v>1</v>
      </c>
      <c r="E247" s="5">
        <v>216</v>
      </c>
      <c r="F247" s="5">
        <f>ROUND(Source!AP238,O247)</f>
        <v>0</v>
      </c>
      <c r="G247" s="5" t="s">
        <v>75</v>
      </c>
      <c r="H247" s="5" t="s">
        <v>76</v>
      </c>
      <c r="I247" s="5"/>
      <c r="J247" s="5"/>
      <c r="K247" s="5">
        <v>216</v>
      </c>
      <c r="L247" s="5">
        <v>8</v>
      </c>
      <c r="M247" s="5">
        <v>3</v>
      </c>
      <c r="N247" s="5" t="s">
        <v>3</v>
      </c>
      <c r="O247" s="5">
        <v>2</v>
      </c>
      <c r="P247" s="5"/>
      <c r="Q247" s="5"/>
      <c r="R247" s="5"/>
      <c r="S247" s="5"/>
      <c r="T247" s="5"/>
      <c r="U247" s="5"/>
      <c r="V247" s="5"/>
      <c r="W247" s="5">
        <v>0</v>
      </c>
      <c r="X247" s="5">
        <v>1</v>
      </c>
      <c r="Y247" s="5">
        <v>0</v>
      </c>
      <c r="Z247" s="5"/>
      <c r="AA247" s="5"/>
      <c r="AB247" s="5"/>
    </row>
    <row r="248" spans="1:28" x14ac:dyDescent="0.2">
      <c r="A248" s="5">
        <v>50</v>
      </c>
      <c r="B248" s="5">
        <v>0</v>
      </c>
      <c r="C248" s="5">
        <v>0</v>
      </c>
      <c r="D248" s="5">
        <v>1</v>
      </c>
      <c r="E248" s="5">
        <v>223</v>
      </c>
      <c r="F248" s="5">
        <f>ROUND(Source!AQ238,O248)</f>
        <v>0</v>
      </c>
      <c r="G248" s="5" t="s">
        <v>77</v>
      </c>
      <c r="H248" s="5" t="s">
        <v>78</v>
      </c>
      <c r="I248" s="5"/>
      <c r="J248" s="5"/>
      <c r="K248" s="5">
        <v>223</v>
      </c>
      <c r="L248" s="5">
        <v>9</v>
      </c>
      <c r="M248" s="5">
        <v>3</v>
      </c>
      <c r="N248" s="5" t="s">
        <v>3</v>
      </c>
      <c r="O248" s="5">
        <v>2</v>
      </c>
      <c r="P248" s="5"/>
      <c r="Q248" s="5"/>
      <c r="R248" s="5"/>
      <c r="S248" s="5"/>
      <c r="T248" s="5"/>
      <c r="U248" s="5"/>
      <c r="V248" s="5"/>
      <c r="W248" s="5">
        <v>0</v>
      </c>
      <c r="X248" s="5">
        <v>1</v>
      </c>
      <c r="Y248" s="5">
        <v>0</v>
      </c>
      <c r="Z248" s="5"/>
      <c r="AA248" s="5"/>
      <c r="AB248" s="5"/>
    </row>
    <row r="249" spans="1:28" x14ac:dyDescent="0.2">
      <c r="A249" s="5">
        <v>50</v>
      </c>
      <c r="B249" s="5">
        <v>0</v>
      </c>
      <c r="C249" s="5">
        <v>0</v>
      </c>
      <c r="D249" s="5">
        <v>1</v>
      </c>
      <c r="E249" s="5">
        <v>229</v>
      </c>
      <c r="F249" s="5">
        <f>ROUND(Source!AZ238,O249)</f>
        <v>0</v>
      </c>
      <c r="G249" s="5" t="s">
        <v>79</v>
      </c>
      <c r="H249" s="5" t="s">
        <v>80</v>
      </c>
      <c r="I249" s="5"/>
      <c r="J249" s="5"/>
      <c r="K249" s="5">
        <v>229</v>
      </c>
      <c r="L249" s="5">
        <v>10</v>
      </c>
      <c r="M249" s="5">
        <v>3</v>
      </c>
      <c r="N249" s="5" t="s">
        <v>3</v>
      </c>
      <c r="O249" s="5">
        <v>2</v>
      </c>
      <c r="P249" s="5"/>
      <c r="Q249" s="5"/>
      <c r="R249" s="5"/>
      <c r="S249" s="5"/>
      <c r="T249" s="5"/>
      <c r="U249" s="5"/>
      <c r="V249" s="5"/>
      <c r="W249" s="5">
        <v>0</v>
      </c>
      <c r="X249" s="5">
        <v>1</v>
      </c>
      <c r="Y249" s="5">
        <v>0</v>
      </c>
      <c r="Z249" s="5"/>
      <c r="AA249" s="5"/>
      <c r="AB249" s="5"/>
    </row>
    <row r="250" spans="1:28" x14ac:dyDescent="0.2">
      <c r="A250" s="5">
        <v>50</v>
      </c>
      <c r="B250" s="5">
        <v>0</v>
      </c>
      <c r="C250" s="5">
        <v>0</v>
      </c>
      <c r="D250" s="5">
        <v>1</v>
      </c>
      <c r="E250" s="5">
        <v>203</v>
      </c>
      <c r="F250" s="5">
        <f>ROUND(Source!Q238,O250)</f>
        <v>42984.01</v>
      </c>
      <c r="G250" s="5" t="s">
        <v>81</v>
      </c>
      <c r="H250" s="5" t="s">
        <v>82</v>
      </c>
      <c r="I250" s="5"/>
      <c r="J250" s="5"/>
      <c r="K250" s="5">
        <v>203</v>
      </c>
      <c r="L250" s="5">
        <v>11</v>
      </c>
      <c r="M250" s="5">
        <v>3</v>
      </c>
      <c r="N250" s="5" t="s">
        <v>3</v>
      </c>
      <c r="O250" s="5">
        <v>2</v>
      </c>
      <c r="P250" s="5"/>
      <c r="Q250" s="5"/>
      <c r="R250" s="5"/>
      <c r="S250" s="5"/>
      <c r="T250" s="5"/>
      <c r="U250" s="5"/>
      <c r="V250" s="5"/>
      <c r="W250" s="5">
        <v>42984.009999999995</v>
      </c>
      <c r="X250" s="5">
        <v>1</v>
      </c>
      <c r="Y250" s="5">
        <v>42984.009999999995</v>
      </c>
      <c r="Z250" s="5"/>
      <c r="AA250" s="5"/>
      <c r="AB250" s="5"/>
    </row>
    <row r="251" spans="1:28" x14ac:dyDescent="0.2">
      <c r="A251" s="5">
        <v>50</v>
      </c>
      <c r="B251" s="5">
        <v>0</v>
      </c>
      <c r="C251" s="5">
        <v>0</v>
      </c>
      <c r="D251" s="5">
        <v>1</v>
      </c>
      <c r="E251" s="5">
        <v>231</v>
      </c>
      <c r="F251" s="5">
        <f>ROUND(Source!BB238,O251)</f>
        <v>0</v>
      </c>
      <c r="G251" s="5" t="s">
        <v>83</v>
      </c>
      <c r="H251" s="5" t="s">
        <v>84</v>
      </c>
      <c r="I251" s="5"/>
      <c r="J251" s="5"/>
      <c r="K251" s="5">
        <v>231</v>
      </c>
      <c r="L251" s="5">
        <v>12</v>
      </c>
      <c r="M251" s="5">
        <v>3</v>
      </c>
      <c r="N251" s="5" t="s">
        <v>3</v>
      </c>
      <c r="O251" s="5">
        <v>2</v>
      </c>
      <c r="P251" s="5"/>
      <c r="Q251" s="5"/>
      <c r="R251" s="5"/>
      <c r="S251" s="5"/>
      <c r="T251" s="5"/>
      <c r="U251" s="5"/>
      <c r="V251" s="5"/>
      <c r="W251" s="5">
        <v>0</v>
      </c>
      <c r="X251" s="5">
        <v>1</v>
      </c>
      <c r="Y251" s="5">
        <v>0</v>
      </c>
      <c r="Z251" s="5"/>
      <c r="AA251" s="5"/>
      <c r="AB251" s="5"/>
    </row>
    <row r="252" spans="1:28" x14ac:dyDescent="0.2">
      <c r="A252" s="5">
        <v>50</v>
      </c>
      <c r="B252" s="5">
        <v>0</v>
      </c>
      <c r="C252" s="5">
        <v>0</v>
      </c>
      <c r="D252" s="5">
        <v>1</v>
      </c>
      <c r="E252" s="5">
        <v>204</v>
      </c>
      <c r="F252" s="5">
        <f>ROUND(Source!R238,O252)</f>
        <v>14698.73</v>
      </c>
      <c r="G252" s="5" t="s">
        <v>85</v>
      </c>
      <c r="H252" s="5" t="s">
        <v>86</v>
      </c>
      <c r="I252" s="5"/>
      <c r="J252" s="5"/>
      <c r="K252" s="5">
        <v>204</v>
      </c>
      <c r="L252" s="5">
        <v>13</v>
      </c>
      <c r="M252" s="5">
        <v>3</v>
      </c>
      <c r="N252" s="5" t="s">
        <v>3</v>
      </c>
      <c r="O252" s="5">
        <v>2</v>
      </c>
      <c r="P252" s="5"/>
      <c r="Q252" s="5"/>
      <c r="R252" s="5"/>
      <c r="S252" s="5"/>
      <c r="T252" s="5"/>
      <c r="U252" s="5"/>
      <c r="V252" s="5"/>
      <c r="W252" s="5">
        <v>14698.73</v>
      </c>
      <c r="X252" s="5">
        <v>1</v>
      </c>
      <c r="Y252" s="5">
        <v>14698.73</v>
      </c>
      <c r="Z252" s="5"/>
      <c r="AA252" s="5"/>
      <c r="AB252" s="5"/>
    </row>
    <row r="253" spans="1:28" x14ac:dyDescent="0.2">
      <c r="A253" s="5">
        <v>50</v>
      </c>
      <c r="B253" s="5">
        <v>0</v>
      </c>
      <c r="C253" s="5">
        <v>0</v>
      </c>
      <c r="D253" s="5">
        <v>1</v>
      </c>
      <c r="E253" s="5">
        <v>205</v>
      </c>
      <c r="F253" s="5">
        <f>ROUND(Source!S238,O253)</f>
        <v>55937.27</v>
      </c>
      <c r="G253" s="5" t="s">
        <v>87</v>
      </c>
      <c r="H253" s="5" t="s">
        <v>88</v>
      </c>
      <c r="I253" s="5"/>
      <c r="J253" s="5"/>
      <c r="K253" s="5">
        <v>205</v>
      </c>
      <c r="L253" s="5">
        <v>14</v>
      </c>
      <c r="M253" s="5">
        <v>3</v>
      </c>
      <c r="N253" s="5" t="s">
        <v>3</v>
      </c>
      <c r="O253" s="5">
        <v>2</v>
      </c>
      <c r="P253" s="5"/>
      <c r="Q253" s="5"/>
      <c r="R253" s="5"/>
      <c r="S253" s="5"/>
      <c r="T253" s="5"/>
      <c r="U253" s="5"/>
      <c r="V253" s="5"/>
      <c r="W253" s="5">
        <v>55937.270000000004</v>
      </c>
      <c r="X253" s="5">
        <v>1</v>
      </c>
      <c r="Y253" s="5">
        <v>55937.270000000004</v>
      </c>
      <c r="Z253" s="5"/>
      <c r="AA253" s="5"/>
      <c r="AB253" s="5"/>
    </row>
    <row r="254" spans="1:28" x14ac:dyDescent="0.2">
      <c r="A254" s="5">
        <v>50</v>
      </c>
      <c r="B254" s="5">
        <v>0</v>
      </c>
      <c r="C254" s="5">
        <v>0</v>
      </c>
      <c r="D254" s="5">
        <v>1</v>
      </c>
      <c r="E254" s="5">
        <v>232</v>
      </c>
      <c r="F254" s="5">
        <f>ROUND(Source!BC238,O254)</f>
        <v>0</v>
      </c>
      <c r="G254" s="5" t="s">
        <v>89</v>
      </c>
      <c r="H254" s="5" t="s">
        <v>90</v>
      </c>
      <c r="I254" s="5"/>
      <c r="J254" s="5"/>
      <c r="K254" s="5">
        <v>232</v>
      </c>
      <c r="L254" s="5">
        <v>15</v>
      </c>
      <c r="M254" s="5">
        <v>3</v>
      </c>
      <c r="N254" s="5" t="s">
        <v>3</v>
      </c>
      <c r="O254" s="5">
        <v>2</v>
      </c>
      <c r="P254" s="5"/>
      <c r="Q254" s="5"/>
      <c r="R254" s="5"/>
      <c r="S254" s="5"/>
      <c r="T254" s="5"/>
      <c r="U254" s="5"/>
      <c r="V254" s="5"/>
      <c r="W254" s="5">
        <v>0</v>
      </c>
      <c r="X254" s="5">
        <v>1</v>
      </c>
      <c r="Y254" s="5">
        <v>0</v>
      </c>
      <c r="Z254" s="5"/>
      <c r="AA254" s="5"/>
      <c r="AB254" s="5"/>
    </row>
    <row r="255" spans="1:28" x14ac:dyDescent="0.2">
      <c r="A255" s="5">
        <v>50</v>
      </c>
      <c r="B255" s="5">
        <v>0</v>
      </c>
      <c r="C255" s="5">
        <v>0</v>
      </c>
      <c r="D255" s="5">
        <v>1</v>
      </c>
      <c r="E255" s="5">
        <v>214</v>
      </c>
      <c r="F255" s="5">
        <f>ROUND(Source!AS238,O255)</f>
        <v>314279.77</v>
      </c>
      <c r="G255" s="5" t="s">
        <v>91</v>
      </c>
      <c r="H255" s="5" t="s">
        <v>92</v>
      </c>
      <c r="I255" s="5"/>
      <c r="J255" s="5"/>
      <c r="K255" s="5">
        <v>214</v>
      </c>
      <c r="L255" s="5">
        <v>16</v>
      </c>
      <c r="M255" s="5">
        <v>3</v>
      </c>
      <c r="N255" s="5" t="s">
        <v>3</v>
      </c>
      <c r="O255" s="5">
        <v>2</v>
      </c>
      <c r="P255" s="5"/>
      <c r="Q255" s="5"/>
      <c r="R255" s="5"/>
      <c r="S255" s="5"/>
      <c r="T255" s="5"/>
      <c r="U255" s="5"/>
      <c r="V255" s="5"/>
      <c r="W255" s="5">
        <v>314279.77</v>
      </c>
      <c r="X255" s="5">
        <v>1</v>
      </c>
      <c r="Y255" s="5">
        <v>314279.77</v>
      </c>
      <c r="Z255" s="5"/>
      <c r="AA255" s="5"/>
      <c r="AB255" s="5"/>
    </row>
    <row r="256" spans="1:28" x14ac:dyDescent="0.2">
      <c r="A256" s="5">
        <v>50</v>
      </c>
      <c r="B256" s="5">
        <v>0</v>
      </c>
      <c r="C256" s="5">
        <v>0</v>
      </c>
      <c r="D256" s="5">
        <v>1</v>
      </c>
      <c r="E256" s="5">
        <v>215</v>
      </c>
      <c r="F256" s="5">
        <f>ROUND(Source!AT238,O256)</f>
        <v>14238.73</v>
      </c>
      <c r="G256" s="5" t="s">
        <v>93</v>
      </c>
      <c r="H256" s="5" t="s">
        <v>94</v>
      </c>
      <c r="I256" s="5"/>
      <c r="J256" s="5"/>
      <c r="K256" s="5">
        <v>215</v>
      </c>
      <c r="L256" s="5">
        <v>17</v>
      </c>
      <c r="M256" s="5">
        <v>3</v>
      </c>
      <c r="N256" s="5" t="s">
        <v>3</v>
      </c>
      <c r="O256" s="5">
        <v>2</v>
      </c>
      <c r="P256" s="5"/>
      <c r="Q256" s="5"/>
      <c r="R256" s="5"/>
      <c r="S256" s="5"/>
      <c r="T256" s="5"/>
      <c r="U256" s="5"/>
      <c r="V256" s="5"/>
      <c r="W256" s="5">
        <v>14238.73</v>
      </c>
      <c r="X256" s="5">
        <v>1</v>
      </c>
      <c r="Y256" s="5">
        <v>14238.73</v>
      </c>
      <c r="Z256" s="5"/>
      <c r="AA256" s="5"/>
      <c r="AB256" s="5"/>
    </row>
    <row r="257" spans="1:206" x14ac:dyDescent="0.2">
      <c r="A257" s="5">
        <v>50</v>
      </c>
      <c r="B257" s="5">
        <v>0</v>
      </c>
      <c r="C257" s="5">
        <v>0</v>
      </c>
      <c r="D257" s="5">
        <v>1</v>
      </c>
      <c r="E257" s="5">
        <v>217</v>
      </c>
      <c r="F257" s="5">
        <f>ROUND(Source!AU238,O257)</f>
        <v>0</v>
      </c>
      <c r="G257" s="5" t="s">
        <v>95</v>
      </c>
      <c r="H257" s="5" t="s">
        <v>96</v>
      </c>
      <c r="I257" s="5"/>
      <c r="J257" s="5"/>
      <c r="K257" s="5">
        <v>217</v>
      </c>
      <c r="L257" s="5">
        <v>18</v>
      </c>
      <c r="M257" s="5">
        <v>3</v>
      </c>
      <c r="N257" s="5" t="s">
        <v>3</v>
      </c>
      <c r="O257" s="5">
        <v>2</v>
      </c>
      <c r="P257" s="5"/>
      <c r="Q257" s="5"/>
      <c r="R257" s="5"/>
      <c r="S257" s="5"/>
      <c r="T257" s="5"/>
      <c r="U257" s="5"/>
      <c r="V257" s="5"/>
      <c r="W257" s="5">
        <v>0</v>
      </c>
      <c r="X257" s="5">
        <v>1</v>
      </c>
      <c r="Y257" s="5">
        <v>0</v>
      </c>
      <c r="Z257" s="5"/>
      <c r="AA257" s="5"/>
      <c r="AB257" s="5"/>
    </row>
    <row r="258" spans="1:206" x14ac:dyDescent="0.2">
      <c r="A258" s="5">
        <v>50</v>
      </c>
      <c r="B258" s="5">
        <v>0</v>
      </c>
      <c r="C258" s="5">
        <v>0</v>
      </c>
      <c r="D258" s="5">
        <v>1</v>
      </c>
      <c r="E258" s="5">
        <v>230</v>
      </c>
      <c r="F258" s="5">
        <f>ROUND(Source!BA238,O258)</f>
        <v>0</v>
      </c>
      <c r="G258" s="5" t="s">
        <v>97</v>
      </c>
      <c r="H258" s="5" t="s">
        <v>98</v>
      </c>
      <c r="I258" s="5"/>
      <c r="J258" s="5"/>
      <c r="K258" s="5">
        <v>230</v>
      </c>
      <c r="L258" s="5">
        <v>19</v>
      </c>
      <c r="M258" s="5">
        <v>3</v>
      </c>
      <c r="N258" s="5" t="s">
        <v>3</v>
      </c>
      <c r="O258" s="5">
        <v>2</v>
      </c>
      <c r="P258" s="5"/>
      <c r="Q258" s="5"/>
      <c r="R258" s="5"/>
      <c r="S258" s="5"/>
      <c r="T258" s="5"/>
      <c r="U258" s="5"/>
      <c r="V258" s="5"/>
      <c r="W258" s="5">
        <v>0</v>
      </c>
      <c r="X258" s="5">
        <v>1</v>
      </c>
      <c r="Y258" s="5">
        <v>0</v>
      </c>
      <c r="Z258" s="5"/>
      <c r="AA258" s="5"/>
      <c r="AB258" s="5"/>
    </row>
    <row r="259" spans="1:206" x14ac:dyDescent="0.2">
      <c r="A259" s="5">
        <v>50</v>
      </c>
      <c r="B259" s="5">
        <v>0</v>
      </c>
      <c r="C259" s="5">
        <v>0</v>
      </c>
      <c r="D259" s="5">
        <v>1</v>
      </c>
      <c r="E259" s="5">
        <v>206</v>
      </c>
      <c r="F259" s="5">
        <f>ROUND(Source!T238,O259)</f>
        <v>0</v>
      </c>
      <c r="G259" s="5" t="s">
        <v>99</v>
      </c>
      <c r="H259" s="5" t="s">
        <v>100</v>
      </c>
      <c r="I259" s="5"/>
      <c r="J259" s="5"/>
      <c r="K259" s="5">
        <v>206</v>
      </c>
      <c r="L259" s="5">
        <v>20</v>
      </c>
      <c r="M259" s="5">
        <v>3</v>
      </c>
      <c r="N259" s="5" t="s">
        <v>3</v>
      </c>
      <c r="O259" s="5">
        <v>2</v>
      </c>
      <c r="P259" s="5"/>
      <c r="Q259" s="5"/>
      <c r="R259" s="5"/>
      <c r="S259" s="5"/>
      <c r="T259" s="5"/>
      <c r="U259" s="5"/>
      <c r="V259" s="5"/>
      <c r="W259" s="5">
        <v>0</v>
      </c>
      <c r="X259" s="5">
        <v>1</v>
      </c>
      <c r="Y259" s="5">
        <v>0</v>
      </c>
      <c r="Z259" s="5"/>
      <c r="AA259" s="5"/>
      <c r="AB259" s="5"/>
    </row>
    <row r="260" spans="1:206" x14ac:dyDescent="0.2">
      <c r="A260" s="5">
        <v>50</v>
      </c>
      <c r="B260" s="5">
        <v>0</v>
      </c>
      <c r="C260" s="5">
        <v>0</v>
      </c>
      <c r="D260" s="5">
        <v>1</v>
      </c>
      <c r="E260" s="5">
        <v>207</v>
      </c>
      <c r="F260" s="5">
        <f>ROUND(Source!U238,O260)</f>
        <v>150.46112500000001</v>
      </c>
      <c r="G260" s="5" t="s">
        <v>101</v>
      </c>
      <c r="H260" s="5" t="s">
        <v>102</v>
      </c>
      <c r="I260" s="5"/>
      <c r="J260" s="5"/>
      <c r="K260" s="5">
        <v>207</v>
      </c>
      <c r="L260" s="5">
        <v>21</v>
      </c>
      <c r="M260" s="5">
        <v>3</v>
      </c>
      <c r="N260" s="5" t="s">
        <v>3</v>
      </c>
      <c r="O260" s="5">
        <v>7</v>
      </c>
      <c r="P260" s="5"/>
      <c r="Q260" s="5"/>
      <c r="R260" s="5"/>
      <c r="S260" s="5"/>
      <c r="T260" s="5"/>
      <c r="U260" s="5"/>
      <c r="V260" s="5"/>
      <c r="W260" s="5">
        <v>150.46112500000001</v>
      </c>
      <c r="X260" s="5">
        <v>1</v>
      </c>
      <c r="Y260" s="5">
        <v>150.46112500000001</v>
      </c>
      <c r="Z260" s="5"/>
      <c r="AA260" s="5"/>
      <c r="AB260" s="5"/>
    </row>
    <row r="261" spans="1:206" x14ac:dyDescent="0.2">
      <c r="A261" s="5">
        <v>50</v>
      </c>
      <c r="B261" s="5">
        <v>0</v>
      </c>
      <c r="C261" s="5">
        <v>0</v>
      </c>
      <c r="D261" s="5">
        <v>1</v>
      </c>
      <c r="E261" s="5">
        <v>208</v>
      </c>
      <c r="F261" s="5">
        <f>ROUND(Source!V238,O261)</f>
        <v>30.978373600000001</v>
      </c>
      <c r="G261" s="5" t="s">
        <v>103</v>
      </c>
      <c r="H261" s="5" t="s">
        <v>104</v>
      </c>
      <c r="I261" s="5"/>
      <c r="J261" s="5"/>
      <c r="K261" s="5">
        <v>208</v>
      </c>
      <c r="L261" s="5">
        <v>22</v>
      </c>
      <c r="M261" s="5">
        <v>3</v>
      </c>
      <c r="N261" s="5" t="s">
        <v>3</v>
      </c>
      <c r="O261" s="5">
        <v>7</v>
      </c>
      <c r="P261" s="5"/>
      <c r="Q261" s="5"/>
      <c r="R261" s="5"/>
      <c r="S261" s="5"/>
      <c r="T261" s="5"/>
      <c r="U261" s="5"/>
      <c r="V261" s="5"/>
      <c r="W261" s="5">
        <v>30.978373600000001</v>
      </c>
      <c r="X261" s="5">
        <v>1</v>
      </c>
      <c r="Y261" s="5">
        <v>30.978373600000001</v>
      </c>
      <c r="Z261" s="5"/>
      <c r="AA261" s="5"/>
      <c r="AB261" s="5"/>
    </row>
    <row r="262" spans="1:206" x14ac:dyDescent="0.2">
      <c r="A262" s="5">
        <v>50</v>
      </c>
      <c r="B262" s="5">
        <v>0</v>
      </c>
      <c r="C262" s="5">
        <v>0</v>
      </c>
      <c r="D262" s="5">
        <v>1</v>
      </c>
      <c r="E262" s="5">
        <v>209</v>
      </c>
      <c r="F262" s="5">
        <f>ROUND(Source!W238,O262)</f>
        <v>0</v>
      </c>
      <c r="G262" s="5" t="s">
        <v>105</v>
      </c>
      <c r="H262" s="5" t="s">
        <v>106</v>
      </c>
      <c r="I262" s="5"/>
      <c r="J262" s="5"/>
      <c r="K262" s="5">
        <v>209</v>
      </c>
      <c r="L262" s="5">
        <v>23</v>
      </c>
      <c r="M262" s="5">
        <v>3</v>
      </c>
      <c r="N262" s="5" t="s">
        <v>3</v>
      </c>
      <c r="O262" s="5">
        <v>2</v>
      </c>
      <c r="P262" s="5"/>
      <c r="Q262" s="5"/>
      <c r="R262" s="5"/>
      <c r="S262" s="5"/>
      <c r="T262" s="5"/>
      <c r="U262" s="5"/>
      <c r="V262" s="5"/>
      <c r="W262" s="5">
        <v>0</v>
      </c>
      <c r="X262" s="5">
        <v>1</v>
      </c>
      <c r="Y262" s="5">
        <v>0</v>
      </c>
      <c r="Z262" s="5"/>
      <c r="AA262" s="5"/>
      <c r="AB262" s="5"/>
    </row>
    <row r="263" spans="1:206" x14ac:dyDescent="0.2">
      <c r="A263" s="5">
        <v>50</v>
      </c>
      <c r="B263" s="5">
        <v>0</v>
      </c>
      <c r="C263" s="5">
        <v>0</v>
      </c>
      <c r="D263" s="5">
        <v>1</v>
      </c>
      <c r="E263" s="5">
        <v>233</v>
      </c>
      <c r="F263" s="5">
        <f>ROUND(Source!BD238,O263)</f>
        <v>0</v>
      </c>
      <c r="G263" s="5" t="s">
        <v>107</v>
      </c>
      <c r="H263" s="5" t="s">
        <v>108</v>
      </c>
      <c r="I263" s="5"/>
      <c r="J263" s="5"/>
      <c r="K263" s="5">
        <v>233</v>
      </c>
      <c r="L263" s="5">
        <v>24</v>
      </c>
      <c r="M263" s="5">
        <v>3</v>
      </c>
      <c r="N263" s="5" t="s">
        <v>3</v>
      </c>
      <c r="O263" s="5">
        <v>2</v>
      </c>
      <c r="P263" s="5"/>
      <c r="Q263" s="5"/>
      <c r="R263" s="5"/>
      <c r="S263" s="5"/>
      <c r="T263" s="5"/>
      <c r="U263" s="5"/>
      <c r="V263" s="5"/>
      <c r="W263" s="5">
        <v>0</v>
      </c>
      <c r="X263" s="5">
        <v>1</v>
      </c>
      <c r="Y263" s="5">
        <v>0</v>
      </c>
      <c r="Z263" s="5"/>
      <c r="AA263" s="5"/>
      <c r="AB263" s="5"/>
    </row>
    <row r="264" spans="1:206" x14ac:dyDescent="0.2">
      <c r="A264" s="5">
        <v>50</v>
      </c>
      <c r="B264" s="5">
        <v>0</v>
      </c>
      <c r="C264" s="5">
        <v>0</v>
      </c>
      <c r="D264" s="5">
        <v>1</v>
      </c>
      <c r="E264" s="5">
        <v>210</v>
      </c>
      <c r="F264" s="5">
        <f>ROUND(Source!X238,O264)</f>
        <v>76006.48</v>
      </c>
      <c r="G264" s="5" t="s">
        <v>109</v>
      </c>
      <c r="H264" s="5" t="s">
        <v>110</v>
      </c>
      <c r="I264" s="5"/>
      <c r="J264" s="5"/>
      <c r="K264" s="5">
        <v>210</v>
      </c>
      <c r="L264" s="5">
        <v>25</v>
      </c>
      <c r="M264" s="5">
        <v>3</v>
      </c>
      <c r="N264" s="5" t="s">
        <v>3</v>
      </c>
      <c r="O264" s="5">
        <v>2</v>
      </c>
      <c r="P264" s="5"/>
      <c r="Q264" s="5"/>
      <c r="R264" s="5"/>
      <c r="S264" s="5"/>
      <c r="T264" s="5"/>
      <c r="U264" s="5"/>
      <c r="V264" s="5"/>
      <c r="W264" s="5">
        <v>76006.48</v>
      </c>
      <c r="X264" s="5">
        <v>1</v>
      </c>
      <c r="Y264" s="5">
        <v>76006.48</v>
      </c>
      <c r="Z264" s="5"/>
      <c r="AA264" s="5"/>
      <c r="AB264" s="5"/>
    </row>
    <row r="265" spans="1:206" x14ac:dyDescent="0.2">
      <c r="A265" s="5">
        <v>50</v>
      </c>
      <c r="B265" s="5">
        <v>0</v>
      </c>
      <c r="C265" s="5">
        <v>0</v>
      </c>
      <c r="D265" s="5">
        <v>1</v>
      </c>
      <c r="E265" s="5">
        <v>211</v>
      </c>
      <c r="F265" s="5">
        <f>ROUND(Source!Y238,O265)</f>
        <v>42249.96</v>
      </c>
      <c r="G265" s="5" t="s">
        <v>111</v>
      </c>
      <c r="H265" s="5" t="s">
        <v>112</v>
      </c>
      <c r="I265" s="5"/>
      <c r="J265" s="5"/>
      <c r="K265" s="5">
        <v>211</v>
      </c>
      <c r="L265" s="5">
        <v>26</v>
      </c>
      <c r="M265" s="5">
        <v>3</v>
      </c>
      <c r="N265" s="5" t="s">
        <v>3</v>
      </c>
      <c r="O265" s="5">
        <v>2</v>
      </c>
      <c r="P265" s="5"/>
      <c r="Q265" s="5"/>
      <c r="R265" s="5"/>
      <c r="S265" s="5"/>
      <c r="T265" s="5"/>
      <c r="U265" s="5"/>
      <c r="V265" s="5"/>
      <c r="W265" s="5">
        <v>42249.96</v>
      </c>
      <c r="X265" s="5">
        <v>1</v>
      </c>
      <c r="Y265" s="5">
        <v>42249.96</v>
      </c>
      <c r="Z265" s="5"/>
      <c r="AA265" s="5"/>
      <c r="AB265" s="5"/>
    </row>
    <row r="266" spans="1:206" x14ac:dyDescent="0.2">
      <c r="A266" s="5">
        <v>50</v>
      </c>
      <c r="B266" s="5">
        <v>0</v>
      </c>
      <c r="C266" s="5">
        <v>0</v>
      </c>
      <c r="D266" s="5">
        <v>1</v>
      </c>
      <c r="E266" s="5">
        <v>224</v>
      </c>
      <c r="F266" s="5">
        <f>ROUND(Source!AR238,O266)</f>
        <v>328518.5</v>
      </c>
      <c r="G266" s="5" t="s">
        <v>113</v>
      </c>
      <c r="H266" s="5" t="s">
        <v>114</v>
      </c>
      <c r="I266" s="5"/>
      <c r="J266" s="5"/>
      <c r="K266" s="5">
        <v>224</v>
      </c>
      <c r="L266" s="5">
        <v>27</v>
      </c>
      <c r="M266" s="5">
        <v>3</v>
      </c>
      <c r="N266" s="5" t="s">
        <v>3</v>
      </c>
      <c r="O266" s="5">
        <v>2</v>
      </c>
      <c r="P266" s="5"/>
      <c r="Q266" s="5"/>
      <c r="R266" s="5"/>
      <c r="S266" s="5"/>
      <c r="T266" s="5"/>
      <c r="U266" s="5"/>
      <c r="V266" s="5"/>
      <c r="W266" s="5">
        <v>328518.5</v>
      </c>
      <c r="X266" s="5">
        <v>1</v>
      </c>
      <c r="Y266" s="5">
        <v>328518.5</v>
      </c>
      <c r="Z266" s="5"/>
      <c r="AA266" s="5"/>
      <c r="AB266" s="5"/>
    </row>
    <row r="268" spans="1:206" x14ac:dyDescent="0.2">
      <c r="A268" s="3">
        <v>51</v>
      </c>
      <c r="B268" s="3">
        <f>B12</f>
        <v>333</v>
      </c>
      <c r="C268" s="3">
        <f>A12</f>
        <v>1</v>
      </c>
      <c r="D268" s="3">
        <f>ROW(A12)</f>
        <v>12</v>
      </c>
      <c r="E268" s="3"/>
      <c r="F268" s="3" t="str">
        <f>IF(F12&lt;&gt;"",F12,"")</f>
        <v>Новый объект_(Копия)_(Копия)_(Копия)_(Копия)_(Копия)</v>
      </c>
      <c r="G268" s="3" t="str">
        <f>IF(G12&lt;&gt;"",G12,"")</f>
        <v>Газопровод низкого давления к нежилому помещению,расположенному по адресу: Пензенская область,г.Кузнецк,ул.Кирова,155А/1</v>
      </c>
      <c r="H268" s="3">
        <v>0</v>
      </c>
      <c r="I268" s="3"/>
      <c r="J268" s="3"/>
      <c r="K268" s="3"/>
      <c r="L268" s="3"/>
      <c r="M268" s="3"/>
      <c r="N268" s="3"/>
      <c r="O268" s="3">
        <f t="shared" ref="O268:T268" si="139">ROUND(O238,2)</f>
        <v>210262.06</v>
      </c>
      <c r="P268" s="3">
        <f t="shared" si="139"/>
        <v>96642.05</v>
      </c>
      <c r="Q268" s="3">
        <f t="shared" si="139"/>
        <v>42984.01</v>
      </c>
      <c r="R268" s="3">
        <f t="shared" si="139"/>
        <v>14698.73</v>
      </c>
      <c r="S268" s="3">
        <f t="shared" si="139"/>
        <v>55937.27</v>
      </c>
      <c r="T268" s="3">
        <f t="shared" si="139"/>
        <v>0</v>
      </c>
      <c r="U268" s="3">
        <f>U238</f>
        <v>150.46112500000001</v>
      </c>
      <c r="V268" s="3">
        <f>V238</f>
        <v>30.978373600000005</v>
      </c>
      <c r="W268" s="3">
        <f>ROUND(W238,2)</f>
        <v>0</v>
      </c>
      <c r="X268" s="3">
        <f>ROUND(X238,2)</f>
        <v>76006.48</v>
      </c>
      <c r="Y268" s="3">
        <f>ROUND(Y238,2)</f>
        <v>42249.96</v>
      </c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>
        <f t="shared" ref="AO268:BD268" si="140">ROUND(AO238,2)</f>
        <v>0</v>
      </c>
      <c r="AP268" s="3">
        <f t="shared" si="140"/>
        <v>0</v>
      </c>
      <c r="AQ268" s="3">
        <f t="shared" si="140"/>
        <v>0</v>
      </c>
      <c r="AR268" s="3">
        <f t="shared" si="140"/>
        <v>328518.5</v>
      </c>
      <c r="AS268" s="3">
        <f t="shared" si="140"/>
        <v>314279.77</v>
      </c>
      <c r="AT268" s="3">
        <f t="shared" si="140"/>
        <v>14238.73</v>
      </c>
      <c r="AU268" s="3">
        <f t="shared" si="140"/>
        <v>0</v>
      </c>
      <c r="AV268" s="3">
        <f t="shared" si="140"/>
        <v>96642.05</v>
      </c>
      <c r="AW268" s="3">
        <f t="shared" si="140"/>
        <v>96642.05</v>
      </c>
      <c r="AX268" s="3">
        <f t="shared" si="140"/>
        <v>0</v>
      </c>
      <c r="AY268" s="3">
        <f t="shared" si="140"/>
        <v>96642.05</v>
      </c>
      <c r="AZ268" s="3">
        <f t="shared" si="140"/>
        <v>0</v>
      </c>
      <c r="BA268" s="3">
        <f t="shared" si="140"/>
        <v>0</v>
      </c>
      <c r="BB268" s="3">
        <f t="shared" si="140"/>
        <v>0</v>
      </c>
      <c r="BC268" s="3">
        <f t="shared" si="140"/>
        <v>0</v>
      </c>
      <c r="BD268" s="3">
        <f t="shared" si="140"/>
        <v>0</v>
      </c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>
        <v>0</v>
      </c>
    </row>
    <row r="270" spans="1:206" x14ac:dyDescent="0.2">
      <c r="A270" s="5">
        <v>50</v>
      </c>
      <c r="B270" s="5">
        <v>0</v>
      </c>
      <c r="C270" s="5">
        <v>0</v>
      </c>
      <c r="D270" s="5">
        <v>1</v>
      </c>
      <c r="E270" s="5">
        <v>0</v>
      </c>
      <c r="F270" s="5">
        <f>ROUND(Source!O268,O270)</f>
        <v>210262.06</v>
      </c>
      <c r="G270" s="5" t="s">
        <v>61</v>
      </c>
      <c r="H270" s="5" t="s">
        <v>62</v>
      </c>
      <c r="I270" s="5"/>
      <c r="J270" s="5"/>
      <c r="K270" s="5">
        <v>201</v>
      </c>
      <c r="L270" s="5">
        <v>1</v>
      </c>
      <c r="M270" s="5">
        <v>3</v>
      </c>
      <c r="N270" s="5" t="s">
        <v>3</v>
      </c>
      <c r="O270" s="5">
        <v>2</v>
      </c>
      <c r="P270" s="5"/>
      <c r="Q270" s="5"/>
      <c r="R270" s="5"/>
      <c r="S270" s="5"/>
      <c r="T270" s="5"/>
      <c r="U270" s="5"/>
      <c r="V270" s="5"/>
      <c r="W270" s="5">
        <v>210262.06000000003</v>
      </c>
      <c r="X270" s="5">
        <v>1</v>
      </c>
      <c r="Y270" s="5">
        <v>210262.06000000003</v>
      </c>
      <c r="Z270" s="5"/>
      <c r="AA270" s="5"/>
      <c r="AB270" s="5"/>
    </row>
    <row r="271" spans="1:206" x14ac:dyDescent="0.2">
      <c r="A271" s="5">
        <v>50</v>
      </c>
      <c r="B271" s="5">
        <v>0</v>
      </c>
      <c r="C271" s="5">
        <v>0</v>
      </c>
      <c r="D271" s="5">
        <v>1</v>
      </c>
      <c r="E271" s="5">
        <v>202</v>
      </c>
      <c r="F271" s="5">
        <f>ROUND(Source!P268,O271)</f>
        <v>96642.05</v>
      </c>
      <c r="G271" s="5" t="s">
        <v>63</v>
      </c>
      <c r="H271" s="5" t="s">
        <v>64</v>
      </c>
      <c r="I271" s="5"/>
      <c r="J271" s="5"/>
      <c r="K271" s="5">
        <v>202</v>
      </c>
      <c r="L271" s="5">
        <v>2</v>
      </c>
      <c r="M271" s="5">
        <v>3</v>
      </c>
      <c r="N271" s="5" t="s">
        <v>3</v>
      </c>
      <c r="O271" s="5">
        <v>2</v>
      </c>
      <c r="P271" s="5"/>
      <c r="Q271" s="5"/>
      <c r="R271" s="5"/>
      <c r="S271" s="5"/>
      <c r="T271" s="5"/>
      <c r="U271" s="5"/>
      <c r="V271" s="5"/>
      <c r="W271" s="5">
        <v>96642.05</v>
      </c>
      <c r="X271" s="5">
        <v>1</v>
      </c>
      <c r="Y271" s="5">
        <v>96642.05</v>
      </c>
      <c r="Z271" s="5"/>
      <c r="AA271" s="5"/>
      <c r="AB271" s="5"/>
    </row>
    <row r="272" spans="1:206" x14ac:dyDescent="0.2">
      <c r="A272" s="5">
        <v>50</v>
      </c>
      <c r="B272" s="5">
        <v>0</v>
      </c>
      <c r="C272" s="5">
        <v>0</v>
      </c>
      <c r="D272" s="5">
        <v>1</v>
      </c>
      <c r="E272" s="5">
        <v>222</v>
      </c>
      <c r="F272" s="5">
        <f>ROUND(Source!AO268,O272)</f>
        <v>0</v>
      </c>
      <c r="G272" s="5" t="s">
        <v>65</v>
      </c>
      <c r="H272" s="5" t="s">
        <v>66</v>
      </c>
      <c r="I272" s="5"/>
      <c r="J272" s="5"/>
      <c r="K272" s="5">
        <v>222</v>
      </c>
      <c r="L272" s="5">
        <v>3</v>
      </c>
      <c r="M272" s="5">
        <v>3</v>
      </c>
      <c r="N272" s="5" t="s">
        <v>3</v>
      </c>
      <c r="O272" s="5">
        <v>2</v>
      </c>
      <c r="P272" s="5"/>
      <c r="Q272" s="5"/>
      <c r="R272" s="5"/>
      <c r="S272" s="5"/>
      <c r="T272" s="5"/>
      <c r="U272" s="5"/>
      <c r="V272" s="5"/>
      <c r="W272" s="5">
        <v>0</v>
      </c>
      <c r="X272" s="5">
        <v>1</v>
      </c>
      <c r="Y272" s="5">
        <v>0</v>
      </c>
      <c r="Z272" s="5"/>
      <c r="AA272" s="5"/>
      <c r="AB272" s="5"/>
    </row>
    <row r="273" spans="1:28" x14ac:dyDescent="0.2">
      <c r="A273" s="5">
        <v>50</v>
      </c>
      <c r="B273" s="5">
        <v>0</v>
      </c>
      <c r="C273" s="5">
        <v>0</v>
      </c>
      <c r="D273" s="5">
        <v>1</v>
      </c>
      <c r="E273" s="5">
        <v>225</v>
      </c>
      <c r="F273" s="5">
        <f>ROUND(Source!AV268,O273)</f>
        <v>96642.05</v>
      </c>
      <c r="G273" s="5" t="s">
        <v>67</v>
      </c>
      <c r="H273" s="5" t="s">
        <v>68</v>
      </c>
      <c r="I273" s="5"/>
      <c r="J273" s="5"/>
      <c r="K273" s="5">
        <v>225</v>
      </c>
      <c r="L273" s="5">
        <v>4</v>
      </c>
      <c r="M273" s="5">
        <v>3</v>
      </c>
      <c r="N273" s="5" t="s">
        <v>3</v>
      </c>
      <c r="O273" s="5">
        <v>2</v>
      </c>
      <c r="P273" s="5"/>
      <c r="Q273" s="5"/>
      <c r="R273" s="5"/>
      <c r="S273" s="5"/>
      <c r="T273" s="5"/>
      <c r="U273" s="5"/>
      <c r="V273" s="5"/>
      <c r="W273" s="5">
        <v>96642.05</v>
      </c>
      <c r="X273" s="5">
        <v>1</v>
      </c>
      <c r="Y273" s="5">
        <v>96642.05</v>
      </c>
      <c r="Z273" s="5"/>
      <c r="AA273" s="5"/>
      <c r="AB273" s="5"/>
    </row>
    <row r="274" spans="1:28" x14ac:dyDescent="0.2">
      <c r="A274" s="5">
        <v>50</v>
      </c>
      <c r="B274" s="5">
        <v>0</v>
      </c>
      <c r="C274" s="5">
        <v>0</v>
      </c>
      <c r="D274" s="5">
        <v>1</v>
      </c>
      <c r="E274" s="5">
        <v>226</v>
      </c>
      <c r="F274" s="5">
        <f>ROUND(Source!AW268,O274)</f>
        <v>96642.05</v>
      </c>
      <c r="G274" s="5" t="s">
        <v>69</v>
      </c>
      <c r="H274" s="5" t="s">
        <v>70</v>
      </c>
      <c r="I274" s="5"/>
      <c r="J274" s="5"/>
      <c r="K274" s="5">
        <v>226</v>
      </c>
      <c r="L274" s="5">
        <v>5</v>
      </c>
      <c r="M274" s="5">
        <v>3</v>
      </c>
      <c r="N274" s="5" t="s">
        <v>3</v>
      </c>
      <c r="O274" s="5">
        <v>2</v>
      </c>
      <c r="P274" s="5"/>
      <c r="Q274" s="5"/>
      <c r="R274" s="5"/>
      <c r="S274" s="5"/>
      <c r="T274" s="5"/>
      <c r="U274" s="5"/>
      <c r="V274" s="5"/>
      <c r="W274" s="5">
        <v>96642.05</v>
      </c>
      <c r="X274" s="5">
        <v>1</v>
      </c>
      <c r="Y274" s="5">
        <v>96642.05</v>
      </c>
      <c r="Z274" s="5"/>
      <c r="AA274" s="5"/>
      <c r="AB274" s="5"/>
    </row>
    <row r="275" spans="1:28" x14ac:dyDescent="0.2">
      <c r="A275" s="5">
        <v>50</v>
      </c>
      <c r="B275" s="5">
        <v>0</v>
      </c>
      <c r="C275" s="5">
        <v>0</v>
      </c>
      <c r="D275" s="5">
        <v>1</v>
      </c>
      <c r="E275" s="5">
        <v>227</v>
      </c>
      <c r="F275" s="5">
        <f>ROUND(Source!AX268,O275)</f>
        <v>0</v>
      </c>
      <c r="G275" s="5" t="s">
        <v>71</v>
      </c>
      <c r="H275" s="5" t="s">
        <v>72</v>
      </c>
      <c r="I275" s="5"/>
      <c r="J275" s="5"/>
      <c r="K275" s="5">
        <v>227</v>
      </c>
      <c r="L275" s="5">
        <v>6</v>
      </c>
      <c r="M275" s="5">
        <v>3</v>
      </c>
      <c r="N275" s="5" t="s">
        <v>3</v>
      </c>
      <c r="O275" s="5">
        <v>2</v>
      </c>
      <c r="P275" s="5"/>
      <c r="Q275" s="5"/>
      <c r="R275" s="5"/>
      <c r="S275" s="5"/>
      <c r="T275" s="5"/>
      <c r="U275" s="5"/>
      <c r="V275" s="5"/>
      <c r="W275" s="5">
        <v>0</v>
      </c>
      <c r="X275" s="5">
        <v>1</v>
      </c>
      <c r="Y275" s="5">
        <v>0</v>
      </c>
      <c r="Z275" s="5"/>
      <c r="AA275" s="5"/>
      <c r="AB275" s="5"/>
    </row>
    <row r="276" spans="1:28" x14ac:dyDescent="0.2">
      <c r="A276" s="5">
        <v>50</v>
      </c>
      <c r="B276" s="5">
        <v>0</v>
      </c>
      <c r="C276" s="5">
        <v>0</v>
      </c>
      <c r="D276" s="5">
        <v>1</v>
      </c>
      <c r="E276" s="5">
        <v>228</v>
      </c>
      <c r="F276" s="5">
        <f>ROUND(Source!AY268,O276)</f>
        <v>96642.05</v>
      </c>
      <c r="G276" s="5" t="s">
        <v>73</v>
      </c>
      <c r="H276" s="5" t="s">
        <v>74</v>
      </c>
      <c r="I276" s="5"/>
      <c r="J276" s="5"/>
      <c r="K276" s="5">
        <v>228</v>
      </c>
      <c r="L276" s="5">
        <v>7</v>
      </c>
      <c r="M276" s="5">
        <v>3</v>
      </c>
      <c r="N276" s="5" t="s">
        <v>3</v>
      </c>
      <c r="O276" s="5">
        <v>2</v>
      </c>
      <c r="P276" s="5"/>
      <c r="Q276" s="5"/>
      <c r="R276" s="5"/>
      <c r="S276" s="5"/>
      <c r="T276" s="5"/>
      <c r="U276" s="5"/>
      <c r="V276" s="5"/>
      <c r="W276" s="5">
        <v>96642.05</v>
      </c>
      <c r="X276" s="5">
        <v>1</v>
      </c>
      <c r="Y276" s="5">
        <v>96642.05</v>
      </c>
      <c r="Z276" s="5"/>
      <c r="AA276" s="5"/>
      <c r="AB276" s="5"/>
    </row>
    <row r="277" spans="1:28" x14ac:dyDescent="0.2">
      <c r="A277" s="5">
        <v>50</v>
      </c>
      <c r="B277" s="5">
        <v>0</v>
      </c>
      <c r="C277" s="5">
        <v>0</v>
      </c>
      <c r="D277" s="5">
        <v>1</v>
      </c>
      <c r="E277" s="5">
        <v>216</v>
      </c>
      <c r="F277" s="5">
        <f>ROUND(Source!AP268,O277)</f>
        <v>0</v>
      </c>
      <c r="G277" s="5" t="s">
        <v>75</v>
      </c>
      <c r="H277" s="5" t="s">
        <v>76</v>
      </c>
      <c r="I277" s="5"/>
      <c r="J277" s="5"/>
      <c r="K277" s="5">
        <v>216</v>
      </c>
      <c r="L277" s="5">
        <v>8</v>
      </c>
      <c r="M277" s="5">
        <v>3</v>
      </c>
      <c r="N277" s="5" t="s">
        <v>3</v>
      </c>
      <c r="O277" s="5">
        <v>2</v>
      </c>
      <c r="P277" s="5"/>
      <c r="Q277" s="5"/>
      <c r="R277" s="5"/>
      <c r="S277" s="5"/>
      <c r="T277" s="5"/>
      <c r="U277" s="5"/>
      <c r="V277" s="5"/>
      <c r="W277" s="5">
        <v>0</v>
      </c>
      <c r="X277" s="5">
        <v>1</v>
      </c>
      <c r="Y277" s="5">
        <v>0</v>
      </c>
      <c r="Z277" s="5"/>
      <c r="AA277" s="5"/>
      <c r="AB277" s="5"/>
    </row>
    <row r="278" spans="1:28" x14ac:dyDescent="0.2">
      <c r="A278" s="5">
        <v>50</v>
      </c>
      <c r="B278" s="5">
        <v>0</v>
      </c>
      <c r="C278" s="5">
        <v>0</v>
      </c>
      <c r="D278" s="5">
        <v>1</v>
      </c>
      <c r="E278" s="5">
        <v>223</v>
      </c>
      <c r="F278" s="5">
        <f>ROUND(Source!AQ268,O278)</f>
        <v>0</v>
      </c>
      <c r="G278" s="5" t="s">
        <v>77</v>
      </c>
      <c r="H278" s="5" t="s">
        <v>78</v>
      </c>
      <c r="I278" s="5"/>
      <c r="J278" s="5"/>
      <c r="K278" s="5">
        <v>223</v>
      </c>
      <c r="L278" s="5">
        <v>9</v>
      </c>
      <c r="M278" s="5">
        <v>3</v>
      </c>
      <c r="N278" s="5" t="s">
        <v>3</v>
      </c>
      <c r="O278" s="5">
        <v>2</v>
      </c>
      <c r="P278" s="5"/>
      <c r="Q278" s="5"/>
      <c r="R278" s="5"/>
      <c r="S278" s="5"/>
      <c r="T278" s="5"/>
      <c r="U278" s="5"/>
      <c r="V278" s="5"/>
      <c r="W278" s="5">
        <v>0</v>
      </c>
      <c r="X278" s="5">
        <v>1</v>
      </c>
      <c r="Y278" s="5">
        <v>0</v>
      </c>
      <c r="Z278" s="5"/>
      <c r="AA278" s="5"/>
      <c r="AB278" s="5"/>
    </row>
    <row r="279" spans="1:28" x14ac:dyDescent="0.2">
      <c r="A279" s="5">
        <v>50</v>
      </c>
      <c r="B279" s="5">
        <v>0</v>
      </c>
      <c r="C279" s="5">
        <v>0</v>
      </c>
      <c r="D279" s="5">
        <v>1</v>
      </c>
      <c r="E279" s="5">
        <v>229</v>
      </c>
      <c r="F279" s="5">
        <f>ROUND(Source!AZ268,O279)</f>
        <v>0</v>
      </c>
      <c r="G279" s="5" t="s">
        <v>79</v>
      </c>
      <c r="H279" s="5" t="s">
        <v>80</v>
      </c>
      <c r="I279" s="5"/>
      <c r="J279" s="5"/>
      <c r="K279" s="5">
        <v>229</v>
      </c>
      <c r="L279" s="5">
        <v>10</v>
      </c>
      <c r="M279" s="5">
        <v>3</v>
      </c>
      <c r="N279" s="5" t="s">
        <v>3</v>
      </c>
      <c r="O279" s="5">
        <v>2</v>
      </c>
      <c r="P279" s="5"/>
      <c r="Q279" s="5"/>
      <c r="R279" s="5"/>
      <c r="S279" s="5"/>
      <c r="T279" s="5"/>
      <c r="U279" s="5"/>
      <c r="V279" s="5"/>
      <c r="W279" s="5">
        <v>0</v>
      </c>
      <c r="X279" s="5">
        <v>1</v>
      </c>
      <c r="Y279" s="5">
        <v>0</v>
      </c>
      <c r="Z279" s="5"/>
      <c r="AA279" s="5"/>
      <c r="AB279" s="5"/>
    </row>
    <row r="280" spans="1:28" x14ac:dyDescent="0.2">
      <c r="A280" s="5">
        <v>50</v>
      </c>
      <c r="B280" s="5">
        <v>0</v>
      </c>
      <c r="C280" s="5">
        <v>0</v>
      </c>
      <c r="D280" s="5">
        <v>1</v>
      </c>
      <c r="E280" s="5">
        <v>203</v>
      </c>
      <c r="F280" s="5">
        <f>ROUND(Source!Q268,O280)</f>
        <v>42984.01</v>
      </c>
      <c r="G280" s="5" t="s">
        <v>81</v>
      </c>
      <c r="H280" s="5" t="s">
        <v>82</v>
      </c>
      <c r="I280" s="5"/>
      <c r="J280" s="5"/>
      <c r="K280" s="5">
        <v>203</v>
      </c>
      <c r="L280" s="5">
        <v>11</v>
      </c>
      <c r="M280" s="5">
        <v>3</v>
      </c>
      <c r="N280" s="5" t="s">
        <v>3</v>
      </c>
      <c r="O280" s="5">
        <v>2</v>
      </c>
      <c r="P280" s="5"/>
      <c r="Q280" s="5"/>
      <c r="R280" s="5"/>
      <c r="S280" s="5"/>
      <c r="T280" s="5"/>
      <c r="U280" s="5"/>
      <c r="V280" s="5"/>
      <c r="W280" s="5">
        <v>42984.010000000009</v>
      </c>
      <c r="X280" s="5">
        <v>1</v>
      </c>
      <c r="Y280" s="5">
        <v>42984.010000000009</v>
      </c>
      <c r="Z280" s="5"/>
      <c r="AA280" s="5"/>
      <c r="AB280" s="5"/>
    </row>
    <row r="281" spans="1:28" x14ac:dyDescent="0.2">
      <c r="A281" s="5">
        <v>50</v>
      </c>
      <c r="B281" s="5">
        <v>0</v>
      </c>
      <c r="C281" s="5">
        <v>0</v>
      </c>
      <c r="D281" s="5">
        <v>1</v>
      </c>
      <c r="E281" s="5">
        <v>231</v>
      </c>
      <c r="F281" s="5">
        <f>ROUND(Source!BB268,O281)</f>
        <v>0</v>
      </c>
      <c r="G281" s="5" t="s">
        <v>83</v>
      </c>
      <c r="H281" s="5" t="s">
        <v>84</v>
      </c>
      <c r="I281" s="5"/>
      <c r="J281" s="5"/>
      <c r="K281" s="5">
        <v>231</v>
      </c>
      <c r="L281" s="5">
        <v>12</v>
      </c>
      <c r="M281" s="5">
        <v>3</v>
      </c>
      <c r="N281" s="5" t="s">
        <v>3</v>
      </c>
      <c r="O281" s="5">
        <v>2</v>
      </c>
      <c r="P281" s="5"/>
      <c r="Q281" s="5"/>
      <c r="R281" s="5"/>
      <c r="S281" s="5"/>
      <c r="T281" s="5"/>
      <c r="U281" s="5"/>
      <c r="V281" s="5"/>
      <c r="W281" s="5">
        <v>0</v>
      </c>
      <c r="X281" s="5">
        <v>1</v>
      </c>
      <c r="Y281" s="5">
        <v>0</v>
      </c>
      <c r="Z281" s="5"/>
      <c r="AA281" s="5"/>
      <c r="AB281" s="5"/>
    </row>
    <row r="282" spans="1:28" x14ac:dyDescent="0.2">
      <c r="A282" s="5">
        <v>50</v>
      </c>
      <c r="B282" s="5">
        <v>0</v>
      </c>
      <c r="C282" s="5">
        <v>0</v>
      </c>
      <c r="D282" s="5">
        <v>1</v>
      </c>
      <c r="E282" s="5">
        <v>204</v>
      </c>
      <c r="F282" s="5">
        <f>ROUND(Source!R268,O282)</f>
        <v>14698.73</v>
      </c>
      <c r="G282" s="5" t="s">
        <v>85</v>
      </c>
      <c r="H282" s="5" t="s">
        <v>86</v>
      </c>
      <c r="I282" s="5"/>
      <c r="J282" s="5"/>
      <c r="K282" s="5">
        <v>204</v>
      </c>
      <c r="L282" s="5">
        <v>13</v>
      </c>
      <c r="M282" s="5">
        <v>3</v>
      </c>
      <c r="N282" s="5" t="s">
        <v>3</v>
      </c>
      <c r="O282" s="5">
        <v>2</v>
      </c>
      <c r="P282" s="5"/>
      <c r="Q282" s="5"/>
      <c r="R282" s="5"/>
      <c r="S282" s="5"/>
      <c r="T282" s="5"/>
      <c r="U282" s="5"/>
      <c r="V282" s="5"/>
      <c r="W282" s="5">
        <v>14698.729999999998</v>
      </c>
      <c r="X282" s="5">
        <v>1</v>
      </c>
      <c r="Y282" s="5">
        <v>14698.729999999998</v>
      </c>
      <c r="Z282" s="5"/>
      <c r="AA282" s="5"/>
      <c r="AB282" s="5"/>
    </row>
    <row r="283" spans="1:28" x14ac:dyDescent="0.2">
      <c r="A283" s="5">
        <v>50</v>
      </c>
      <c r="B283" s="5">
        <v>0</v>
      </c>
      <c r="C283" s="5">
        <v>0</v>
      </c>
      <c r="D283" s="5">
        <v>1</v>
      </c>
      <c r="E283" s="5">
        <v>205</v>
      </c>
      <c r="F283" s="5">
        <f>ROUND(Source!S268,O283)</f>
        <v>55937.27</v>
      </c>
      <c r="G283" s="5" t="s">
        <v>87</v>
      </c>
      <c r="H283" s="5" t="s">
        <v>88</v>
      </c>
      <c r="I283" s="5"/>
      <c r="J283" s="5"/>
      <c r="K283" s="5">
        <v>205</v>
      </c>
      <c r="L283" s="5">
        <v>14</v>
      </c>
      <c r="M283" s="5">
        <v>3</v>
      </c>
      <c r="N283" s="5" t="s">
        <v>3</v>
      </c>
      <c r="O283" s="5">
        <v>2</v>
      </c>
      <c r="P283" s="5"/>
      <c r="Q283" s="5"/>
      <c r="R283" s="5"/>
      <c r="S283" s="5"/>
      <c r="T283" s="5"/>
      <c r="U283" s="5"/>
      <c r="V283" s="5"/>
      <c r="W283" s="5">
        <v>55937.270000000019</v>
      </c>
      <c r="X283" s="5">
        <v>1</v>
      </c>
      <c r="Y283" s="5">
        <v>55937.270000000019</v>
      </c>
      <c r="Z283" s="5"/>
      <c r="AA283" s="5"/>
      <c r="AB283" s="5"/>
    </row>
    <row r="284" spans="1:28" x14ac:dyDescent="0.2">
      <c r="A284" s="5">
        <v>50</v>
      </c>
      <c r="B284" s="5">
        <v>0</v>
      </c>
      <c r="C284" s="5">
        <v>0</v>
      </c>
      <c r="D284" s="5">
        <v>1</v>
      </c>
      <c r="E284" s="5">
        <v>232</v>
      </c>
      <c r="F284" s="5">
        <f>ROUND(Source!BC268,O284)</f>
        <v>0</v>
      </c>
      <c r="G284" s="5" t="s">
        <v>89</v>
      </c>
      <c r="H284" s="5" t="s">
        <v>90</v>
      </c>
      <c r="I284" s="5"/>
      <c r="J284" s="5"/>
      <c r="K284" s="5">
        <v>232</v>
      </c>
      <c r="L284" s="5">
        <v>15</v>
      </c>
      <c r="M284" s="5">
        <v>3</v>
      </c>
      <c r="N284" s="5" t="s">
        <v>3</v>
      </c>
      <c r="O284" s="5">
        <v>2</v>
      </c>
      <c r="P284" s="5"/>
      <c r="Q284" s="5"/>
      <c r="R284" s="5"/>
      <c r="S284" s="5"/>
      <c r="T284" s="5"/>
      <c r="U284" s="5"/>
      <c r="V284" s="5"/>
      <c r="W284" s="5">
        <v>0</v>
      </c>
      <c r="X284" s="5">
        <v>1</v>
      </c>
      <c r="Y284" s="5">
        <v>0</v>
      </c>
      <c r="Z284" s="5"/>
      <c r="AA284" s="5"/>
      <c r="AB284" s="5"/>
    </row>
    <row r="285" spans="1:28" x14ac:dyDescent="0.2">
      <c r="A285" s="5">
        <v>50</v>
      </c>
      <c r="B285" s="5">
        <v>0</v>
      </c>
      <c r="C285" s="5">
        <v>0</v>
      </c>
      <c r="D285" s="5">
        <v>1</v>
      </c>
      <c r="E285" s="5">
        <v>214</v>
      </c>
      <c r="F285" s="5">
        <f>ROUND(Source!AS268,O285)</f>
        <v>314279.77</v>
      </c>
      <c r="G285" s="5" t="s">
        <v>91</v>
      </c>
      <c r="H285" s="5" t="s">
        <v>92</v>
      </c>
      <c r="I285" s="5"/>
      <c r="J285" s="5"/>
      <c r="K285" s="5">
        <v>214</v>
      </c>
      <c r="L285" s="5">
        <v>16</v>
      </c>
      <c r="M285" s="5">
        <v>3</v>
      </c>
      <c r="N285" s="5" t="s">
        <v>3</v>
      </c>
      <c r="O285" s="5">
        <v>2</v>
      </c>
      <c r="P285" s="5"/>
      <c r="Q285" s="5"/>
      <c r="R285" s="5"/>
      <c r="S285" s="5"/>
      <c r="T285" s="5"/>
      <c r="U285" s="5"/>
      <c r="V285" s="5"/>
      <c r="W285" s="5">
        <v>314279.77</v>
      </c>
      <c r="X285" s="5">
        <v>1</v>
      </c>
      <c r="Y285" s="5">
        <v>314279.77</v>
      </c>
      <c r="Z285" s="5"/>
      <c r="AA285" s="5"/>
      <c r="AB285" s="5"/>
    </row>
    <row r="286" spans="1:28" x14ac:dyDescent="0.2">
      <c r="A286" s="5">
        <v>50</v>
      </c>
      <c r="B286" s="5">
        <v>0</v>
      </c>
      <c r="C286" s="5">
        <v>0</v>
      </c>
      <c r="D286" s="5">
        <v>1</v>
      </c>
      <c r="E286" s="5">
        <v>215</v>
      </c>
      <c r="F286" s="5">
        <f>ROUND(Source!AT268,O286)</f>
        <v>14238.73</v>
      </c>
      <c r="G286" s="5" t="s">
        <v>93</v>
      </c>
      <c r="H286" s="5" t="s">
        <v>94</v>
      </c>
      <c r="I286" s="5"/>
      <c r="J286" s="5"/>
      <c r="K286" s="5">
        <v>215</v>
      </c>
      <c r="L286" s="5">
        <v>17</v>
      </c>
      <c r="M286" s="5">
        <v>3</v>
      </c>
      <c r="N286" s="5" t="s">
        <v>3</v>
      </c>
      <c r="O286" s="5">
        <v>2</v>
      </c>
      <c r="P286" s="5"/>
      <c r="Q286" s="5"/>
      <c r="R286" s="5"/>
      <c r="S286" s="5"/>
      <c r="T286" s="5"/>
      <c r="U286" s="5"/>
      <c r="V286" s="5"/>
      <c r="W286" s="5">
        <v>14238.73</v>
      </c>
      <c r="X286" s="5">
        <v>1</v>
      </c>
      <c r="Y286" s="5">
        <v>14238.73</v>
      </c>
      <c r="Z286" s="5"/>
      <c r="AA286" s="5"/>
      <c r="AB286" s="5"/>
    </row>
    <row r="287" spans="1:28" x14ac:dyDescent="0.2">
      <c r="A287" s="5">
        <v>50</v>
      </c>
      <c r="B287" s="5">
        <v>0</v>
      </c>
      <c r="C287" s="5">
        <v>0</v>
      </c>
      <c r="D287" s="5">
        <v>1</v>
      </c>
      <c r="E287" s="5">
        <v>217</v>
      </c>
      <c r="F287" s="5">
        <f>ROUND(Source!AU268,O287)</f>
        <v>0</v>
      </c>
      <c r="G287" s="5" t="s">
        <v>95</v>
      </c>
      <c r="H287" s="5" t="s">
        <v>96</v>
      </c>
      <c r="I287" s="5"/>
      <c r="J287" s="5"/>
      <c r="K287" s="5">
        <v>217</v>
      </c>
      <c r="L287" s="5">
        <v>18</v>
      </c>
      <c r="M287" s="5">
        <v>3</v>
      </c>
      <c r="N287" s="5" t="s">
        <v>3</v>
      </c>
      <c r="O287" s="5">
        <v>2</v>
      </c>
      <c r="P287" s="5"/>
      <c r="Q287" s="5"/>
      <c r="R287" s="5"/>
      <c r="S287" s="5"/>
      <c r="T287" s="5"/>
      <c r="U287" s="5"/>
      <c r="V287" s="5"/>
      <c r="W287" s="5">
        <v>0</v>
      </c>
      <c r="X287" s="5">
        <v>1</v>
      </c>
      <c r="Y287" s="5">
        <v>0</v>
      </c>
      <c r="Z287" s="5"/>
      <c r="AA287" s="5"/>
      <c r="AB287" s="5"/>
    </row>
    <row r="288" spans="1:28" x14ac:dyDescent="0.2">
      <c r="A288" s="5">
        <v>50</v>
      </c>
      <c r="B288" s="5">
        <v>0</v>
      </c>
      <c r="C288" s="5">
        <v>0</v>
      </c>
      <c r="D288" s="5">
        <v>1</v>
      </c>
      <c r="E288" s="5">
        <v>230</v>
      </c>
      <c r="F288" s="5">
        <f>ROUND(Source!BA268,O288)</f>
        <v>0</v>
      </c>
      <c r="G288" s="5" t="s">
        <v>97</v>
      </c>
      <c r="H288" s="5" t="s">
        <v>98</v>
      </c>
      <c r="I288" s="5"/>
      <c r="J288" s="5"/>
      <c r="K288" s="5">
        <v>230</v>
      </c>
      <c r="L288" s="5">
        <v>19</v>
      </c>
      <c r="M288" s="5">
        <v>3</v>
      </c>
      <c r="N288" s="5" t="s">
        <v>3</v>
      </c>
      <c r="O288" s="5">
        <v>2</v>
      </c>
      <c r="P288" s="5"/>
      <c r="Q288" s="5"/>
      <c r="R288" s="5"/>
      <c r="S288" s="5"/>
      <c r="T288" s="5"/>
      <c r="U288" s="5"/>
      <c r="V288" s="5"/>
      <c r="W288" s="5">
        <v>0</v>
      </c>
      <c r="X288" s="5">
        <v>1</v>
      </c>
      <c r="Y288" s="5">
        <v>0</v>
      </c>
      <c r="Z288" s="5"/>
      <c r="AA288" s="5"/>
      <c r="AB288" s="5"/>
    </row>
    <row r="289" spans="1:28" x14ac:dyDescent="0.2">
      <c r="A289" s="5">
        <v>50</v>
      </c>
      <c r="B289" s="5">
        <v>0</v>
      </c>
      <c r="C289" s="5">
        <v>0</v>
      </c>
      <c r="D289" s="5">
        <v>1</v>
      </c>
      <c r="E289" s="5">
        <v>206</v>
      </c>
      <c r="F289" s="5">
        <f>ROUND(Source!T268,O289)</f>
        <v>0</v>
      </c>
      <c r="G289" s="5" t="s">
        <v>99</v>
      </c>
      <c r="H289" s="5" t="s">
        <v>100</v>
      </c>
      <c r="I289" s="5"/>
      <c r="J289" s="5"/>
      <c r="K289" s="5">
        <v>206</v>
      </c>
      <c r="L289" s="5">
        <v>20</v>
      </c>
      <c r="M289" s="5">
        <v>3</v>
      </c>
      <c r="N289" s="5" t="s">
        <v>3</v>
      </c>
      <c r="O289" s="5">
        <v>2</v>
      </c>
      <c r="P289" s="5"/>
      <c r="Q289" s="5"/>
      <c r="R289" s="5"/>
      <c r="S289" s="5"/>
      <c r="T289" s="5"/>
      <c r="U289" s="5"/>
      <c r="V289" s="5"/>
      <c r="W289" s="5">
        <v>0</v>
      </c>
      <c r="X289" s="5">
        <v>1</v>
      </c>
      <c r="Y289" s="5">
        <v>0</v>
      </c>
      <c r="Z289" s="5"/>
      <c r="AA289" s="5"/>
      <c r="AB289" s="5"/>
    </row>
    <row r="290" spans="1:28" x14ac:dyDescent="0.2">
      <c r="A290" s="5">
        <v>50</v>
      </c>
      <c r="B290" s="5">
        <v>0</v>
      </c>
      <c r="C290" s="5">
        <v>0</v>
      </c>
      <c r="D290" s="5">
        <v>1</v>
      </c>
      <c r="E290" s="5">
        <v>207</v>
      </c>
      <c r="F290" s="5">
        <f>ROUND(Source!U268,O290)</f>
        <v>150.46112500000001</v>
      </c>
      <c r="G290" s="5" t="s">
        <v>101</v>
      </c>
      <c r="H290" s="5" t="s">
        <v>102</v>
      </c>
      <c r="I290" s="5"/>
      <c r="J290" s="5"/>
      <c r="K290" s="5">
        <v>207</v>
      </c>
      <c r="L290" s="5">
        <v>21</v>
      </c>
      <c r="M290" s="5">
        <v>3</v>
      </c>
      <c r="N290" s="5" t="s">
        <v>3</v>
      </c>
      <c r="O290" s="5">
        <v>7</v>
      </c>
      <c r="P290" s="5"/>
      <c r="Q290" s="5"/>
      <c r="R290" s="5"/>
      <c r="S290" s="5"/>
      <c r="T290" s="5"/>
      <c r="U290" s="5"/>
      <c r="V290" s="5"/>
      <c r="W290" s="5">
        <v>150.46112500000001</v>
      </c>
      <c r="X290" s="5">
        <v>1</v>
      </c>
      <c r="Y290" s="5">
        <v>150.46112500000001</v>
      </c>
      <c r="Z290" s="5"/>
      <c r="AA290" s="5"/>
      <c r="AB290" s="5"/>
    </row>
    <row r="291" spans="1:28" x14ac:dyDescent="0.2">
      <c r="A291" s="5">
        <v>50</v>
      </c>
      <c r="B291" s="5">
        <v>0</v>
      </c>
      <c r="C291" s="5">
        <v>0</v>
      </c>
      <c r="D291" s="5">
        <v>1</v>
      </c>
      <c r="E291" s="5">
        <v>208</v>
      </c>
      <c r="F291" s="5">
        <f>ROUND(Source!V268,O291)</f>
        <v>30.978373600000001</v>
      </c>
      <c r="G291" s="5" t="s">
        <v>103</v>
      </c>
      <c r="H291" s="5" t="s">
        <v>104</v>
      </c>
      <c r="I291" s="5"/>
      <c r="J291" s="5"/>
      <c r="K291" s="5">
        <v>208</v>
      </c>
      <c r="L291" s="5">
        <v>22</v>
      </c>
      <c r="M291" s="5">
        <v>3</v>
      </c>
      <c r="N291" s="5" t="s">
        <v>3</v>
      </c>
      <c r="O291" s="5">
        <v>7</v>
      </c>
      <c r="P291" s="5"/>
      <c r="Q291" s="5"/>
      <c r="R291" s="5"/>
      <c r="S291" s="5"/>
      <c r="T291" s="5"/>
      <c r="U291" s="5"/>
      <c r="V291" s="5"/>
      <c r="W291" s="5">
        <v>30.978373600000001</v>
      </c>
      <c r="X291" s="5">
        <v>1</v>
      </c>
      <c r="Y291" s="5">
        <v>30.978373600000001</v>
      </c>
      <c r="Z291" s="5"/>
      <c r="AA291" s="5"/>
      <c r="AB291" s="5"/>
    </row>
    <row r="292" spans="1:28" x14ac:dyDescent="0.2">
      <c r="A292" s="5">
        <v>50</v>
      </c>
      <c r="B292" s="5">
        <v>0</v>
      </c>
      <c r="C292" s="5">
        <v>0</v>
      </c>
      <c r="D292" s="5">
        <v>1</v>
      </c>
      <c r="E292" s="5">
        <v>209</v>
      </c>
      <c r="F292" s="5">
        <f>ROUND(Source!W268,O292)</f>
        <v>0</v>
      </c>
      <c r="G292" s="5" t="s">
        <v>105</v>
      </c>
      <c r="H292" s="5" t="s">
        <v>106</v>
      </c>
      <c r="I292" s="5"/>
      <c r="J292" s="5"/>
      <c r="K292" s="5">
        <v>209</v>
      </c>
      <c r="L292" s="5">
        <v>23</v>
      </c>
      <c r="M292" s="5">
        <v>3</v>
      </c>
      <c r="N292" s="5" t="s">
        <v>3</v>
      </c>
      <c r="O292" s="5">
        <v>2</v>
      </c>
      <c r="P292" s="5"/>
      <c r="Q292" s="5"/>
      <c r="R292" s="5"/>
      <c r="S292" s="5"/>
      <c r="T292" s="5"/>
      <c r="U292" s="5"/>
      <c r="V292" s="5"/>
      <c r="W292" s="5">
        <v>0</v>
      </c>
      <c r="X292" s="5">
        <v>1</v>
      </c>
      <c r="Y292" s="5">
        <v>0</v>
      </c>
      <c r="Z292" s="5"/>
      <c r="AA292" s="5"/>
      <c r="AB292" s="5"/>
    </row>
    <row r="293" spans="1:28" x14ac:dyDescent="0.2">
      <c r="A293" s="5">
        <v>50</v>
      </c>
      <c r="B293" s="5">
        <v>0</v>
      </c>
      <c r="C293" s="5">
        <v>0</v>
      </c>
      <c r="D293" s="5">
        <v>1</v>
      </c>
      <c r="E293" s="5">
        <v>233</v>
      </c>
      <c r="F293" s="5">
        <f>ROUND(Source!BD268,O293)</f>
        <v>0</v>
      </c>
      <c r="G293" s="5" t="s">
        <v>107</v>
      </c>
      <c r="H293" s="5" t="s">
        <v>108</v>
      </c>
      <c r="I293" s="5"/>
      <c r="J293" s="5"/>
      <c r="K293" s="5">
        <v>233</v>
      </c>
      <c r="L293" s="5">
        <v>24</v>
      </c>
      <c r="M293" s="5">
        <v>3</v>
      </c>
      <c r="N293" s="5" t="s">
        <v>3</v>
      </c>
      <c r="O293" s="5">
        <v>2</v>
      </c>
      <c r="P293" s="5"/>
      <c r="Q293" s="5"/>
      <c r="R293" s="5"/>
      <c r="S293" s="5"/>
      <c r="T293" s="5"/>
      <c r="U293" s="5"/>
      <c r="V293" s="5"/>
      <c r="W293" s="5">
        <v>0</v>
      </c>
      <c r="X293" s="5">
        <v>1</v>
      </c>
      <c r="Y293" s="5">
        <v>0</v>
      </c>
      <c r="Z293" s="5"/>
      <c r="AA293" s="5"/>
      <c r="AB293" s="5"/>
    </row>
    <row r="294" spans="1:28" x14ac:dyDescent="0.2">
      <c r="A294" s="5">
        <v>50</v>
      </c>
      <c r="B294" s="5">
        <v>0</v>
      </c>
      <c r="C294" s="5">
        <v>0</v>
      </c>
      <c r="D294" s="5">
        <v>1</v>
      </c>
      <c r="E294" s="5">
        <v>0</v>
      </c>
      <c r="F294" s="5">
        <f>ROUND(Source!X268,O294)</f>
        <v>76006.48</v>
      </c>
      <c r="G294" s="5" t="s">
        <v>109</v>
      </c>
      <c r="H294" s="5" t="s">
        <v>110</v>
      </c>
      <c r="I294" s="5"/>
      <c r="J294" s="5"/>
      <c r="K294" s="5">
        <v>210</v>
      </c>
      <c r="L294" s="5">
        <v>25</v>
      </c>
      <c r="M294" s="5">
        <v>3</v>
      </c>
      <c r="N294" s="5" t="s">
        <v>3</v>
      </c>
      <c r="O294" s="5">
        <v>2</v>
      </c>
      <c r="P294" s="5"/>
      <c r="Q294" s="5"/>
      <c r="R294" s="5"/>
      <c r="S294" s="5"/>
      <c r="T294" s="5"/>
      <c r="U294" s="5"/>
      <c r="V294" s="5"/>
      <c r="W294" s="5">
        <v>76006.48</v>
      </c>
      <c r="X294" s="5">
        <v>1</v>
      </c>
      <c r="Y294" s="5">
        <v>76006.48</v>
      </c>
      <c r="Z294" s="5"/>
      <c r="AA294" s="5"/>
      <c r="AB294" s="5"/>
    </row>
    <row r="295" spans="1:28" x14ac:dyDescent="0.2">
      <c r="A295" s="5">
        <v>50</v>
      </c>
      <c r="B295" s="5">
        <v>0</v>
      </c>
      <c r="C295" s="5">
        <v>0</v>
      </c>
      <c r="D295" s="5">
        <v>1</v>
      </c>
      <c r="E295" s="5">
        <v>0</v>
      </c>
      <c r="F295" s="5">
        <f>ROUND(Source!Y268,O295)</f>
        <v>42249.96</v>
      </c>
      <c r="G295" s="5" t="s">
        <v>111</v>
      </c>
      <c r="H295" s="5" t="s">
        <v>112</v>
      </c>
      <c r="I295" s="5"/>
      <c r="J295" s="5"/>
      <c r="K295" s="5">
        <v>211</v>
      </c>
      <c r="L295" s="5">
        <v>26</v>
      </c>
      <c r="M295" s="5">
        <v>3</v>
      </c>
      <c r="N295" s="5" t="s">
        <v>3</v>
      </c>
      <c r="O295" s="5">
        <v>2</v>
      </c>
      <c r="P295" s="5"/>
      <c r="Q295" s="5"/>
      <c r="R295" s="5"/>
      <c r="S295" s="5"/>
      <c r="T295" s="5"/>
      <c r="U295" s="5"/>
      <c r="V295" s="5"/>
      <c r="W295" s="5">
        <v>42249.96</v>
      </c>
      <c r="X295" s="5">
        <v>1</v>
      </c>
      <c r="Y295" s="5">
        <v>42249.96</v>
      </c>
      <c r="Z295" s="5"/>
      <c r="AA295" s="5"/>
      <c r="AB295" s="5"/>
    </row>
    <row r="296" spans="1:28" x14ac:dyDescent="0.2">
      <c r="A296" s="5">
        <v>50</v>
      </c>
      <c r="B296" s="5">
        <v>0</v>
      </c>
      <c r="C296" s="5">
        <v>0</v>
      </c>
      <c r="D296" s="5">
        <v>1</v>
      </c>
      <c r="E296" s="5">
        <v>224</v>
      </c>
      <c r="F296" s="5">
        <f>ROUND(Source!AR268,O296)</f>
        <v>328518.5</v>
      </c>
      <c r="G296" s="5" t="s">
        <v>113</v>
      </c>
      <c r="H296" s="5" t="s">
        <v>114</v>
      </c>
      <c r="I296" s="5"/>
      <c r="J296" s="5"/>
      <c r="K296" s="5">
        <v>224</v>
      </c>
      <c r="L296" s="5">
        <v>27</v>
      </c>
      <c r="M296" s="5">
        <v>3</v>
      </c>
      <c r="N296" s="5" t="s">
        <v>3</v>
      </c>
      <c r="O296" s="5">
        <v>2</v>
      </c>
      <c r="P296" s="5"/>
      <c r="Q296" s="5"/>
      <c r="R296" s="5"/>
      <c r="S296" s="5"/>
      <c r="T296" s="5"/>
      <c r="U296" s="5"/>
      <c r="V296" s="5"/>
      <c r="W296" s="5">
        <v>328518.5</v>
      </c>
      <c r="X296" s="5">
        <v>1</v>
      </c>
      <c r="Y296" s="5">
        <v>328518.5</v>
      </c>
      <c r="Z296" s="5"/>
      <c r="AA296" s="5"/>
      <c r="AB296" s="5"/>
    </row>
    <row r="297" spans="1:28" x14ac:dyDescent="0.2">
      <c r="A297" s="5">
        <v>50</v>
      </c>
      <c r="B297" s="5">
        <v>1</v>
      </c>
      <c r="C297" s="5">
        <v>0</v>
      </c>
      <c r="D297" s="5">
        <v>2</v>
      </c>
      <c r="E297" s="5">
        <v>201</v>
      </c>
      <c r="F297" s="5">
        <f>ROUND(ROUND(F270,0),O297)</f>
        <v>210262</v>
      </c>
      <c r="G297" s="5" t="s">
        <v>393</v>
      </c>
      <c r="H297" s="5" t="s">
        <v>394</v>
      </c>
      <c r="I297" s="5"/>
      <c r="J297" s="5"/>
      <c r="K297" s="5">
        <v>212</v>
      </c>
      <c r="L297" s="5">
        <v>28</v>
      </c>
      <c r="M297" s="5">
        <v>0</v>
      </c>
      <c r="N297" s="5" t="s">
        <v>3</v>
      </c>
      <c r="O297" s="5">
        <v>0</v>
      </c>
      <c r="P297" s="5"/>
      <c r="Q297" s="5"/>
      <c r="R297" s="5"/>
      <c r="S297" s="5"/>
      <c r="T297" s="5"/>
      <c r="U297" s="5"/>
      <c r="V297" s="5"/>
      <c r="W297" s="5">
        <v>210262</v>
      </c>
      <c r="X297" s="5">
        <v>1</v>
      </c>
      <c r="Y297" s="5">
        <v>210262</v>
      </c>
      <c r="Z297" s="5"/>
      <c r="AA297" s="5"/>
      <c r="AB297" s="5"/>
    </row>
    <row r="298" spans="1:28" x14ac:dyDescent="0.2">
      <c r="A298" s="5">
        <v>50</v>
      </c>
      <c r="B298" s="5">
        <v>1</v>
      </c>
      <c r="C298" s="5">
        <v>0</v>
      </c>
      <c r="D298" s="5">
        <v>2</v>
      </c>
      <c r="E298" s="5">
        <v>210</v>
      </c>
      <c r="F298" s="5">
        <f>ROUND(ROUND(F294,0),O298)</f>
        <v>76006</v>
      </c>
      <c r="G298" s="5" t="s">
        <v>395</v>
      </c>
      <c r="H298" s="5" t="s">
        <v>110</v>
      </c>
      <c r="I298" s="5"/>
      <c r="J298" s="5"/>
      <c r="K298" s="5">
        <v>212</v>
      </c>
      <c r="L298" s="5">
        <v>29</v>
      </c>
      <c r="M298" s="5">
        <v>0</v>
      </c>
      <c r="N298" s="5" t="s">
        <v>3</v>
      </c>
      <c r="O298" s="5">
        <v>0</v>
      </c>
      <c r="P298" s="5"/>
      <c r="Q298" s="5"/>
      <c r="R298" s="5"/>
      <c r="S298" s="5"/>
      <c r="T298" s="5"/>
      <c r="U298" s="5"/>
      <c r="V298" s="5"/>
      <c r="W298" s="5">
        <v>76006</v>
      </c>
      <c r="X298" s="5">
        <v>1</v>
      </c>
      <c r="Y298" s="5">
        <v>76006</v>
      </c>
      <c r="Z298" s="5"/>
      <c r="AA298" s="5"/>
      <c r="AB298" s="5"/>
    </row>
    <row r="299" spans="1:28" x14ac:dyDescent="0.2">
      <c r="A299" s="5">
        <v>50</v>
      </c>
      <c r="B299" s="5">
        <v>1</v>
      </c>
      <c r="C299" s="5">
        <v>0</v>
      </c>
      <c r="D299" s="5">
        <v>2</v>
      </c>
      <c r="E299" s="5">
        <v>211</v>
      </c>
      <c r="F299" s="5">
        <f>ROUND(ROUND(F295,0),O299)</f>
        <v>42250</v>
      </c>
      <c r="G299" s="5" t="s">
        <v>396</v>
      </c>
      <c r="H299" s="5" t="s">
        <v>112</v>
      </c>
      <c r="I299" s="5"/>
      <c r="J299" s="5"/>
      <c r="K299" s="5">
        <v>212</v>
      </c>
      <c r="L299" s="5">
        <v>30</v>
      </c>
      <c r="M299" s="5">
        <v>0</v>
      </c>
      <c r="N299" s="5" t="s">
        <v>3</v>
      </c>
      <c r="O299" s="5">
        <v>0</v>
      </c>
      <c r="P299" s="5"/>
      <c r="Q299" s="5"/>
      <c r="R299" s="5"/>
      <c r="S299" s="5"/>
      <c r="T299" s="5"/>
      <c r="U299" s="5"/>
      <c r="V299" s="5"/>
      <c r="W299" s="5">
        <v>42250</v>
      </c>
      <c r="X299" s="5">
        <v>1</v>
      </c>
      <c r="Y299" s="5">
        <v>42250</v>
      </c>
      <c r="Z299" s="5"/>
      <c r="AA299" s="5"/>
      <c r="AB299" s="5"/>
    </row>
    <row r="300" spans="1:28" x14ac:dyDescent="0.2">
      <c r="A300" s="5">
        <v>50</v>
      </c>
      <c r="B300" s="5">
        <v>1</v>
      </c>
      <c r="C300" s="5">
        <v>0</v>
      </c>
      <c r="D300" s="5">
        <v>2</v>
      </c>
      <c r="E300" s="5">
        <v>0</v>
      </c>
      <c r="F300" s="5">
        <f>ROUND(F297+F298+F299,O300)</f>
        <v>328518</v>
      </c>
      <c r="G300" s="5" t="s">
        <v>397</v>
      </c>
      <c r="H300" s="5" t="s">
        <v>398</v>
      </c>
      <c r="I300" s="5"/>
      <c r="J300" s="5"/>
      <c r="K300" s="5">
        <v>212</v>
      </c>
      <c r="L300" s="5">
        <v>31</v>
      </c>
      <c r="M300" s="5">
        <v>0</v>
      </c>
      <c r="N300" s="5" t="s">
        <v>3</v>
      </c>
      <c r="O300" s="5">
        <v>2</v>
      </c>
      <c r="P300" s="5"/>
      <c r="Q300" s="5"/>
      <c r="R300" s="5"/>
      <c r="S300" s="5"/>
      <c r="T300" s="5"/>
      <c r="U300" s="5"/>
      <c r="V300" s="5"/>
      <c r="W300" s="5">
        <v>328518</v>
      </c>
      <c r="X300" s="5">
        <v>1</v>
      </c>
      <c r="Y300" s="5">
        <v>328518</v>
      </c>
      <c r="Z300" s="5"/>
      <c r="AA300" s="5"/>
      <c r="AB300" s="5"/>
    </row>
    <row r="301" spans="1:28" x14ac:dyDescent="0.2">
      <c r="A301" s="5">
        <v>50</v>
      </c>
      <c r="B301" s="5">
        <v>1</v>
      </c>
      <c r="C301" s="5">
        <v>0</v>
      </c>
      <c r="D301" s="5">
        <v>2</v>
      </c>
      <c r="E301" s="5">
        <v>0</v>
      </c>
      <c r="F301" s="5">
        <f>ROUND(ROUND(F300*0.015,0),O301)</f>
        <v>4928</v>
      </c>
      <c r="G301" s="5" t="s">
        <v>399</v>
      </c>
      <c r="H301" s="5" t="s">
        <v>400</v>
      </c>
      <c r="I301" s="5"/>
      <c r="J301" s="5"/>
      <c r="K301" s="5">
        <v>212</v>
      </c>
      <c r="L301" s="5">
        <v>32</v>
      </c>
      <c r="M301" s="5">
        <v>0</v>
      </c>
      <c r="N301" s="5" t="s">
        <v>3</v>
      </c>
      <c r="O301" s="5">
        <v>0</v>
      </c>
      <c r="P301" s="5"/>
      <c r="Q301" s="5"/>
      <c r="R301" s="5"/>
      <c r="S301" s="5"/>
      <c r="T301" s="5"/>
      <c r="U301" s="5"/>
      <c r="V301" s="5"/>
      <c r="W301" s="5">
        <v>4928</v>
      </c>
      <c r="X301" s="5">
        <v>1</v>
      </c>
      <c r="Y301" s="5">
        <v>4928</v>
      </c>
      <c r="Z301" s="5"/>
      <c r="AA301" s="5"/>
      <c r="AB301" s="5"/>
    </row>
    <row r="302" spans="1:28" x14ac:dyDescent="0.2">
      <c r="A302" s="5">
        <v>50</v>
      </c>
      <c r="B302" s="5">
        <v>1</v>
      </c>
      <c r="C302" s="5">
        <v>0</v>
      </c>
      <c r="D302" s="5">
        <v>2</v>
      </c>
      <c r="E302" s="5">
        <v>0</v>
      </c>
      <c r="F302" s="5">
        <f>ROUND(F300+F301,O302)</f>
        <v>333446</v>
      </c>
      <c r="G302" s="5" t="s">
        <v>401</v>
      </c>
      <c r="H302" s="5" t="s">
        <v>398</v>
      </c>
      <c r="I302" s="5"/>
      <c r="J302" s="5"/>
      <c r="K302" s="5">
        <v>212</v>
      </c>
      <c r="L302" s="5">
        <v>33</v>
      </c>
      <c r="M302" s="5">
        <v>0</v>
      </c>
      <c r="N302" s="5" t="s">
        <v>3</v>
      </c>
      <c r="O302" s="5">
        <v>2</v>
      </c>
      <c r="P302" s="5"/>
      <c r="Q302" s="5"/>
      <c r="R302" s="5"/>
      <c r="S302" s="5"/>
      <c r="T302" s="5"/>
      <c r="U302" s="5"/>
      <c r="V302" s="5"/>
      <c r="W302" s="5">
        <v>333446</v>
      </c>
      <c r="X302" s="5">
        <v>1</v>
      </c>
      <c r="Y302" s="5">
        <v>333446</v>
      </c>
      <c r="Z302" s="5"/>
      <c r="AA302" s="5"/>
      <c r="AB302" s="5"/>
    </row>
    <row r="303" spans="1:28" x14ac:dyDescent="0.2">
      <c r="A303" s="5">
        <v>50</v>
      </c>
      <c r="B303" s="5">
        <v>1</v>
      </c>
      <c r="C303" s="5">
        <v>0</v>
      </c>
      <c r="D303" s="5">
        <v>2</v>
      </c>
      <c r="E303" s="5">
        <v>0</v>
      </c>
      <c r="F303" s="5">
        <f>ROUND(ROUND(F302*0.2,0),O303)</f>
        <v>66689</v>
      </c>
      <c r="G303" s="5" t="s">
        <v>402</v>
      </c>
      <c r="H303" s="5" t="s">
        <v>403</v>
      </c>
      <c r="I303" s="5"/>
      <c r="J303" s="5"/>
      <c r="K303" s="5">
        <v>212</v>
      </c>
      <c r="L303" s="5">
        <v>34</v>
      </c>
      <c r="M303" s="5">
        <v>0</v>
      </c>
      <c r="N303" s="5" t="s">
        <v>3</v>
      </c>
      <c r="O303" s="5">
        <v>0</v>
      </c>
      <c r="P303" s="5"/>
      <c r="Q303" s="5"/>
      <c r="R303" s="5"/>
      <c r="S303" s="5"/>
      <c r="T303" s="5"/>
      <c r="U303" s="5"/>
      <c r="V303" s="5"/>
      <c r="W303" s="5">
        <v>66689</v>
      </c>
      <c r="X303" s="5">
        <v>1</v>
      </c>
      <c r="Y303" s="5">
        <v>66689</v>
      </c>
      <c r="Z303" s="5"/>
      <c r="AA303" s="5"/>
      <c r="AB303" s="5"/>
    </row>
    <row r="304" spans="1:28" x14ac:dyDescent="0.2">
      <c r="A304" s="5">
        <v>50</v>
      </c>
      <c r="B304" s="5">
        <v>1</v>
      </c>
      <c r="C304" s="5">
        <v>0</v>
      </c>
      <c r="D304" s="5">
        <v>2</v>
      </c>
      <c r="E304" s="5">
        <v>213</v>
      </c>
      <c r="F304" s="5">
        <f>ROUND(F302+F303,O304)</f>
        <v>400135</v>
      </c>
      <c r="G304" s="5" t="s">
        <v>404</v>
      </c>
      <c r="H304" s="5" t="s">
        <v>113</v>
      </c>
      <c r="I304" s="5"/>
      <c r="J304" s="5"/>
      <c r="K304" s="5">
        <v>212</v>
      </c>
      <c r="L304" s="5">
        <v>35</v>
      </c>
      <c r="M304" s="5">
        <v>0</v>
      </c>
      <c r="N304" s="5" t="s">
        <v>3</v>
      </c>
      <c r="O304" s="5">
        <v>2</v>
      </c>
      <c r="P304" s="5"/>
      <c r="Q304" s="5"/>
      <c r="R304" s="5"/>
      <c r="S304" s="5"/>
      <c r="T304" s="5"/>
      <c r="U304" s="5"/>
      <c r="V304" s="5"/>
      <c r="W304" s="5">
        <v>400135</v>
      </c>
      <c r="X304" s="5">
        <v>1</v>
      </c>
      <c r="Y304" s="5">
        <v>400135</v>
      </c>
      <c r="Z304" s="5"/>
      <c r="AA304" s="5"/>
      <c r="AB304" s="5"/>
    </row>
    <row r="307" spans="1:16" x14ac:dyDescent="0.2">
      <c r="A307">
        <v>70</v>
      </c>
      <c r="B307">
        <v>1</v>
      </c>
      <c r="D307">
        <v>1</v>
      </c>
      <c r="E307" t="s">
        <v>405</v>
      </c>
      <c r="F307" t="s">
        <v>406</v>
      </c>
      <c r="G307">
        <v>1</v>
      </c>
      <c r="H307">
        <v>0</v>
      </c>
      <c r="I307" t="s">
        <v>3</v>
      </c>
      <c r="J307">
        <v>1</v>
      </c>
      <c r="K307">
        <v>0</v>
      </c>
      <c r="L307" t="s">
        <v>3</v>
      </c>
      <c r="M307" t="s">
        <v>3</v>
      </c>
      <c r="N307">
        <v>0</v>
      </c>
      <c r="P307" t="s">
        <v>407</v>
      </c>
    </row>
    <row r="308" spans="1:16" x14ac:dyDescent="0.2">
      <c r="A308">
        <v>70</v>
      </c>
      <c r="B308">
        <v>1</v>
      </c>
      <c r="D308">
        <v>2</v>
      </c>
      <c r="E308" t="s">
        <v>408</v>
      </c>
      <c r="F308" t="s">
        <v>409</v>
      </c>
      <c r="G308">
        <v>0</v>
      </c>
      <c r="H308">
        <v>0</v>
      </c>
      <c r="I308" t="s">
        <v>3</v>
      </c>
      <c r="J308">
        <v>1</v>
      </c>
      <c r="K308">
        <v>0</v>
      </c>
      <c r="L308" t="s">
        <v>3</v>
      </c>
      <c r="M308" t="s">
        <v>3</v>
      </c>
      <c r="N308">
        <v>0</v>
      </c>
      <c r="P308" t="s">
        <v>410</v>
      </c>
    </row>
    <row r="309" spans="1:16" x14ac:dyDescent="0.2">
      <c r="A309">
        <v>70</v>
      </c>
      <c r="B309">
        <v>1</v>
      </c>
      <c r="D309">
        <v>3</v>
      </c>
      <c r="E309" t="s">
        <v>411</v>
      </c>
      <c r="F309" t="s">
        <v>412</v>
      </c>
      <c r="G309">
        <v>0</v>
      </c>
      <c r="H309">
        <v>0</v>
      </c>
      <c r="I309" t="s">
        <v>3</v>
      </c>
      <c r="J309">
        <v>1</v>
      </c>
      <c r="K309">
        <v>0</v>
      </c>
      <c r="L309" t="s">
        <v>3</v>
      </c>
      <c r="M309" t="s">
        <v>3</v>
      </c>
      <c r="N309">
        <v>0</v>
      </c>
      <c r="P309" t="s">
        <v>413</v>
      </c>
    </row>
    <row r="310" spans="1:16" x14ac:dyDescent="0.2">
      <c r="A310">
        <v>70</v>
      </c>
      <c r="B310">
        <v>1</v>
      </c>
      <c r="D310">
        <v>4</v>
      </c>
      <c r="E310" t="s">
        <v>414</v>
      </c>
      <c r="F310" t="s">
        <v>415</v>
      </c>
      <c r="G310">
        <v>1</v>
      </c>
      <c r="H310">
        <v>0</v>
      </c>
      <c r="I310" t="s">
        <v>3</v>
      </c>
      <c r="J310">
        <v>2</v>
      </c>
      <c r="K310">
        <v>0</v>
      </c>
      <c r="L310" t="s">
        <v>3</v>
      </c>
      <c r="M310" t="s">
        <v>3</v>
      </c>
      <c r="N310">
        <v>0</v>
      </c>
      <c r="P310" t="s">
        <v>3</v>
      </c>
    </row>
    <row r="311" spans="1:16" x14ac:dyDescent="0.2">
      <c r="A311">
        <v>70</v>
      </c>
      <c r="B311">
        <v>1</v>
      </c>
      <c r="D311">
        <v>5</v>
      </c>
      <c r="E311" t="s">
        <v>416</v>
      </c>
      <c r="F311" t="s">
        <v>417</v>
      </c>
      <c r="G311">
        <v>0</v>
      </c>
      <c r="H311">
        <v>0</v>
      </c>
      <c r="I311" t="s">
        <v>3</v>
      </c>
      <c r="J311">
        <v>2</v>
      </c>
      <c r="K311">
        <v>0</v>
      </c>
      <c r="L311" t="s">
        <v>3</v>
      </c>
      <c r="M311" t="s">
        <v>3</v>
      </c>
      <c r="N311">
        <v>0</v>
      </c>
      <c r="P311" t="s">
        <v>3</v>
      </c>
    </row>
    <row r="312" spans="1:16" x14ac:dyDescent="0.2">
      <c r="A312">
        <v>70</v>
      </c>
      <c r="B312">
        <v>1</v>
      </c>
      <c r="D312">
        <v>6</v>
      </c>
      <c r="E312" t="s">
        <v>418</v>
      </c>
      <c r="F312" t="s">
        <v>419</v>
      </c>
      <c r="G312">
        <v>0</v>
      </c>
      <c r="H312">
        <v>0</v>
      </c>
      <c r="I312" t="s">
        <v>3</v>
      </c>
      <c r="J312">
        <v>2</v>
      </c>
      <c r="K312">
        <v>0</v>
      </c>
      <c r="L312" t="s">
        <v>3</v>
      </c>
      <c r="M312" t="s">
        <v>3</v>
      </c>
      <c r="N312">
        <v>0</v>
      </c>
      <c r="P312" t="s">
        <v>3</v>
      </c>
    </row>
    <row r="313" spans="1:16" x14ac:dyDescent="0.2">
      <c r="A313">
        <v>70</v>
      </c>
      <c r="B313">
        <v>1</v>
      </c>
      <c r="D313">
        <v>7</v>
      </c>
      <c r="E313" t="s">
        <v>420</v>
      </c>
      <c r="F313" t="s">
        <v>421</v>
      </c>
      <c r="G313">
        <v>0</v>
      </c>
      <c r="H313">
        <v>0</v>
      </c>
      <c r="I313" t="s">
        <v>422</v>
      </c>
      <c r="J313">
        <v>0</v>
      </c>
      <c r="K313">
        <v>0</v>
      </c>
      <c r="L313" t="s">
        <v>3</v>
      </c>
      <c r="M313" t="s">
        <v>3</v>
      </c>
      <c r="N313">
        <v>0</v>
      </c>
      <c r="P313" t="s">
        <v>423</v>
      </c>
    </row>
    <row r="314" spans="1:16" x14ac:dyDescent="0.2">
      <c r="A314">
        <v>70</v>
      </c>
      <c r="B314">
        <v>1</v>
      </c>
      <c r="D314">
        <v>8</v>
      </c>
      <c r="E314" t="s">
        <v>424</v>
      </c>
      <c r="F314" t="s">
        <v>425</v>
      </c>
      <c r="G314">
        <v>1</v>
      </c>
      <c r="H314">
        <v>0</v>
      </c>
      <c r="I314" t="s">
        <v>3</v>
      </c>
      <c r="J314">
        <v>5</v>
      </c>
      <c r="K314">
        <v>0</v>
      </c>
      <c r="L314" t="s">
        <v>3</v>
      </c>
      <c r="M314" t="s">
        <v>3</v>
      </c>
      <c r="N314">
        <v>0</v>
      </c>
      <c r="P314" t="s">
        <v>3</v>
      </c>
    </row>
    <row r="315" spans="1:16" x14ac:dyDescent="0.2">
      <c r="A315">
        <v>70</v>
      </c>
      <c r="B315">
        <v>1</v>
      </c>
      <c r="D315">
        <v>9</v>
      </c>
      <c r="E315" t="s">
        <v>426</v>
      </c>
      <c r="F315" t="s">
        <v>427</v>
      </c>
      <c r="G315">
        <v>0</v>
      </c>
      <c r="H315">
        <v>0</v>
      </c>
      <c r="I315" t="s">
        <v>3</v>
      </c>
      <c r="J315">
        <v>5</v>
      </c>
      <c r="K315">
        <v>0</v>
      </c>
      <c r="L315" t="s">
        <v>3</v>
      </c>
      <c r="M315" t="s">
        <v>3</v>
      </c>
      <c r="N315">
        <v>0</v>
      </c>
      <c r="P315" t="s">
        <v>428</v>
      </c>
    </row>
    <row r="316" spans="1:16" x14ac:dyDescent="0.2">
      <c r="A316">
        <v>70</v>
      </c>
      <c r="B316">
        <v>1</v>
      </c>
      <c r="D316">
        <v>10</v>
      </c>
      <c r="E316" t="s">
        <v>429</v>
      </c>
      <c r="F316" t="s">
        <v>430</v>
      </c>
      <c r="G316">
        <v>0</v>
      </c>
      <c r="H316">
        <v>0</v>
      </c>
      <c r="I316" t="s">
        <v>431</v>
      </c>
      <c r="J316">
        <v>5</v>
      </c>
      <c r="K316">
        <v>0</v>
      </c>
      <c r="L316" t="s">
        <v>3</v>
      </c>
      <c r="M316" t="s">
        <v>3</v>
      </c>
      <c r="N316">
        <v>0</v>
      </c>
      <c r="P316" t="s">
        <v>432</v>
      </c>
    </row>
    <row r="317" spans="1:16" x14ac:dyDescent="0.2">
      <c r="A317">
        <v>70</v>
      </c>
      <c r="B317">
        <v>1</v>
      </c>
      <c r="D317">
        <v>11</v>
      </c>
      <c r="E317" t="s">
        <v>433</v>
      </c>
      <c r="F317" t="s">
        <v>434</v>
      </c>
      <c r="G317">
        <v>0</v>
      </c>
      <c r="H317">
        <v>0</v>
      </c>
      <c r="I317" t="s">
        <v>435</v>
      </c>
      <c r="J317">
        <v>0</v>
      </c>
      <c r="K317">
        <v>0</v>
      </c>
      <c r="L317" t="s">
        <v>3</v>
      </c>
      <c r="M317" t="s">
        <v>3</v>
      </c>
      <c r="N317">
        <v>0</v>
      </c>
      <c r="P317" t="s">
        <v>436</v>
      </c>
    </row>
    <row r="318" spans="1:16" x14ac:dyDescent="0.2">
      <c r="A318">
        <v>70</v>
      </c>
      <c r="B318">
        <v>1</v>
      </c>
      <c r="D318">
        <v>12</v>
      </c>
      <c r="E318" t="s">
        <v>437</v>
      </c>
      <c r="F318" t="s">
        <v>438</v>
      </c>
      <c r="G318">
        <v>0</v>
      </c>
      <c r="H318">
        <v>0</v>
      </c>
      <c r="I318" t="s">
        <v>439</v>
      </c>
      <c r="J318">
        <v>0</v>
      </c>
      <c r="K318">
        <v>0</v>
      </c>
      <c r="L318" t="s">
        <v>3</v>
      </c>
      <c r="M318" t="s">
        <v>3</v>
      </c>
      <c r="N318">
        <v>0</v>
      </c>
      <c r="P318" t="s">
        <v>440</v>
      </c>
    </row>
    <row r="319" spans="1:16" x14ac:dyDescent="0.2">
      <c r="A319">
        <v>70</v>
      </c>
      <c r="B319">
        <v>1</v>
      </c>
      <c r="D319">
        <v>13</v>
      </c>
      <c r="E319" t="s">
        <v>441</v>
      </c>
      <c r="F319" t="s">
        <v>442</v>
      </c>
      <c r="G319">
        <v>0</v>
      </c>
      <c r="H319">
        <v>0</v>
      </c>
      <c r="I319" t="s">
        <v>443</v>
      </c>
      <c r="J319">
        <v>0</v>
      </c>
      <c r="K319">
        <v>0</v>
      </c>
      <c r="L319" t="s">
        <v>3</v>
      </c>
      <c r="M319" t="s">
        <v>3</v>
      </c>
      <c r="N319">
        <v>0</v>
      </c>
      <c r="P319" t="s">
        <v>444</v>
      </c>
    </row>
    <row r="320" spans="1:16" x14ac:dyDescent="0.2">
      <c r="A320">
        <v>70</v>
      </c>
      <c r="B320">
        <v>1</v>
      </c>
      <c r="D320">
        <v>14</v>
      </c>
      <c r="E320" t="s">
        <v>445</v>
      </c>
      <c r="F320" t="s">
        <v>446</v>
      </c>
      <c r="G320">
        <v>0</v>
      </c>
      <c r="H320">
        <v>0</v>
      </c>
      <c r="I320" t="s">
        <v>3</v>
      </c>
      <c r="J320">
        <v>0</v>
      </c>
      <c r="K320">
        <v>0</v>
      </c>
      <c r="L320" t="s">
        <v>3</v>
      </c>
      <c r="M320" t="s">
        <v>3</v>
      </c>
      <c r="N320">
        <v>0</v>
      </c>
      <c r="P320" t="s">
        <v>3</v>
      </c>
    </row>
    <row r="321" spans="1:50" x14ac:dyDescent="0.2">
      <c r="A321">
        <v>70</v>
      </c>
      <c r="B321">
        <v>1</v>
      </c>
      <c r="D321">
        <v>15</v>
      </c>
      <c r="E321" t="s">
        <v>447</v>
      </c>
      <c r="F321" t="s">
        <v>448</v>
      </c>
      <c r="G321">
        <v>0</v>
      </c>
      <c r="H321">
        <v>0</v>
      </c>
      <c r="I321" t="s">
        <v>3</v>
      </c>
      <c r="J321">
        <v>0</v>
      </c>
      <c r="K321">
        <v>0</v>
      </c>
      <c r="L321" t="s">
        <v>3</v>
      </c>
      <c r="M321" t="s">
        <v>3</v>
      </c>
      <c r="N321">
        <v>0</v>
      </c>
      <c r="P321" t="s">
        <v>449</v>
      </c>
    </row>
    <row r="322" spans="1:50" x14ac:dyDescent="0.2">
      <c r="A322">
        <v>70</v>
      </c>
      <c r="B322">
        <v>1</v>
      </c>
      <c r="D322">
        <v>16</v>
      </c>
      <c r="E322" t="s">
        <v>450</v>
      </c>
      <c r="F322" t="s">
        <v>451</v>
      </c>
      <c r="G322">
        <v>0</v>
      </c>
      <c r="H322">
        <v>0</v>
      </c>
      <c r="I322" t="s">
        <v>3</v>
      </c>
      <c r="J322">
        <v>3</v>
      </c>
      <c r="K322">
        <v>0</v>
      </c>
      <c r="L322" t="s">
        <v>3</v>
      </c>
      <c r="M322" t="s">
        <v>3</v>
      </c>
      <c r="N322">
        <v>0</v>
      </c>
      <c r="P322" t="s">
        <v>3</v>
      </c>
    </row>
    <row r="323" spans="1:50" x14ac:dyDescent="0.2">
      <c r="A323">
        <v>70</v>
      </c>
      <c r="B323">
        <v>1</v>
      </c>
      <c r="D323">
        <v>17</v>
      </c>
      <c r="E323" t="s">
        <v>452</v>
      </c>
      <c r="F323" t="s">
        <v>453</v>
      </c>
      <c r="G323">
        <v>1</v>
      </c>
      <c r="H323">
        <v>0</v>
      </c>
      <c r="I323" t="s">
        <v>3</v>
      </c>
      <c r="J323">
        <v>3</v>
      </c>
      <c r="K323">
        <v>0</v>
      </c>
      <c r="L323" t="s">
        <v>3</v>
      </c>
      <c r="M323" t="s">
        <v>3</v>
      </c>
      <c r="N323">
        <v>0</v>
      </c>
      <c r="P323" t="s">
        <v>3</v>
      </c>
    </row>
    <row r="324" spans="1:50" x14ac:dyDescent="0.2">
      <c r="A324">
        <v>70</v>
      </c>
      <c r="B324">
        <v>1</v>
      </c>
      <c r="D324">
        <v>1</v>
      </c>
      <c r="E324" t="s">
        <v>454</v>
      </c>
      <c r="F324" t="s">
        <v>455</v>
      </c>
      <c r="G324">
        <v>0.9</v>
      </c>
      <c r="H324">
        <v>1</v>
      </c>
      <c r="I324" t="s">
        <v>456</v>
      </c>
      <c r="J324">
        <v>0</v>
      </c>
      <c r="K324">
        <v>0</v>
      </c>
      <c r="L324" t="s">
        <v>3</v>
      </c>
      <c r="M324" t="s">
        <v>3</v>
      </c>
      <c r="N324">
        <v>0</v>
      </c>
      <c r="P324" t="s">
        <v>457</v>
      </c>
    </row>
    <row r="325" spans="1:50" x14ac:dyDescent="0.2">
      <c r="A325">
        <v>70</v>
      </c>
      <c r="B325">
        <v>1</v>
      </c>
      <c r="D325">
        <v>2</v>
      </c>
      <c r="E325" t="s">
        <v>458</v>
      </c>
      <c r="F325" t="s">
        <v>459</v>
      </c>
      <c r="G325">
        <v>0.85</v>
      </c>
      <c r="H325">
        <v>1</v>
      </c>
      <c r="I325" t="s">
        <v>460</v>
      </c>
      <c r="J325">
        <v>0</v>
      </c>
      <c r="K325">
        <v>0</v>
      </c>
      <c r="L325" t="s">
        <v>3</v>
      </c>
      <c r="M325" t="s">
        <v>3</v>
      </c>
      <c r="N325">
        <v>0</v>
      </c>
      <c r="P325" t="s">
        <v>461</v>
      </c>
    </row>
    <row r="326" spans="1:50" x14ac:dyDescent="0.2">
      <c r="A326">
        <v>70</v>
      </c>
      <c r="B326">
        <v>1</v>
      </c>
      <c r="D326">
        <v>3</v>
      </c>
      <c r="E326" t="s">
        <v>462</v>
      </c>
      <c r="F326" t="s">
        <v>463</v>
      </c>
      <c r="G326">
        <v>1.03</v>
      </c>
      <c r="H326">
        <v>0</v>
      </c>
      <c r="I326" t="s">
        <v>3</v>
      </c>
      <c r="J326">
        <v>0</v>
      </c>
      <c r="K326">
        <v>0</v>
      </c>
      <c r="L326" t="s">
        <v>3</v>
      </c>
      <c r="M326" t="s">
        <v>3</v>
      </c>
      <c r="N326">
        <v>0</v>
      </c>
      <c r="P326" t="s">
        <v>464</v>
      </c>
    </row>
    <row r="327" spans="1:50" x14ac:dyDescent="0.2">
      <c r="A327">
        <v>70</v>
      </c>
      <c r="B327">
        <v>1</v>
      </c>
      <c r="D327">
        <v>4</v>
      </c>
      <c r="E327" t="s">
        <v>465</v>
      </c>
      <c r="F327" t="s">
        <v>466</v>
      </c>
      <c r="G327">
        <v>1.1499999999999999</v>
      </c>
      <c r="H327">
        <v>0</v>
      </c>
      <c r="I327" t="s">
        <v>3</v>
      </c>
      <c r="J327">
        <v>0</v>
      </c>
      <c r="K327">
        <v>0</v>
      </c>
      <c r="L327" t="s">
        <v>3</v>
      </c>
      <c r="M327" t="s">
        <v>3</v>
      </c>
      <c r="N327">
        <v>0</v>
      </c>
      <c r="P327" t="s">
        <v>467</v>
      </c>
    </row>
    <row r="328" spans="1:50" x14ac:dyDescent="0.2">
      <c r="A328">
        <v>70</v>
      </c>
      <c r="B328">
        <v>1</v>
      </c>
      <c r="D328">
        <v>5</v>
      </c>
      <c r="E328" t="s">
        <v>468</v>
      </c>
      <c r="F328" t="s">
        <v>469</v>
      </c>
      <c r="G328">
        <v>7</v>
      </c>
      <c r="H328">
        <v>0</v>
      </c>
      <c r="I328" t="s">
        <v>3</v>
      </c>
      <c r="J328">
        <v>0</v>
      </c>
      <c r="K328">
        <v>0</v>
      </c>
      <c r="L328" t="s">
        <v>3</v>
      </c>
      <c r="M328" t="s">
        <v>3</v>
      </c>
      <c r="N328">
        <v>0</v>
      </c>
      <c r="P328" t="s">
        <v>3</v>
      </c>
    </row>
    <row r="329" spans="1:50" x14ac:dyDescent="0.2">
      <c r="A329">
        <v>70</v>
      </c>
      <c r="B329">
        <v>1</v>
      </c>
      <c r="D329">
        <v>6</v>
      </c>
      <c r="E329" t="s">
        <v>470</v>
      </c>
      <c r="F329" t="s">
        <v>3</v>
      </c>
      <c r="G329">
        <v>2</v>
      </c>
      <c r="H329">
        <v>0</v>
      </c>
      <c r="I329" t="s">
        <v>3</v>
      </c>
      <c r="J329">
        <v>0</v>
      </c>
      <c r="K329">
        <v>0</v>
      </c>
      <c r="L329" t="s">
        <v>3</v>
      </c>
      <c r="M329" t="s">
        <v>3</v>
      </c>
      <c r="N329">
        <v>0</v>
      </c>
      <c r="P329" t="s">
        <v>3</v>
      </c>
    </row>
    <row r="331" spans="1:50" x14ac:dyDescent="0.2">
      <c r="A331">
        <v>-1</v>
      </c>
    </row>
    <row r="333" spans="1:50" x14ac:dyDescent="0.2">
      <c r="A333" s="4">
        <v>75</v>
      </c>
      <c r="B333" s="4" t="s">
        <v>471</v>
      </c>
      <c r="C333" s="4">
        <v>2026</v>
      </c>
      <c r="D333" s="4">
        <v>0</v>
      </c>
      <c r="E333" s="4">
        <v>9</v>
      </c>
      <c r="F333" s="4">
        <v>1</v>
      </c>
      <c r="G333" s="4">
        <v>0</v>
      </c>
      <c r="H333" s="4">
        <v>1</v>
      </c>
      <c r="I333" s="4">
        <v>0</v>
      </c>
      <c r="J333" s="4">
        <v>3</v>
      </c>
      <c r="K333" s="4">
        <v>0</v>
      </c>
      <c r="L333" s="4">
        <v>0</v>
      </c>
      <c r="M333" s="4">
        <v>0</v>
      </c>
      <c r="N333" s="4">
        <v>74014550</v>
      </c>
      <c r="O333" s="4">
        <v>1</v>
      </c>
    </row>
    <row r="334" spans="1:50" x14ac:dyDescent="0.2">
      <c r="A334" s="6">
        <v>2</v>
      </c>
      <c r="B334" s="6" t="s">
        <v>472</v>
      </c>
      <c r="C334" s="6" t="s">
        <v>473</v>
      </c>
      <c r="D334" s="6">
        <v>0</v>
      </c>
      <c r="E334" s="6">
        <v>0</v>
      </c>
      <c r="F334" s="6">
        <v>0</v>
      </c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>
        <v>74014551</v>
      </c>
    </row>
    <row r="335" spans="1:50" x14ac:dyDescent="0.2">
      <c r="A335" s="6">
        <v>1</v>
      </c>
      <c r="B335" s="6" t="s">
        <v>474</v>
      </c>
      <c r="C335" s="6" t="s">
        <v>475</v>
      </c>
      <c r="D335" s="6">
        <v>2026</v>
      </c>
      <c r="E335" s="6">
        <v>9</v>
      </c>
      <c r="F335" s="6">
        <v>1</v>
      </c>
      <c r="G335" s="6">
        <v>1</v>
      </c>
      <c r="H335" s="6">
        <v>0</v>
      </c>
      <c r="I335" s="6">
        <v>2</v>
      </c>
      <c r="J335" s="6">
        <v>1</v>
      </c>
      <c r="K335" s="6">
        <v>1</v>
      </c>
      <c r="L335" s="6">
        <v>1</v>
      </c>
      <c r="M335" s="6">
        <v>1</v>
      </c>
      <c r="N335" s="6">
        <v>1</v>
      </c>
      <c r="O335" s="6">
        <v>1</v>
      </c>
      <c r="P335" s="6">
        <v>1</v>
      </c>
      <c r="Q335" s="6">
        <v>1</v>
      </c>
      <c r="R335" s="6" t="s">
        <v>3</v>
      </c>
      <c r="S335" s="6" t="s">
        <v>3</v>
      </c>
      <c r="T335" s="6" t="s">
        <v>3</v>
      </c>
      <c r="U335" s="6" t="s">
        <v>3</v>
      </c>
      <c r="V335" s="6" t="s">
        <v>3</v>
      </c>
      <c r="W335" s="6" t="s">
        <v>3</v>
      </c>
      <c r="X335" s="6" t="s">
        <v>3</v>
      </c>
      <c r="Y335" s="6" t="s">
        <v>3</v>
      </c>
      <c r="Z335" s="6" t="s">
        <v>3</v>
      </c>
      <c r="AA335" s="6" t="s">
        <v>3</v>
      </c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>
        <v>74014552</v>
      </c>
      <c r="AO335" s="6" t="s">
        <v>476</v>
      </c>
      <c r="AP335" s="6" t="s">
        <v>477</v>
      </c>
      <c r="AQ335" s="6">
        <v>46258</v>
      </c>
      <c r="AR335" s="6">
        <v>423</v>
      </c>
      <c r="AS335" s="6" t="s">
        <v>478</v>
      </c>
      <c r="AT335" s="6" t="s">
        <v>479</v>
      </c>
      <c r="AU335" s="6" t="s">
        <v>477</v>
      </c>
      <c r="AV335" s="6">
        <v>46087</v>
      </c>
      <c r="AW335" s="6">
        <v>250</v>
      </c>
      <c r="AX335" s="6" t="s">
        <v>480</v>
      </c>
    </row>
    <row r="339" spans="1:5" x14ac:dyDescent="0.2">
      <c r="A339">
        <v>65</v>
      </c>
      <c r="C339">
        <v>1</v>
      </c>
      <c r="D339">
        <v>0</v>
      </c>
      <c r="E339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481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19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46248</v>
      </c>
      <c r="CT12" s="7">
        <v>570</v>
      </c>
      <c r="CU12" s="7">
        <v>19</v>
      </c>
      <c r="CV12" s="7" t="s">
        <v>845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74014550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ROUND((Source!F255)/1000,2)</f>
        <v>314.27999999999997</v>
      </c>
      <c r="F16" s="9">
        <f>ROUND((Source!F256)/1000,2)</f>
        <v>14.24</v>
      </c>
      <c r="G16" s="9">
        <f>ROUND((Source!F247)/1000,2)</f>
        <v>0</v>
      </c>
      <c r="H16" s="9">
        <f>ROUND((Source!F257)/1000+(Source!F258)/1000,2)</f>
        <v>0</v>
      </c>
      <c r="I16" s="9">
        <f>E16+F16+G16+H16</f>
        <v>328.52</v>
      </c>
      <c r="J16" s="9">
        <f>ROUND((Source!F253+Source!F252)/1000,2)</f>
        <v>70.64</v>
      </c>
      <c r="K16" s="9">
        <v>306.89999999999998</v>
      </c>
      <c r="L16" s="9">
        <v>0</v>
      </c>
      <c r="M16" s="9">
        <v>0</v>
      </c>
      <c r="N16" s="9">
        <f>I16+L16+M16</f>
        <v>328.52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210262.06000000003</v>
      </c>
      <c r="AU16" s="9">
        <v>96642.05</v>
      </c>
      <c r="AV16" s="9">
        <v>0</v>
      </c>
      <c r="AW16" s="9">
        <v>0</v>
      </c>
      <c r="AX16" s="9">
        <v>0</v>
      </c>
      <c r="AY16" s="9">
        <v>42984.009999999995</v>
      </c>
      <c r="AZ16" s="9">
        <v>14698.73</v>
      </c>
      <c r="BA16" s="9">
        <v>55937.270000000004</v>
      </c>
      <c r="BB16" s="9">
        <v>314279.77</v>
      </c>
      <c r="BC16" s="9">
        <v>14238.73</v>
      </c>
      <c r="BD16" s="9">
        <v>0</v>
      </c>
      <c r="BE16" s="9">
        <v>0</v>
      </c>
      <c r="BF16" s="9">
        <v>150.46112500000001</v>
      </c>
      <c r="BG16" s="9">
        <v>30.978373600000001</v>
      </c>
      <c r="BH16" s="9">
        <v>0</v>
      </c>
      <c r="BI16" s="9">
        <v>76006.48</v>
      </c>
      <c r="BJ16" s="9">
        <v>42249.96</v>
      </c>
      <c r="BK16" s="9">
        <v>328518.5</v>
      </c>
    </row>
    <row r="18" spans="1:16" x14ac:dyDescent="0.2">
      <c r="A18" s="2">
        <v>51</v>
      </c>
      <c r="E18" s="2">
        <v>314.27999999999997</v>
      </c>
      <c r="F18" s="2">
        <v>14.24</v>
      </c>
      <c r="G18" s="2">
        <v>0</v>
      </c>
      <c r="H18" s="2">
        <v>0</v>
      </c>
      <c r="I18" s="2">
        <v>328.52</v>
      </c>
      <c r="J18" s="2">
        <v>70.64</v>
      </c>
      <c r="K18" s="2">
        <v>306.89999999999998</v>
      </c>
      <c r="L18" s="2">
        <v>0</v>
      </c>
      <c r="M18" s="2">
        <v>0</v>
      </c>
      <c r="N18" s="2">
        <v>328.52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210262.06000000003</v>
      </c>
      <c r="G20" s="10" t="s">
        <v>61</v>
      </c>
      <c r="H20" s="10" t="s">
        <v>62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96642.05</v>
      </c>
      <c r="G21" s="10" t="s">
        <v>63</v>
      </c>
      <c r="H21" s="10" t="s">
        <v>64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65</v>
      </c>
      <c r="H22" s="10" t="s">
        <v>66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96642.05</v>
      </c>
      <c r="G23" s="10" t="s">
        <v>67</v>
      </c>
      <c r="H23" s="10" t="s">
        <v>68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96642.05</v>
      </c>
      <c r="G24" s="10" t="s">
        <v>69</v>
      </c>
      <c r="H24" s="10" t="s">
        <v>70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71</v>
      </c>
      <c r="H25" s="10" t="s">
        <v>72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96642.05</v>
      </c>
      <c r="G26" s="10" t="s">
        <v>73</v>
      </c>
      <c r="H26" s="10" t="s">
        <v>74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0</v>
      </c>
      <c r="G27" s="10" t="s">
        <v>75</v>
      </c>
      <c r="H27" s="10" t="s">
        <v>76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77</v>
      </c>
      <c r="H28" s="10" t="s">
        <v>78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0</v>
      </c>
      <c r="G29" s="10" t="s">
        <v>79</v>
      </c>
      <c r="H29" s="10" t="s">
        <v>80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42984.010000000009</v>
      </c>
      <c r="G30" s="10" t="s">
        <v>81</v>
      </c>
      <c r="H30" s="10" t="s">
        <v>82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83</v>
      </c>
      <c r="H31" s="10" t="s">
        <v>84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14698.729999999998</v>
      </c>
      <c r="G32" s="10" t="s">
        <v>85</v>
      </c>
      <c r="H32" s="10" t="s">
        <v>86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55937.270000000019</v>
      </c>
      <c r="G33" s="10" t="s">
        <v>87</v>
      </c>
      <c r="H33" s="10" t="s">
        <v>88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89</v>
      </c>
      <c r="H34" s="10" t="s">
        <v>90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314279.77</v>
      </c>
      <c r="G35" s="10" t="s">
        <v>91</v>
      </c>
      <c r="H35" s="10" t="s">
        <v>92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14238.73</v>
      </c>
      <c r="G36" s="10" t="s">
        <v>93</v>
      </c>
      <c r="H36" s="10" t="s">
        <v>94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95</v>
      </c>
      <c r="H37" s="10" t="s">
        <v>96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97</v>
      </c>
      <c r="H38" s="10" t="s">
        <v>98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99</v>
      </c>
      <c r="H39" s="10" t="s">
        <v>100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150.46112500000001</v>
      </c>
      <c r="G40" s="10" t="s">
        <v>101</v>
      </c>
      <c r="H40" s="10" t="s">
        <v>102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30.978373600000001</v>
      </c>
      <c r="G41" s="10" t="s">
        <v>103</v>
      </c>
      <c r="H41" s="10" t="s">
        <v>104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105</v>
      </c>
      <c r="H42" s="10" t="s">
        <v>106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107</v>
      </c>
      <c r="H43" s="10" t="s">
        <v>108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76006.48</v>
      </c>
      <c r="G44" s="10" t="s">
        <v>109</v>
      </c>
      <c r="H44" s="10" t="s">
        <v>110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42249.96</v>
      </c>
      <c r="G45" s="10" t="s">
        <v>111</v>
      </c>
      <c r="H45" s="10" t="s">
        <v>112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328518.5</v>
      </c>
      <c r="G46" s="10" t="s">
        <v>113</v>
      </c>
      <c r="H46" s="10" t="s">
        <v>114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210262</v>
      </c>
      <c r="G47" s="10" t="s">
        <v>393</v>
      </c>
      <c r="H47" s="10" t="s">
        <v>394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76006</v>
      </c>
      <c r="G48" s="10" t="s">
        <v>395</v>
      </c>
      <c r="H48" s="10" t="s">
        <v>110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42250</v>
      </c>
      <c r="G49" s="10" t="s">
        <v>396</v>
      </c>
      <c r="H49" s="10" t="s">
        <v>112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328518</v>
      </c>
      <c r="G50" s="10" t="s">
        <v>397</v>
      </c>
      <c r="H50" s="10" t="s">
        <v>398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4928</v>
      </c>
      <c r="G51" s="10" t="s">
        <v>399</v>
      </c>
      <c r="H51" s="10" t="s">
        <v>400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333446</v>
      </c>
      <c r="G52" s="10" t="s">
        <v>401</v>
      </c>
      <c r="H52" s="10" t="s">
        <v>398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66689</v>
      </c>
      <c r="G53" s="10" t="s">
        <v>402</v>
      </c>
      <c r="H53" s="10" t="s">
        <v>403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400135</v>
      </c>
      <c r="G54" s="10" t="s">
        <v>404</v>
      </c>
      <c r="H54" s="10" t="s">
        <v>113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471</v>
      </c>
      <c r="C59" s="11">
        <v>2026</v>
      </c>
      <c r="D59" s="11">
        <v>0</v>
      </c>
      <c r="E59" s="11">
        <v>9</v>
      </c>
      <c r="F59" s="11">
        <v>1</v>
      </c>
      <c r="G59" s="11">
        <v>0</v>
      </c>
      <c r="H59" s="11">
        <v>1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74014550</v>
      </c>
      <c r="O59" s="11">
        <v>1</v>
      </c>
    </row>
    <row r="60" spans="1:50" x14ac:dyDescent="0.2">
      <c r="A60" s="12">
        <v>2</v>
      </c>
      <c r="B60" s="12" t="s">
        <v>472</v>
      </c>
      <c r="C60" s="12" t="s">
        <v>473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74014551</v>
      </c>
    </row>
    <row r="61" spans="1:50" x14ac:dyDescent="0.2">
      <c r="A61" s="12">
        <v>1</v>
      </c>
      <c r="B61" s="12" t="s">
        <v>474</v>
      </c>
      <c r="C61" s="12" t="s">
        <v>475</v>
      </c>
      <c r="D61" s="12">
        <v>2026</v>
      </c>
      <c r="E61" s="12">
        <v>9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74014552</v>
      </c>
      <c r="AO61" s="12" t="s">
        <v>476</v>
      </c>
      <c r="AP61" s="12" t="s">
        <v>477</v>
      </c>
      <c r="AQ61" s="12">
        <v>46258</v>
      </c>
      <c r="AR61" s="12">
        <v>423</v>
      </c>
      <c r="AS61" s="12" t="s">
        <v>478</v>
      </c>
      <c r="AT61" s="12" t="s">
        <v>479</v>
      </c>
      <c r="AU61" s="12" t="s">
        <v>477</v>
      </c>
      <c r="AV61" s="12">
        <v>46087</v>
      </c>
      <c r="AW61" s="12">
        <v>250</v>
      </c>
      <c r="AX61" s="12" t="s">
        <v>480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0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ROW(Source!A28)</f>
        <v>28</v>
      </c>
      <c r="B1">
        <v>74014550</v>
      </c>
      <c r="C1">
        <v>74015987</v>
      </c>
      <c r="D1">
        <v>20049115</v>
      </c>
      <c r="E1">
        <v>117</v>
      </c>
      <c r="F1">
        <v>1</v>
      </c>
      <c r="G1">
        <v>1</v>
      </c>
      <c r="H1">
        <v>1</v>
      </c>
      <c r="I1" t="s">
        <v>482</v>
      </c>
      <c r="J1" t="s">
        <v>3</v>
      </c>
      <c r="K1" t="s">
        <v>483</v>
      </c>
      <c r="L1">
        <v>1191</v>
      </c>
      <c r="N1">
        <v>1013</v>
      </c>
      <c r="O1" t="s">
        <v>484</v>
      </c>
      <c r="P1" t="s">
        <v>484</v>
      </c>
      <c r="Q1">
        <v>1</v>
      </c>
      <c r="W1">
        <v>0</v>
      </c>
      <c r="X1">
        <v>-1417349443</v>
      </c>
      <c r="Y1">
        <f t="shared" ref="Y1:Y32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74015990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ROUND(Y1*Source!I28,7)</f>
        <v>2.8815</v>
      </c>
      <c r="CY1">
        <f>AD1</f>
        <v>0</v>
      </c>
      <c r="CZ1">
        <f>AH1</f>
        <v>0</v>
      </c>
      <c r="DA1">
        <f>AL1</f>
        <v>1</v>
      </c>
      <c r="DB1">
        <f t="shared" ref="DB1:DB32" si="1">ROUND(ROUND(AT1*CZ1,2),6)</f>
        <v>0</v>
      </c>
      <c r="DC1">
        <f t="shared" ref="DC1:DC32" si="2">ROUND(ROUND(AT1*AG1,2),6)</f>
        <v>0</v>
      </c>
      <c r="DD1" t="s">
        <v>3</v>
      </c>
      <c r="DE1" t="s">
        <v>3</v>
      </c>
      <c r="DF1">
        <f t="shared" ref="DF1:DF17" si="3">ROUND(ROUND(AE1,2)*CX1,2)</f>
        <v>0</v>
      </c>
      <c r="DG1">
        <f>ROUND(ROUND(AF1,2)*CX1,2)</f>
        <v>0</v>
      </c>
      <c r="DH1">
        <f t="shared" ref="DH1:DH64" si="4">ROUND(ROUND(AG1,2)*CX1,2)</f>
        <v>0</v>
      </c>
      <c r="DI1">
        <f t="shared" ref="DI1:DI64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ROW(Source!A28)</f>
        <v>28</v>
      </c>
      <c r="B2">
        <v>74014550</v>
      </c>
      <c r="C2">
        <v>74015987</v>
      </c>
      <c r="D2">
        <v>68782761</v>
      </c>
      <c r="E2">
        <v>1</v>
      </c>
      <c r="F2">
        <v>1</v>
      </c>
      <c r="G2">
        <v>1</v>
      </c>
      <c r="H2">
        <v>2</v>
      </c>
      <c r="I2" t="s">
        <v>485</v>
      </c>
      <c r="J2" t="s">
        <v>486</v>
      </c>
      <c r="K2" t="s">
        <v>487</v>
      </c>
      <c r="L2">
        <v>1368</v>
      </c>
      <c r="N2">
        <v>1011</v>
      </c>
      <c r="O2" t="s">
        <v>488</v>
      </c>
      <c r="P2" t="s">
        <v>488</v>
      </c>
      <c r="Q2">
        <v>1</v>
      </c>
      <c r="W2">
        <v>0</v>
      </c>
      <c r="X2">
        <v>-472970762</v>
      </c>
      <c r="Y2">
        <f t="shared" si="0"/>
        <v>25.5</v>
      </c>
      <c r="AA2">
        <v>0</v>
      </c>
      <c r="AB2">
        <v>1433.48</v>
      </c>
      <c r="AC2">
        <v>537.64</v>
      </c>
      <c r="AD2">
        <v>0</v>
      </c>
      <c r="AE2">
        <v>0</v>
      </c>
      <c r="AF2">
        <v>1054.03</v>
      </c>
      <c r="AG2">
        <v>537.64</v>
      </c>
      <c r="AH2">
        <v>0</v>
      </c>
      <c r="AI2">
        <v>1</v>
      </c>
      <c r="AJ2">
        <v>1.36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74015991</v>
      </c>
      <c r="AY2">
        <v>2</v>
      </c>
      <c r="AZ2">
        <v>65536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13709.82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13709.82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ROUND(Y2*Source!I28*DO2,7)</f>
        <v>2.8815</v>
      </c>
      <c r="CX2">
        <f>ROUND(Y2*Source!I28,7)</f>
        <v>2.8815</v>
      </c>
      <c r="CY2">
        <f>AB2</f>
        <v>1433.48</v>
      </c>
      <c r="CZ2">
        <f>AF2</f>
        <v>1054.03</v>
      </c>
      <c r="DA2">
        <f>AJ2</f>
        <v>1.36</v>
      </c>
      <c r="DB2">
        <f t="shared" si="1"/>
        <v>26877.77</v>
      </c>
      <c r="DC2">
        <f t="shared" si="2"/>
        <v>13709.82</v>
      </c>
      <c r="DD2" t="s">
        <v>3</v>
      </c>
      <c r="DE2" t="s">
        <v>3</v>
      </c>
      <c r="DF2">
        <f t="shared" si="3"/>
        <v>0</v>
      </c>
      <c r="DG2">
        <f>ROUND(ROUND(AF2*AJ2,2)*CX2,2)</f>
        <v>4130.57</v>
      </c>
      <c r="DH2">
        <f t="shared" si="4"/>
        <v>1549.21</v>
      </c>
      <c r="DI2">
        <f t="shared" si="5"/>
        <v>0</v>
      </c>
      <c r="DJ2">
        <f>DG2+DH2</f>
        <v>5679.78</v>
      </c>
      <c r="DK2">
        <v>0</v>
      </c>
      <c r="DL2" t="s">
        <v>489</v>
      </c>
      <c r="DM2">
        <v>6</v>
      </c>
      <c r="DN2" t="s">
        <v>484</v>
      </c>
      <c r="DO2">
        <v>1</v>
      </c>
    </row>
    <row r="3" spans="1:119" x14ac:dyDescent="0.2">
      <c r="A3">
        <f>ROW(Source!A29)</f>
        <v>29</v>
      </c>
      <c r="B3">
        <v>74014550</v>
      </c>
      <c r="C3">
        <v>74015992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490</v>
      </c>
      <c r="J3" t="s">
        <v>3</v>
      </c>
      <c r="K3" t="s">
        <v>491</v>
      </c>
      <c r="L3">
        <v>1191</v>
      </c>
      <c r="N3">
        <v>1013</v>
      </c>
      <c r="O3" t="s">
        <v>484</v>
      </c>
      <c r="P3" t="s">
        <v>484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325.57</v>
      </c>
      <c r="AE3">
        <v>0</v>
      </c>
      <c r="AF3">
        <v>0</v>
      </c>
      <c r="AG3">
        <v>0</v>
      </c>
      <c r="AH3">
        <v>325.57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74017904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50137.78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50137.78</v>
      </c>
      <c r="BU3">
        <v>154</v>
      </c>
      <c r="BV3">
        <v>0</v>
      </c>
      <c r="BW3">
        <v>1</v>
      </c>
      <c r="CU3">
        <f>ROUND(AT3*Source!I29*AH3*AL3,2)</f>
        <v>13537.2</v>
      </c>
      <c r="CV3">
        <f>ROUND(Y3*Source!I29,7)</f>
        <v>41.58</v>
      </c>
      <c r="CW3">
        <v>0</v>
      </c>
      <c r="CX3">
        <f>ROUND(Y3*Source!I29,7)</f>
        <v>41.58</v>
      </c>
      <c r="CY3">
        <f>AD3</f>
        <v>325.57</v>
      </c>
      <c r="CZ3">
        <f>AH3</f>
        <v>325.57</v>
      </c>
      <c r="DA3">
        <f>AL3</f>
        <v>1</v>
      </c>
      <c r="DB3">
        <f t="shared" si="1"/>
        <v>50137.78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>ROUND(ROUND(AF3,2)*CX3,2)</f>
        <v>0</v>
      </c>
      <c r="DH3">
        <f t="shared" si="4"/>
        <v>0</v>
      </c>
      <c r="DI3">
        <f t="shared" si="5"/>
        <v>13537.2</v>
      </c>
      <c r="DJ3">
        <f>DI3</f>
        <v>13537.2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ROW(Source!A30)</f>
        <v>30</v>
      </c>
      <c r="B4">
        <v>74014550</v>
      </c>
      <c r="C4">
        <v>74015995</v>
      </c>
      <c r="D4">
        <v>20050957</v>
      </c>
      <c r="E4">
        <v>119</v>
      </c>
      <c r="F4">
        <v>1</v>
      </c>
      <c r="G4">
        <v>1</v>
      </c>
      <c r="H4">
        <v>1</v>
      </c>
      <c r="I4" t="s">
        <v>492</v>
      </c>
      <c r="J4" t="s">
        <v>3</v>
      </c>
      <c r="K4" t="s">
        <v>493</v>
      </c>
      <c r="L4">
        <v>1191</v>
      </c>
      <c r="N4">
        <v>1013</v>
      </c>
      <c r="O4" t="s">
        <v>484</v>
      </c>
      <c r="P4" t="s">
        <v>484</v>
      </c>
      <c r="Q4">
        <v>1</v>
      </c>
      <c r="W4">
        <v>0</v>
      </c>
      <c r="X4">
        <v>-1991603921</v>
      </c>
      <c r="Y4">
        <f t="shared" si="0"/>
        <v>10.199999999999999</v>
      </c>
      <c r="AA4">
        <v>0</v>
      </c>
      <c r="AB4">
        <v>0</v>
      </c>
      <c r="AC4">
        <v>0</v>
      </c>
      <c r="AD4">
        <v>340.51</v>
      </c>
      <c r="AE4">
        <v>0</v>
      </c>
      <c r="AF4">
        <v>0</v>
      </c>
      <c r="AG4">
        <v>0</v>
      </c>
      <c r="AH4">
        <v>340.51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10.199999999999999</v>
      </c>
      <c r="AU4" t="s">
        <v>3</v>
      </c>
      <c r="AV4">
        <v>1</v>
      </c>
      <c r="AW4">
        <v>2</v>
      </c>
      <c r="AX4">
        <v>74015999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3473.2019999999998</v>
      </c>
      <c r="BN4">
        <v>10.199999999999999</v>
      </c>
      <c r="BO4">
        <v>0</v>
      </c>
      <c r="BP4">
        <v>1</v>
      </c>
      <c r="BQ4">
        <v>0</v>
      </c>
      <c r="BR4">
        <v>0</v>
      </c>
      <c r="BS4">
        <v>0</v>
      </c>
      <c r="BT4">
        <v>3473.2019999999998</v>
      </c>
      <c r="BU4">
        <v>10.199999999999999</v>
      </c>
      <c r="BV4">
        <v>0</v>
      </c>
      <c r="BW4">
        <v>1</v>
      </c>
      <c r="CU4">
        <f>ROUND(AT4*Source!I30*AH4*AL4,2)</f>
        <v>7050.6</v>
      </c>
      <c r="CV4">
        <f>ROUND(Y4*Source!I30,7)</f>
        <v>20.706</v>
      </c>
      <c r="CW4">
        <v>0</v>
      </c>
      <c r="CX4">
        <f>ROUND(Y4*Source!I30,7)</f>
        <v>20.706</v>
      </c>
      <c r="CY4">
        <f>AD4</f>
        <v>340.51</v>
      </c>
      <c r="CZ4">
        <f>AH4</f>
        <v>340.51</v>
      </c>
      <c r="DA4">
        <f>AL4</f>
        <v>1</v>
      </c>
      <c r="DB4">
        <f t="shared" si="1"/>
        <v>3473.2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>ROUND(ROUND(AF4,2)*CX4,2)</f>
        <v>0</v>
      </c>
      <c r="DH4">
        <f t="shared" si="4"/>
        <v>0</v>
      </c>
      <c r="DI4">
        <f t="shared" si="5"/>
        <v>7050.6</v>
      </c>
      <c r="DJ4">
        <f>DI4</f>
        <v>7050.6</v>
      </c>
      <c r="DK4">
        <v>1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ROW(Source!A30)</f>
        <v>30</v>
      </c>
      <c r="B5">
        <v>74014550</v>
      </c>
      <c r="C5">
        <v>74015995</v>
      </c>
      <c r="D5">
        <v>20049115</v>
      </c>
      <c r="E5">
        <v>119</v>
      </c>
      <c r="F5">
        <v>1</v>
      </c>
      <c r="G5">
        <v>1</v>
      </c>
      <c r="H5">
        <v>1</v>
      </c>
      <c r="I5" t="s">
        <v>482</v>
      </c>
      <c r="J5" t="s">
        <v>3</v>
      </c>
      <c r="K5" t="s">
        <v>483</v>
      </c>
      <c r="L5">
        <v>1191</v>
      </c>
      <c r="N5">
        <v>1013</v>
      </c>
      <c r="O5" t="s">
        <v>484</v>
      </c>
      <c r="P5" t="s">
        <v>484</v>
      </c>
      <c r="Q5">
        <v>1</v>
      </c>
      <c r="W5">
        <v>0</v>
      </c>
      <c r="X5">
        <v>-1417349443</v>
      </c>
      <c r="Y5">
        <f t="shared" si="0"/>
        <v>0.32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0.32</v>
      </c>
      <c r="AU5" t="s">
        <v>3</v>
      </c>
      <c r="AV5">
        <v>2</v>
      </c>
      <c r="AW5">
        <v>2</v>
      </c>
      <c r="AX5">
        <v>74016000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V5">
        <v>0</v>
      </c>
      <c r="CW5">
        <v>0</v>
      </c>
      <c r="CX5">
        <f>ROUND(Y5*Source!I30,7)</f>
        <v>0.64959999999999996</v>
      </c>
      <c r="CY5">
        <f>AD5</f>
        <v>0</v>
      </c>
      <c r="CZ5">
        <f>AH5</f>
        <v>0</v>
      </c>
      <c r="DA5">
        <f>AL5</f>
        <v>1</v>
      </c>
      <c r="DB5">
        <f t="shared" si="1"/>
        <v>0</v>
      </c>
      <c r="DC5">
        <f t="shared" si="2"/>
        <v>0</v>
      </c>
      <c r="DD5" t="s">
        <v>3</v>
      </c>
      <c r="DE5" t="s">
        <v>3</v>
      </c>
      <c r="DF5">
        <f t="shared" si="3"/>
        <v>0</v>
      </c>
      <c r="DG5">
        <f>ROUND(ROUND(AF5,2)*CX5,2)</f>
        <v>0</v>
      </c>
      <c r="DH5">
        <f t="shared" si="4"/>
        <v>0</v>
      </c>
      <c r="DI5">
        <f t="shared" si="5"/>
        <v>0</v>
      </c>
      <c r="DJ5">
        <f>DI5</f>
        <v>0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ROW(Source!A30)</f>
        <v>30</v>
      </c>
      <c r="B6">
        <v>74014550</v>
      </c>
      <c r="C6">
        <v>74015995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494</v>
      </c>
      <c r="J6" t="s">
        <v>495</v>
      </c>
      <c r="K6" t="s">
        <v>496</v>
      </c>
      <c r="L6">
        <v>1368</v>
      </c>
      <c r="N6">
        <v>1011</v>
      </c>
      <c r="O6" t="s">
        <v>488</v>
      </c>
      <c r="P6" t="s">
        <v>488</v>
      </c>
      <c r="Q6">
        <v>1</v>
      </c>
      <c r="W6">
        <v>0</v>
      </c>
      <c r="X6">
        <v>-1368259184</v>
      </c>
      <c r="Y6">
        <f t="shared" si="0"/>
        <v>0.32</v>
      </c>
      <c r="AA6">
        <v>0</v>
      </c>
      <c r="AB6">
        <v>1681.82</v>
      </c>
      <c r="AC6">
        <v>459.98</v>
      </c>
      <c r="AD6">
        <v>0</v>
      </c>
      <c r="AE6">
        <v>0</v>
      </c>
      <c r="AF6">
        <v>1681.82</v>
      </c>
      <c r="AG6">
        <v>459.98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</v>
      </c>
      <c r="AV6">
        <v>1</v>
      </c>
      <c r="AW6">
        <v>2</v>
      </c>
      <c r="AX6">
        <v>74016001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538.18240000000003</v>
      </c>
      <c r="BL6">
        <v>147.1936</v>
      </c>
      <c r="BM6">
        <v>0</v>
      </c>
      <c r="BN6">
        <v>0</v>
      </c>
      <c r="BO6">
        <v>0.32</v>
      </c>
      <c r="BP6">
        <v>1</v>
      </c>
      <c r="BQ6">
        <v>0</v>
      </c>
      <c r="BR6">
        <v>538.18240000000003</v>
      </c>
      <c r="BS6">
        <v>147.1936</v>
      </c>
      <c r="BT6">
        <v>0</v>
      </c>
      <c r="BU6">
        <v>0</v>
      </c>
      <c r="BV6">
        <v>0.32</v>
      </c>
      <c r="BW6">
        <v>1</v>
      </c>
      <c r="CV6">
        <v>0</v>
      </c>
      <c r="CW6">
        <f>ROUND(Y6*Source!I30*DO6,7)</f>
        <v>0.64959999999999996</v>
      </c>
      <c r="CX6">
        <f>ROUND(Y6*Source!I30,7)</f>
        <v>0.64959999999999996</v>
      </c>
      <c r="CY6">
        <f>AB6</f>
        <v>1681.82</v>
      </c>
      <c r="CZ6">
        <f>AF6</f>
        <v>1681.82</v>
      </c>
      <c r="DA6">
        <f>AJ6</f>
        <v>1</v>
      </c>
      <c r="DB6">
        <f t="shared" si="1"/>
        <v>538.17999999999995</v>
      </c>
      <c r="DC6">
        <f t="shared" si="2"/>
        <v>147.19</v>
      </c>
      <c r="DD6" t="s">
        <v>3</v>
      </c>
      <c r="DE6" t="s">
        <v>3</v>
      </c>
      <c r="DF6">
        <f t="shared" si="3"/>
        <v>0</v>
      </c>
      <c r="DG6">
        <f>ROUND(ROUND(AF6,2)*CX6,2)</f>
        <v>1092.51</v>
      </c>
      <c r="DH6">
        <f t="shared" si="4"/>
        <v>298.8</v>
      </c>
      <c r="DI6">
        <f t="shared" si="5"/>
        <v>0</v>
      </c>
      <c r="DJ6">
        <f>DG6+DH6</f>
        <v>1391.31</v>
      </c>
      <c r="DK6">
        <v>1</v>
      </c>
      <c r="DL6" t="s">
        <v>497</v>
      </c>
      <c r="DM6">
        <v>5</v>
      </c>
      <c r="DN6" t="s">
        <v>484</v>
      </c>
      <c r="DO6">
        <v>1</v>
      </c>
    </row>
    <row r="7" spans="1:119" x14ac:dyDescent="0.2">
      <c r="A7">
        <f>ROW(Source!A32)</f>
        <v>32</v>
      </c>
      <c r="B7">
        <v>74014550</v>
      </c>
      <c r="C7">
        <v>74016004</v>
      </c>
      <c r="D7">
        <v>20049115</v>
      </c>
      <c r="E7">
        <v>117</v>
      </c>
      <c r="F7">
        <v>1</v>
      </c>
      <c r="G7">
        <v>1</v>
      </c>
      <c r="H7">
        <v>1</v>
      </c>
      <c r="I7" t="s">
        <v>482</v>
      </c>
      <c r="J7" t="s">
        <v>3</v>
      </c>
      <c r="K7" t="s">
        <v>483</v>
      </c>
      <c r="L7">
        <v>1191</v>
      </c>
      <c r="N7">
        <v>1013</v>
      </c>
      <c r="O7" t="s">
        <v>484</v>
      </c>
      <c r="P7" t="s">
        <v>484</v>
      </c>
      <c r="Q7">
        <v>1</v>
      </c>
      <c r="W7">
        <v>0</v>
      </c>
      <c r="X7">
        <v>-1417349443</v>
      </c>
      <c r="Y7">
        <f t="shared" si="0"/>
        <v>8.06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1</v>
      </c>
      <c r="AM7">
        <v>-2</v>
      </c>
      <c r="AN7">
        <v>0</v>
      </c>
      <c r="AO7">
        <v>0</v>
      </c>
      <c r="AP7">
        <v>1</v>
      </c>
      <c r="AQ7">
        <v>1</v>
      </c>
      <c r="AR7">
        <v>0</v>
      </c>
      <c r="AS7" t="s">
        <v>3</v>
      </c>
      <c r="AT7">
        <v>8.06</v>
      </c>
      <c r="AU7" t="s">
        <v>3</v>
      </c>
      <c r="AV7">
        <v>2</v>
      </c>
      <c r="AW7">
        <v>2</v>
      </c>
      <c r="AX7">
        <v>74016007</v>
      </c>
      <c r="AY7">
        <v>1</v>
      </c>
      <c r="AZ7">
        <v>0</v>
      </c>
      <c r="BA7">
        <v>8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V7">
        <v>0</v>
      </c>
      <c r="CW7">
        <v>0</v>
      </c>
      <c r="CX7">
        <f>ROUND(Y7*Source!I32,7)</f>
        <v>0.93496000000000001</v>
      </c>
      <c r="CY7">
        <f>AD7</f>
        <v>0</v>
      </c>
      <c r="CZ7">
        <f>AH7</f>
        <v>0</v>
      </c>
      <c r="DA7">
        <f>AL7</f>
        <v>1</v>
      </c>
      <c r="DB7">
        <f t="shared" si="1"/>
        <v>0</v>
      </c>
      <c r="DC7">
        <f t="shared" si="2"/>
        <v>0</v>
      </c>
      <c r="DD7" t="s">
        <v>3</v>
      </c>
      <c r="DE7" t="s">
        <v>3</v>
      </c>
      <c r="DF7">
        <f t="shared" si="3"/>
        <v>0</v>
      </c>
      <c r="DG7">
        <f>ROUND(ROUND(AF7,2)*CX7,2)</f>
        <v>0</v>
      </c>
      <c r="DH7">
        <f t="shared" si="4"/>
        <v>0</v>
      </c>
      <c r="DI7">
        <f t="shared" si="5"/>
        <v>0</v>
      </c>
      <c r="DJ7">
        <f>DI7</f>
        <v>0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ROW(Source!A32)</f>
        <v>32</v>
      </c>
      <c r="B8">
        <v>74014550</v>
      </c>
      <c r="C8">
        <v>74016004</v>
      </c>
      <c r="D8">
        <v>68782715</v>
      </c>
      <c r="E8">
        <v>1</v>
      </c>
      <c r="F8">
        <v>1</v>
      </c>
      <c r="G8">
        <v>1</v>
      </c>
      <c r="H8">
        <v>2</v>
      </c>
      <c r="I8" t="s">
        <v>498</v>
      </c>
      <c r="J8" t="s">
        <v>499</v>
      </c>
      <c r="K8" t="s">
        <v>500</v>
      </c>
      <c r="L8">
        <v>1368</v>
      </c>
      <c r="N8">
        <v>1011</v>
      </c>
      <c r="O8" t="s">
        <v>488</v>
      </c>
      <c r="P8" t="s">
        <v>488</v>
      </c>
      <c r="Q8">
        <v>1</v>
      </c>
      <c r="W8">
        <v>0</v>
      </c>
      <c r="X8">
        <v>1445775709</v>
      </c>
      <c r="Y8">
        <f t="shared" si="0"/>
        <v>8.06</v>
      </c>
      <c r="AA8">
        <v>0</v>
      </c>
      <c r="AB8">
        <v>1167.71</v>
      </c>
      <c r="AC8">
        <v>459.98</v>
      </c>
      <c r="AD8">
        <v>0</v>
      </c>
      <c r="AE8">
        <v>0</v>
      </c>
      <c r="AF8">
        <v>828.16</v>
      </c>
      <c r="AG8">
        <v>459.98</v>
      </c>
      <c r="AH8">
        <v>0</v>
      </c>
      <c r="AI8">
        <v>1</v>
      </c>
      <c r="AJ8">
        <v>1.41</v>
      </c>
      <c r="AK8">
        <v>1</v>
      </c>
      <c r="AL8">
        <v>1</v>
      </c>
      <c r="AM8">
        <v>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8.06</v>
      </c>
      <c r="AU8" t="s">
        <v>3</v>
      </c>
      <c r="AV8">
        <v>1</v>
      </c>
      <c r="AW8">
        <v>2</v>
      </c>
      <c r="AX8">
        <v>74016008</v>
      </c>
      <c r="AY8">
        <v>2</v>
      </c>
      <c r="AZ8">
        <v>65536</v>
      </c>
      <c r="BA8">
        <v>9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6674.9696000000004</v>
      </c>
      <c r="BL8">
        <v>3707.4388000000004</v>
      </c>
      <c r="BM8">
        <v>0</v>
      </c>
      <c r="BN8">
        <v>0</v>
      </c>
      <c r="BO8">
        <v>8.06</v>
      </c>
      <c r="BP8">
        <v>1</v>
      </c>
      <c r="BQ8">
        <v>0</v>
      </c>
      <c r="BR8">
        <v>6674.9696000000004</v>
      </c>
      <c r="BS8">
        <v>3707.4388000000004</v>
      </c>
      <c r="BT8">
        <v>0</v>
      </c>
      <c r="BU8">
        <v>0</v>
      </c>
      <c r="BV8">
        <v>8.06</v>
      </c>
      <c r="BW8">
        <v>1</v>
      </c>
      <c r="CV8">
        <v>0</v>
      </c>
      <c r="CW8">
        <f>ROUND(Y8*Source!I32*DO8,7)</f>
        <v>0.93496000000000001</v>
      </c>
      <c r="CX8">
        <f>ROUND(Y8*Source!I32,7)</f>
        <v>0.93496000000000001</v>
      </c>
      <c r="CY8">
        <f>AB8</f>
        <v>1167.71</v>
      </c>
      <c r="CZ8">
        <f>AF8</f>
        <v>828.16</v>
      </c>
      <c r="DA8">
        <f>AJ8</f>
        <v>1.41</v>
      </c>
      <c r="DB8">
        <f t="shared" si="1"/>
        <v>6674.97</v>
      </c>
      <c r="DC8">
        <f t="shared" si="2"/>
        <v>3707.44</v>
      </c>
      <c r="DD8" t="s">
        <v>3</v>
      </c>
      <c r="DE8" t="s">
        <v>3</v>
      </c>
      <c r="DF8">
        <f t="shared" si="3"/>
        <v>0</v>
      </c>
      <c r="DG8">
        <f>ROUND(ROUND(AF8*AJ8,2)*CX8,2)</f>
        <v>1091.76</v>
      </c>
      <c r="DH8">
        <f t="shared" si="4"/>
        <v>430.06</v>
      </c>
      <c r="DI8">
        <f t="shared" si="5"/>
        <v>0</v>
      </c>
      <c r="DJ8">
        <f>DG8+DH8</f>
        <v>1521.82</v>
      </c>
      <c r="DK8">
        <v>0</v>
      </c>
      <c r="DL8" t="s">
        <v>497</v>
      </c>
      <c r="DM8">
        <v>5</v>
      </c>
      <c r="DN8" t="s">
        <v>484</v>
      </c>
      <c r="DO8">
        <v>1</v>
      </c>
    </row>
    <row r="9" spans="1:119" x14ac:dyDescent="0.2">
      <c r="A9">
        <f>ROW(Source!A33)</f>
        <v>33</v>
      </c>
      <c r="B9">
        <v>74014550</v>
      </c>
      <c r="C9">
        <v>74016009</v>
      </c>
      <c r="D9">
        <v>20055744</v>
      </c>
      <c r="E9">
        <v>117</v>
      </c>
      <c r="F9">
        <v>1</v>
      </c>
      <c r="G9">
        <v>1</v>
      </c>
      <c r="H9">
        <v>1</v>
      </c>
      <c r="I9" t="s">
        <v>501</v>
      </c>
      <c r="J9" t="s">
        <v>3</v>
      </c>
      <c r="K9" t="s">
        <v>502</v>
      </c>
      <c r="L9">
        <v>1191</v>
      </c>
      <c r="N9">
        <v>1013</v>
      </c>
      <c r="O9" t="s">
        <v>484</v>
      </c>
      <c r="P9" t="s">
        <v>484</v>
      </c>
      <c r="Q9">
        <v>1</v>
      </c>
      <c r="W9">
        <v>0</v>
      </c>
      <c r="X9">
        <v>-267883188</v>
      </c>
      <c r="Y9">
        <f t="shared" si="0"/>
        <v>97.2</v>
      </c>
      <c r="AA9">
        <v>0</v>
      </c>
      <c r="AB9">
        <v>0</v>
      </c>
      <c r="AC9">
        <v>0</v>
      </c>
      <c r="AD9">
        <v>312.13</v>
      </c>
      <c r="AE9">
        <v>0</v>
      </c>
      <c r="AF9">
        <v>0</v>
      </c>
      <c r="AG9">
        <v>0</v>
      </c>
      <c r="AH9">
        <v>312.13</v>
      </c>
      <c r="AI9">
        <v>1</v>
      </c>
      <c r="AJ9">
        <v>1</v>
      </c>
      <c r="AK9">
        <v>1</v>
      </c>
      <c r="AL9">
        <v>1</v>
      </c>
      <c r="AM9">
        <v>-2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97.2</v>
      </c>
      <c r="AU9" t="s">
        <v>3</v>
      </c>
      <c r="AV9">
        <v>1</v>
      </c>
      <c r="AW9">
        <v>2</v>
      </c>
      <c r="AX9">
        <v>74016011</v>
      </c>
      <c r="AY9">
        <v>2</v>
      </c>
      <c r="AZ9">
        <v>131072</v>
      </c>
      <c r="BA9">
        <v>10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30339.036</v>
      </c>
      <c r="BN9">
        <v>97.2</v>
      </c>
      <c r="BO9">
        <v>0</v>
      </c>
      <c r="BP9">
        <v>1</v>
      </c>
      <c r="BQ9">
        <v>0</v>
      </c>
      <c r="BR9">
        <v>0</v>
      </c>
      <c r="BS9">
        <v>0</v>
      </c>
      <c r="BT9">
        <v>30339.036</v>
      </c>
      <c r="BU9">
        <v>97.2</v>
      </c>
      <c r="BV9">
        <v>0</v>
      </c>
      <c r="BW9">
        <v>1</v>
      </c>
      <c r="CU9">
        <f>ROUND(AT9*Source!I33*AH9*AL9,2)</f>
        <v>3033.9</v>
      </c>
      <c r="CV9">
        <f>ROUND(Y9*Source!I33,7)</f>
        <v>9.7200000000000006</v>
      </c>
      <c r="CW9">
        <v>0</v>
      </c>
      <c r="CX9">
        <f>ROUND(Y9*Source!I33,7)</f>
        <v>9.7200000000000006</v>
      </c>
      <c r="CY9">
        <f>AD9</f>
        <v>312.13</v>
      </c>
      <c r="CZ9">
        <f>AH9</f>
        <v>312.13</v>
      </c>
      <c r="DA9">
        <f>AL9</f>
        <v>1</v>
      </c>
      <c r="DB9">
        <f t="shared" si="1"/>
        <v>30339.040000000001</v>
      </c>
      <c r="DC9">
        <f t="shared" si="2"/>
        <v>0</v>
      </c>
      <c r="DD9" t="s">
        <v>3</v>
      </c>
      <c r="DE9" t="s">
        <v>3</v>
      </c>
      <c r="DF9">
        <f t="shared" si="3"/>
        <v>0</v>
      </c>
      <c r="DG9">
        <f>ROUND(ROUND(AF9,2)*CX9,2)</f>
        <v>0</v>
      </c>
      <c r="DH9">
        <f t="shared" si="4"/>
        <v>0</v>
      </c>
      <c r="DI9">
        <f t="shared" si="5"/>
        <v>3033.9</v>
      </c>
      <c r="DJ9">
        <f>DI9</f>
        <v>3033.9</v>
      </c>
      <c r="DK9">
        <v>1</v>
      </c>
      <c r="DL9" t="s">
        <v>3</v>
      </c>
      <c r="DM9">
        <v>0</v>
      </c>
      <c r="DN9" t="s">
        <v>3</v>
      </c>
      <c r="DO9">
        <v>0</v>
      </c>
    </row>
    <row r="10" spans="1:119" x14ac:dyDescent="0.2">
      <c r="A10">
        <f>ROW(Source!A69)</f>
        <v>69</v>
      </c>
      <c r="B10">
        <v>74014550</v>
      </c>
      <c r="C10">
        <v>74016070</v>
      </c>
      <c r="D10">
        <v>72518640</v>
      </c>
      <c r="E10">
        <v>119</v>
      </c>
      <c r="F10">
        <v>1</v>
      </c>
      <c r="G10">
        <v>1</v>
      </c>
      <c r="H10">
        <v>1</v>
      </c>
      <c r="I10" t="s">
        <v>503</v>
      </c>
      <c r="J10" t="s">
        <v>3</v>
      </c>
      <c r="K10" t="s">
        <v>504</v>
      </c>
      <c r="L10">
        <v>1191</v>
      </c>
      <c r="N10">
        <v>1013</v>
      </c>
      <c r="O10" t="s">
        <v>484</v>
      </c>
      <c r="P10" t="s">
        <v>484</v>
      </c>
      <c r="Q10">
        <v>1</v>
      </c>
      <c r="W10">
        <v>0</v>
      </c>
      <c r="X10">
        <v>-1461236815</v>
      </c>
      <c r="Y10">
        <f t="shared" si="0"/>
        <v>20.51</v>
      </c>
      <c r="AA10">
        <v>0</v>
      </c>
      <c r="AB10">
        <v>0</v>
      </c>
      <c r="AC10">
        <v>0</v>
      </c>
      <c r="AD10">
        <v>373.36</v>
      </c>
      <c r="AE10">
        <v>0</v>
      </c>
      <c r="AF10">
        <v>0</v>
      </c>
      <c r="AG10">
        <v>0</v>
      </c>
      <c r="AH10">
        <v>373.36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20.51</v>
      </c>
      <c r="AU10" t="s">
        <v>3</v>
      </c>
      <c r="AV10">
        <v>1</v>
      </c>
      <c r="AW10">
        <v>2</v>
      </c>
      <c r="AX10">
        <v>74016773</v>
      </c>
      <c r="AY10">
        <v>1</v>
      </c>
      <c r="AZ10">
        <v>0</v>
      </c>
      <c r="BA10">
        <v>11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7657.6136000000006</v>
      </c>
      <c r="BN10">
        <v>20.51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7657.6136000000006</v>
      </c>
      <c r="BU10">
        <v>20.51</v>
      </c>
      <c r="BV10">
        <v>0</v>
      </c>
      <c r="BW10">
        <v>1</v>
      </c>
      <c r="CU10">
        <f>ROUND(AT10*Source!I69*AH10*AL10,2)</f>
        <v>153.15</v>
      </c>
      <c r="CV10">
        <f>ROUND(Y10*Source!I69,7)</f>
        <v>0.41020000000000001</v>
      </c>
      <c r="CW10">
        <v>0</v>
      </c>
      <c r="CX10">
        <f>ROUND(Y10*Source!I69,7)</f>
        <v>0.41020000000000001</v>
      </c>
      <c r="CY10">
        <f>AD10</f>
        <v>373.36</v>
      </c>
      <c r="CZ10">
        <f>AH10</f>
        <v>373.36</v>
      </c>
      <c r="DA10">
        <f>AL10</f>
        <v>1</v>
      </c>
      <c r="DB10">
        <f t="shared" si="1"/>
        <v>7657.61</v>
      </c>
      <c r="DC10">
        <f t="shared" si="2"/>
        <v>0</v>
      </c>
      <c r="DD10" t="s">
        <v>3</v>
      </c>
      <c r="DE10" t="s">
        <v>3</v>
      </c>
      <c r="DF10">
        <f t="shared" si="3"/>
        <v>0</v>
      </c>
      <c r="DG10">
        <f>ROUND(ROUND(AF10,2)*CX10,2)</f>
        <v>0</v>
      </c>
      <c r="DH10">
        <f t="shared" si="4"/>
        <v>0</v>
      </c>
      <c r="DI10">
        <f t="shared" si="5"/>
        <v>153.15</v>
      </c>
      <c r="DJ10">
        <f>DI10</f>
        <v>153.15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ROW(Source!A69)</f>
        <v>69</v>
      </c>
      <c r="B11">
        <v>74014550</v>
      </c>
      <c r="C11">
        <v>74016070</v>
      </c>
      <c r="D11">
        <v>72518826</v>
      </c>
      <c r="E11">
        <v>119</v>
      </c>
      <c r="F11">
        <v>1</v>
      </c>
      <c r="G11">
        <v>1</v>
      </c>
      <c r="H11">
        <v>1</v>
      </c>
      <c r="I11" t="s">
        <v>482</v>
      </c>
      <c r="J11" t="s">
        <v>3</v>
      </c>
      <c r="K11" t="s">
        <v>483</v>
      </c>
      <c r="L11">
        <v>1191</v>
      </c>
      <c r="N11">
        <v>1013</v>
      </c>
      <c r="O11" t="s">
        <v>484</v>
      </c>
      <c r="P11" t="s">
        <v>484</v>
      </c>
      <c r="Q11">
        <v>1</v>
      </c>
      <c r="W11">
        <v>0</v>
      </c>
      <c r="X11">
        <v>-1417349443</v>
      </c>
      <c r="Y11">
        <f t="shared" si="0"/>
        <v>11.96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</v>
      </c>
      <c r="AJ11">
        <v>1</v>
      </c>
      <c r="AK11">
        <v>1</v>
      </c>
      <c r="AL11">
        <v>1</v>
      </c>
      <c r="AM11">
        <v>-2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11.96</v>
      </c>
      <c r="AU11" t="s">
        <v>3</v>
      </c>
      <c r="AV11">
        <v>2</v>
      </c>
      <c r="AW11">
        <v>2</v>
      </c>
      <c r="AX11">
        <v>74016774</v>
      </c>
      <c r="AY11">
        <v>1</v>
      </c>
      <c r="AZ11">
        <v>0</v>
      </c>
      <c r="BA11">
        <v>12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CV11">
        <v>0</v>
      </c>
      <c r="CW11">
        <v>0</v>
      </c>
      <c r="CX11">
        <f>ROUND(Y11*Source!I69,7)</f>
        <v>0.2392</v>
      </c>
      <c r="CY11">
        <f>AD11</f>
        <v>0</v>
      </c>
      <c r="CZ11">
        <f>AH11</f>
        <v>0</v>
      </c>
      <c r="DA11">
        <f>AL11</f>
        <v>1</v>
      </c>
      <c r="DB11">
        <f t="shared" si="1"/>
        <v>0</v>
      </c>
      <c r="DC11">
        <f t="shared" si="2"/>
        <v>0</v>
      </c>
      <c r="DD11" t="s">
        <v>3</v>
      </c>
      <c r="DE11" t="s">
        <v>3</v>
      </c>
      <c r="DF11">
        <f t="shared" si="3"/>
        <v>0</v>
      </c>
      <c r="DG11">
        <f>ROUND(ROUND(AF11,2)*CX11,2)</f>
        <v>0</v>
      </c>
      <c r="DH11">
        <f t="shared" si="4"/>
        <v>0</v>
      </c>
      <c r="DI11">
        <f t="shared" si="5"/>
        <v>0</v>
      </c>
      <c r="DJ11">
        <f>DI11</f>
        <v>0</v>
      </c>
      <c r="DK11">
        <v>0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ROW(Source!A69)</f>
        <v>69</v>
      </c>
      <c r="B12">
        <v>74014550</v>
      </c>
      <c r="C12">
        <v>74016070</v>
      </c>
      <c r="D12">
        <v>72646682</v>
      </c>
      <c r="E12">
        <v>1</v>
      </c>
      <c r="F12">
        <v>1</v>
      </c>
      <c r="G12">
        <v>1</v>
      </c>
      <c r="H12">
        <v>2</v>
      </c>
      <c r="I12" t="s">
        <v>505</v>
      </c>
      <c r="J12" t="s">
        <v>506</v>
      </c>
      <c r="K12" t="s">
        <v>507</v>
      </c>
      <c r="L12">
        <v>1368</v>
      </c>
      <c r="N12">
        <v>1011</v>
      </c>
      <c r="O12" t="s">
        <v>488</v>
      </c>
      <c r="P12" t="s">
        <v>488</v>
      </c>
      <c r="Q12">
        <v>1</v>
      </c>
      <c r="W12">
        <v>0</v>
      </c>
      <c r="X12">
        <v>-733090258</v>
      </c>
      <c r="Y12">
        <f t="shared" si="0"/>
        <v>11.44</v>
      </c>
      <c r="AA12">
        <v>0</v>
      </c>
      <c r="AB12">
        <v>1172.93</v>
      </c>
      <c r="AC12">
        <v>459.98</v>
      </c>
      <c r="AD12">
        <v>0</v>
      </c>
      <c r="AE12">
        <v>0</v>
      </c>
      <c r="AF12">
        <v>994.01</v>
      </c>
      <c r="AG12">
        <v>459.98</v>
      </c>
      <c r="AH12">
        <v>0</v>
      </c>
      <c r="AI12">
        <v>1</v>
      </c>
      <c r="AJ12">
        <v>1.18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11.44</v>
      </c>
      <c r="AU12" t="s">
        <v>3</v>
      </c>
      <c r="AV12">
        <v>1</v>
      </c>
      <c r="AW12">
        <v>2</v>
      </c>
      <c r="AX12">
        <v>74016775</v>
      </c>
      <c r="AY12">
        <v>1</v>
      </c>
      <c r="AZ12">
        <v>0</v>
      </c>
      <c r="BA12">
        <v>13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11371.474399999999</v>
      </c>
      <c r="BL12">
        <v>5262.1711999999998</v>
      </c>
      <c r="BM12">
        <v>0</v>
      </c>
      <c r="BN12">
        <v>0</v>
      </c>
      <c r="BO12">
        <v>11.44</v>
      </c>
      <c r="BP12">
        <v>1</v>
      </c>
      <c r="BQ12">
        <v>0</v>
      </c>
      <c r="BR12">
        <v>11371.474399999999</v>
      </c>
      <c r="BS12">
        <v>5262.1711999999998</v>
      </c>
      <c r="BT12">
        <v>0</v>
      </c>
      <c r="BU12">
        <v>0</v>
      </c>
      <c r="BV12">
        <v>11.44</v>
      </c>
      <c r="BW12">
        <v>1</v>
      </c>
      <c r="CV12">
        <v>0</v>
      </c>
      <c r="CW12">
        <f>ROUND(Y12*Source!I69*DO12,7)</f>
        <v>0.2288</v>
      </c>
      <c r="CX12">
        <f>ROUND(Y12*Source!I69,7)</f>
        <v>0.2288</v>
      </c>
      <c r="CY12">
        <f>AB12</f>
        <v>1172.93</v>
      </c>
      <c r="CZ12">
        <f>AF12</f>
        <v>994.01</v>
      </c>
      <c r="DA12">
        <f>AJ12</f>
        <v>1.18</v>
      </c>
      <c r="DB12">
        <f t="shared" si="1"/>
        <v>11371.47</v>
      </c>
      <c r="DC12">
        <f t="shared" si="2"/>
        <v>5262.17</v>
      </c>
      <c r="DD12" t="s">
        <v>3</v>
      </c>
      <c r="DE12" t="s">
        <v>3</v>
      </c>
      <c r="DF12">
        <f t="shared" si="3"/>
        <v>0</v>
      </c>
      <c r="DG12">
        <f>ROUND(ROUND(AF12*AJ12,2)*CX12,2)</f>
        <v>268.37</v>
      </c>
      <c r="DH12">
        <f t="shared" si="4"/>
        <v>105.24</v>
      </c>
      <c r="DI12">
        <f t="shared" si="5"/>
        <v>0</v>
      </c>
      <c r="DJ12">
        <f>DG12+DH12</f>
        <v>373.61</v>
      </c>
      <c r="DK12">
        <v>0</v>
      </c>
      <c r="DL12" t="s">
        <v>497</v>
      </c>
      <c r="DM12">
        <v>5</v>
      </c>
      <c r="DN12" t="s">
        <v>484</v>
      </c>
      <c r="DO12">
        <v>1</v>
      </c>
    </row>
    <row r="13" spans="1:119" x14ac:dyDescent="0.2">
      <c r="A13">
        <f>ROW(Source!A69)</f>
        <v>69</v>
      </c>
      <c r="B13">
        <v>74014550</v>
      </c>
      <c r="C13">
        <v>74016070</v>
      </c>
      <c r="D13">
        <v>72647129</v>
      </c>
      <c r="E13">
        <v>1</v>
      </c>
      <c r="F13">
        <v>1</v>
      </c>
      <c r="G13">
        <v>1</v>
      </c>
      <c r="H13">
        <v>2</v>
      </c>
      <c r="I13" t="s">
        <v>508</v>
      </c>
      <c r="J13" t="s">
        <v>509</v>
      </c>
      <c r="K13" t="s">
        <v>510</v>
      </c>
      <c r="L13">
        <v>1368</v>
      </c>
      <c r="N13">
        <v>1011</v>
      </c>
      <c r="O13" t="s">
        <v>488</v>
      </c>
      <c r="P13" t="s">
        <v>488</v>
      </c>
      <c r="Q13">
        <v>1</v>
      </c>
      <c r="W13">
        <v>0</v>
      </c>
      <c r="X13">
        <v>1678177714</v>
      </c>
      <c r="Y13">
        <f t="shared" si="0"/>
        <v>2.0699999999999998</v>
      </c>
      <c r="AA13">
        <v>0</v>
      </c>
      <c r="AB13">
        <v>43.87</v>
      </c>
      <c r="AC13">
        <v>0</v>
      </c>
      <c r="AD13">
        <v>0</v>
      </c>
      <c r="AE13">
        <v>0</v>
      </c>
      <c r="AF13">
        <v>43.87</v>
      </c>
      <c r="AG13">
        <v>0</v>
      </c>
      <c r="AH13">
        <v>0</v>
      </c>
      <c r="AI13">
        <v>1</v>
      </c>
      <c r="AJ13">
        <v>1</v>
      </c>
      <c r="AK13">
        <v>1</v>
      </c>
      <c r="AL13">
        <v>1</v>
      </c>
      <c r="AM13">
        <v>-2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2.0699999999999998</v>
      </c>
      <c r="AU13" t="s">
        <v>3</v>
      </c>
      <c r="AV13">
        <v>1</v>
      </c>
      <c r="AW13">
        <v>2</v>
      </c>
      <c r="AX13">
        <v>74016776</v>
      </c>
      <c r="AY13">
        <v>1</v>
      </c>
      <c r="AZ13">
        <v>0</v>
      </c>
      <c r="BA13">
        <v>14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90.81089999999999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90.81089999999999</v>
      </c>
      <c r="BS13">
        <v>0</v>
      </c>
      <c r="BT13">
        <v>0</v>
      </c>
      <c r="BU13">
        <v>0</v>
      </c>
      <c r="BV13">
        <v>0</v>
      </c>
      <c r="BW13">
        <v>1</v>
      </c>
      <c r="CV13">
        <v>0</v>
      </c>
      <c r="CW13">
        <f>ROUND(Y13*Source!I69*DO13,7)</f>
        <v>0</v>
      </c>
      <c r="CX13">
        <f>ROUND(Y13*Source!I69,7)</f>
        <v>4.1399999999999999E-2</v>
      </c>
      <c r="CY13">
        <f>AB13</f>
        <v>43.87</v>
      </c>
      <c r="CZ13">
        <f>AF13</f>
        <v>43.87</v>
      </c>
      <c r="DA13">
        <f>AJ13</f>
        <v>1</v>
      </c>
      <c r="DB13">
        <f t="shared" si="1"/>
        <v>90.81</v>
      </c>
      <c r="DC13">
        <f t="shared" si="2"/>
        <v>0</v>
      </c>
      <c r="DD13" t="s">
        <v>3</v>
      </c>
      <c r="DE13" t="s">
        <v>3</v>
      </c>
      <c r="DF13">
        <f t="shared" si="3"/>
        <v>0</v>
      </c>
      <c r="DG13">
        <f>ROUND(ROUND(AF13,2)*CX13,2)</f>
        <v>1.82</v>
      </c>
      <c r="DH13">
        <f t="shared" si="4"/>
        <v>0</v>
      </c>
      <c r="DI13">
        <f t="shared" si="5"/>
        <v>0</v>
      </c>
      <c r="DJ13">
        <f>DG13+DH13</f>
        <v>1.82</v>
      </c>
      <c r="DK13">
        <v>1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ROW(Source!A69)</f>
        <v>69</v>
      </c>
      <c r="B14">
        <v>74014550</v>
      </c>
      <c r="C14">
        <v>74016070</v>
      </c>
      <c r="D14">
        <v>72647141</v>
      </c>
      <c r="E14">
        <v>1</v>
      </c>
      <c r="F14">
        <v>1</v>
      </c>
      <c r="G14">
        <v>1</v>
      </c>
      <c r="H14">
        <v>2</v>
      </c>
      <c r="I14" t="s">
        <v>511</v>
      </c>
      <c r="J14" t="s">
        <v>512</v>
      </c>
      <c r="K14" t="s">
        <v>513</v>
      </c>
      <c r="L14">
        <v>1368</v>
      </c>
      <c r="N14">
        <v>1011</v>
      </c>
      <c r="O14" t="s">
        <v>488</v>
      </c>
      <c r="P14" t="s">
        <v>488</v>
      </c>
      <c r="Q14">
        <v>1</v>
      </c>
      <c r="W14">
        <v>0</v>
      </c>
      <c r="X14">
        <v>-2130331961</v>
      </c>
      <c r="Y14">
        <f t="shared" si="0"/>
        <v>0.52</v>
      </c>
      <c r="AA14">
        <v>0</v>
      </c>
      <c r="AB14">
        <v>417.12</v>
      </c>
      <c r="AC14">
        <v>400.24</v>
      </c>
      <c r="AD14">
        <v>0</v>
      </c>
      <c r="AE14">
        <v>0</v>
      </c>
      <c r="AF14">
        <v>417.12</v>
      </c>
      <c r="AG14">
        <v>400.24</v>
      </c>
      <c r="AH14">
        <v>0</v>
      </c>
      <c r="AI14">
        <v>1</v>
      </c>
      <c r="AJ14">
        <v>1</v>
      </c>
      <c r="AK14">
        <v>1</v>
      </c>
      <c r="AL14">
        <v>1</v>
      </c>
      <c r="AM14">
        <v>-2</v>
      </c>
      <c r="AN14">
        <v>0</v>
      </c>
      <c r="AO14">
        <v>0</v>
      </c>
      <c r="AP14">
        <v>1</v>
      </c>
      <c r="AQ14">
        <v>1</v>
      </c>
      <c r="AR14">
        <v>0</v>
      </c>
      <c r="AS14" t="s">
        <v>3</v>
      </c>
      <c r="AT14">
        <v>0.52</v>
      </c>
      <c r="AU14" t="s">
        <v>3</v>
      </c>
      <c r="AV14">
        <v>1</v>
      </c>
      <c r="AW14">
        <v>2</v>
      </c>
      <c r="AX14">
        <v>74016777</v>
      </c>
      <c r="AY14">
        <v>1</v>
      </c>
      <c r="AZ14">
        <v>0</v>
      </c>
      <c r="BA14">
        <v>15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216.9024</v>
      </c>
      <c r="BL14">
        <v>208.12480000000002</v>
      </c>
      <c r="BM14">
        <v>0</v>
      </c>
      <c r="BN14">
        <v>0</v>
      </c>
      <c r="BO14">
        <v>0.52</v>
      </c>
      <c r="BP14">
        <v>1</v>
      </c>
      <c r="BQ14">
        <v>0</v>
      </c>
      <c r="BR14">
        <v>216.9024</v>
      </c>
      <c r="BS14">
        <v>208.12480000000002</v>
      </c>
      <c r="BT14">
        <v>0</v>
      </c>
      <c r="BU14">
        <v>0</v>
      </c>
      <c r="BV14">
        <v>0.52</v>
      </c>
      <c r="BW14">
        <v>1</v>
      </c>
      <c r="CV14">
        <v>0</v>
      </c>
      <c r="CW14">
        <f>ROUND(Y14*Source!I69*DO14,7)</f>
        <v>1.04E-2</v>
      </c>
      <c r="CX14">
        <f>ROUND(Y14*Source!I69,7)</f>
        <v>1.04E-2</v>
      </c>
      <c r="CY14">
        <f>AB14</f>
        <v>417.12</v>
      </c>
      <c r="CZ14">
        <f>AF14</f>
        <v>417.12</v>
      </c>
      <c r="DA14">
        <f>AJ14</f>
        <v>1</v>
      </c>
      <c r="DB14">
        <f t="shared" si="1"/>
        <v>216.9</v>
      </c>
      <c r="DC14">
        <f t="shared" si="2"/>
        <v>208.12</v>
      </c>
      <c r="DD14" t="s">
        <v>3</v>
      </c>
      <c r="DE14" t="s">
        <v>3</v>
      </c>
      <c r="DF14">
        <f t="shared" si="3"/>
        <v>0</v>
      </c>
      <c r="DG14">
        <f>ROUND(ROUND(AF14,2)*CX14,2)</f>
        <v>4.34</v>
      </c>
      <c r="DH14">
        <f t="shared" si="4"/>
        <v>4.16</v>
      </c>
      <c r="DI14">
        <f t="shared" si="5"/>
        <v>0</v>
      </c>
      <c r="DJ14">
        <f>DG14+DH14</f>
        <v>8.5</v>
      </c>
      <c r="DK14">
        <v>1</v>
      </c>
      <c r="DL14" t="s">
        <v>514</v>
      </c>
      <c r="DM14">
        <v>4</v>
      </c>
      <c r="DN14" t="s">
        <v>484</v>
      </c>
      <c r="DO14">
        <v>1</v>
      </c>
    </row>
    <row r="15" spans="1:119" x14ac:dyDescent="0.2">
      <c r="A15">
        <f>ROW(Source!A69)</f>
        <v>69</v>
      </c>
      <c r="B15">
        <v>74014550</v>
      </c>
      <c r="C15">
        <v>74016070</v>
      </c>
      <c r="D15">
        <v>72647493</v>
      </c>
      <c r="E15">
        <v>1</v>
      </c>
      <c r="F15">
        <v>1</v>
      </c>
      <c r="G15">
        <v>1</v>
      </c>
      <c r="H15">
        <v>2</v>
      </c>
      <c r="I15" t="s">
        <v>515</v>
      </c>
      <c r="J15" t="s">
        <v>516</v>
      </c>
      <c r="K15" t="s">
        <v>517</v>
      </c>
      <c r="L15">
        <v>1368</v>
      </c>
      <c r="N15">
        <v>1011</v>
      </c>
      <c r="O15" t="s">
        <v>488</v>
      </c>
      <c r="P15" t="s">
        <v>488</v>
      </c>
      <c r="Q15">
        <v>1</v>
      </c>
      <c r="W15">
        <v>0</v>
      </c>
      <c r="X15">
        <v>571220797</v>
      </c>
      <c r="Y15">
        <f t="shared" si="0"/>
        <v>0.52</v>
      </c>
      <c r="AA15">
        <v>0</v>
      </c>
      <c r="AB15">
        <v>6.69</v>
      </c>
      <c r="AC15">
        <v>0</v>
      </c>
      <c r="AD15">
        <v>0</v>
      </c>
      <c r="AE15">
        <v>0</v>
      </c>
      <c r="AF15">
        <v>4.5199999999999996</v>
      </c>
      <c r="AG15">
        <v>0</v>
      </c>
      <c r="AH15">
        <v>0</v>
      </c>
      <c r="AI15">
        <v>1</v>
      </c>
      <c r="AJ15">
        <v>1.48</v>
      </c>
      <c r="AK15">
        <v>1</v>
      </c>
      <c r="AL15">
        <v>1</v>
      </c>
      <c r="AM15">
        <v>2</v>
      </c>
      <c r="AN15">
        <v>0</v>
      </c>
      <c r="AO15">
        <v>0</v>
      </c>
      <c r="AP15">
        <v>1</v>
      </c>
      <c r="AQ15">
        <v>1</v>
      </c>
      <c r="AR15">
        <v>0</v>
      </c>
      <c r="AS15" t="s">
        <v>3</v>
      </c>
      <c r="AT15">
        <v>0.52</v>
      </c>
      <c r="AU15" t="s">
        <v>3</v>
      </c>
      <c r="AV15">
        <v>1</v>
      </c>
      <c r="AW15">
        <v>2</v>
      </c>
      <c r="AX15">
        <v>74016778</v>
      </c>
      <c r="AY15">
        <v>1</v>
      </c>
      <c r="AZ15">
        <v>0</v>
      </c>
      <c r="BA15">
        <v>16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2.3504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2.3504</v>
      </c>
      <c r="BS15">
        <v>0</v>
      </c>
      <c r="BT15">
        <v>0</v>
      </c>
      <c r="BU15">
        <v>0</v>
      </c>
      <c r="BV15">
        <v>0</v>
      </c>
      <c r="BW15">
        <v>1</v>
      </c>
      <c r="CV15">
        <v>0</v>
      </c>
      <c r="CW15">
        <f>ROUND(Y15*Source!I69*DO15,7)</f>
        <v>0</v>
      </c>
      <c r="CX15">
        <f>ROUND(Y15*Source!I69,7)</f>
        <v>1.04E-2</v>
      </c>
      <c r="CY15">
        <f>AB15</f>
        <v>6.69</v>
      </c>
      <c r="CZ15">
        <f>AF15</f>
        <v>4.5199999999999996</v>
      </c>
      <c r="DA15">
        <f>AJ15</f>
        <v>1.48</v>
      </c>
      <c r="DB15">
        <f t="shared" si="1"/>
        <v>2.35</v>
      </c>
      <c r="DC15">
        <f t="shared" si="2"/>
        <v>0</v>
      </c>
      <c r="DD15" t="s">
        <v>3</v>
      </c>
      <c r="DE15" t="s">
        <v>3</v>
      </c>
      <c r="DF15">
        <f t="shared" si="3"/>
        <v>0</v>
      </c>
      <c r="DG15">
        <f>ROUND(ROUND(AF15*AJ15,2)*CX15,2)</f>
        <v>7.0000000000000007E-2</v>
      </c>
      <c r="DH15">
        <f t="shared" si="4"/>
        <v>0</v>
      </c>
      <c r="DI15">
        <f t="shared" si="5"/>
        <v>0</v>
      </c>
      <c r="DJ15">
        <f>DG15+DH15</f>
        <v>7.0000000000000007E-2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ROW(Source!A69)</f>
        <v>69</v>
      </c>
      <c r="B16">
        <v>74014550</v>
      </c>
      <c r="C16">
        <v>74016070</v>
      </c>
      <c r="D16">
        <v>72591353</v>
      </c>
      <c r="E16">
        <v>1</v>
      </c>
      <c r="F16">
        <v>1</v>
      </c>
      <c r="G16">
        <v>1</v>
      </c>
      <c r="H16">
        <v>3</v>
      </c>
      <c r="I16" t="s">
        <v>518</v>
      </c>
      <c r="J16" t="s">
        <v>519</v>
      </c>
      <c r="K16" t="s">
        <v>520</v>
      </c>
      <c r="L16">
        <v>1383</v>
      </c>
      <c r="N16">
        <v>1013</v>
      </c>
      <c r="O16" t="s">
        <v>521</v>
      </c>
      <c r="P16" t="s">
        <v>521</v>
      </c>
      <c r="Q16">
        <v>1</v>
      </c>
      <c r="W16">
        <v>0</v>
      </c>
      <c r="X16">
        <v>86017057</v>
      </c>
      <c r="Y16">
        <f t="shared" si="0"/>
        <v>1.3859999999999999</v>
      </c>
      <c r="AA16">
        <v>9.5500000000000007</v>
      </c>
      <c r="AB16">
        <v>0</v>
      </c>
      <c r="AC16">
        <v>0</v>
      </c>
      <c r="AD16">
        <v>0</v>
      </c>
      <c r="AE16">
        <v>9.5500000000000007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M16">
        <v>-2</v>
      </c>
      <c r="AN16">
        <v>0</v>
      </c>
      <c r="AO16">
        <v>0</v>
      </c>
      <c r="AP16">
        <v>1</v>
      </c>
      <c r="AQ16">
        <v>1</v>
      </c>
      <c r="AR16">
        <v>0</v>
      </c>
      <c r="AS16" t="s">
        <v>3</v>
      </c>
      <c r="AT16">
        <v>1.3859999999999999</v>
      </c>
      <c r="AU16" t="s">
        <v>3</v>
      </c>
      <c r="AV16">
        <v>0</v>
      </c>
      <c r="AW16">
        <v>2</v>
      </c>
      <c r="AX16">
        <v>74016779</v>
      </c>
      <c r="AY16">
        <v>1</v>
      </c>
      <c r="AZ16">
        <v>0</v>
      </c>
      <c r="BA16">
        <v>17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13.2363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13.2363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CV16">
        <v>0</v>
      </c>
      <c r="CW16">
        <v>0</v>
      </c>
      <c r="CX16">
        <f>ROUND(Y16*Source!I69,7)</f>
        <v>2.7720000000000002E-2</v>
      </c>
      <c r="CY16">
        <f t="shared" ref="CY16:CY24" si="6">AA16</f>
        <v>9.5500000000000007</v>
      </c>
      <c r="CZ16">
        <f t="shared" ref="CZ16:CZ24" si="7">AE16</f>
        <v>9.5500000000000007</v>
      </c>
      <c r="DA16">
        <f t="shared" ref="DA16:DA24" si="8">AI16</f>
        <v>1</v>
      </c>
      <c r="DB16">
        <f t="shared" si="1"/>
        <v>13.24</v>
      </c>
      <c r="DC16">
        <f t="shared" si="2"/>
        <v>0</v>
      </c>
      <c r="DD16" t="s">
        <v>3</v>
      </c>
      <c r="DE16" t="s">
        <v>3</v>
      </c>
      <c r="DF16">
        <f t="shared" si="3"/>
        <v>0.26</v>
      </c>
      <c r="DG16">
        <f t="shared" ref="DG16:DG27" si="9">ROUND(ROUND(AF16,2)*CX16,2)</f>
        <v>0</v>
      </c>
      <c r="DH16">
        <f t="shared" si="4"/>
        <v>0</v>
      </c>
      <c r="DI16">
        <f t="shared" si="5"/>
        <v>0</v>
      </c>
      <c r="DJ16">
        <f t="shared" ref="DJ16:DJ24" si="10">DF16</f>
        <v>0.26</v>
      </c>
      <c r="DK16">
        <v>1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ROW(Source!A69)</f>
        <v>69</v>
      </c>
      <c r="B17">
        <v>74014550</v>
      </c>
      <c r="C17">
        <v>74016070</v>
      </c>
      <c r="D17">
        <v>72592092</v>
      </c>
      <c r="E17">
        <v>1</v>
      </c>
      <c r="F17">
        <v>1</v>
      </c>
      <c r="G17">
        <v>1</v>
      </c>
      <c r="H17">
        <v>3</v>
      </c>
      <c r="I17" t="s">
        <v>522</v>
      </c>
      <c r="J17" t="s">
        <v>523</v>
      </c>
      <c r="K17" t="s">
        <v>524</v>
      </c>
      <c r="L17">
        <v>1346</v>
      </c>
      <c r="N17">
        <v>1009</v>
      </c>
      <c r="O17" t="s">
        <v>314</v>
      </c>
      <c r="P17" t="s">
        <v>314</v>
      </c>
      <c r="Q17">
        <v>1</v>
      </c>
      <c r="W17">
        <v>0</v>
      </c>
      <c r="X17">
        <v>743240341</v>
      </c>
      <c r="Y17">
        <f t="shared" si="0"/>
        <v>0.7</v>
      </c>
      <c r="AA17">
        <v>131.85</v>
      </c>
      <c r="AB17">
        <v>0</v>
      </c>
      <c r="AC17">
        <v>0</v>
      </c>
      <c r="AD17">
        <v>0</v>
      </c>
      <c r="AE17">
        <v>131.85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-2</v>
      </c>
      <c r="AN17">
        <v>0</v>
      </c>
      <c r="AO17">
        <v>0</v>
      </c>
      <c r="AP17">
        <v>1</v>
      </c>
      <c r="AQ17">
        <v>1</v>
      </c>
      <c r="AR17">
        <v>0</v>
      </c>
      <c r="AS17" t="s">
        <v>3</v>
      </c>
      <c r="AT17">
        <v>0.7</v>
      </c>
      <c r="AU17" t="s">
        <v>3</v>
      </c>
      <c r="AV17">
        <v>0</v>
      </c>
      <c r="AW17">
        <v>2</v>
      </c>
      <c r="AX17">
        <v>74016780</v>
      </c>
      <c r="AY17">
        <v>1</v>
      </c>
      <c r="AZ17">
        <v>0</v>
      </c>
      <c r="BA17">
        <v>18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92.294999999999987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92.294999999999987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CV17">
        <v>0</v>
      </c>
      <c r="CW17">
        <v>0</v>
      </c>
      <c r="CX17">
        <f>ROUND(Y17*Source!I69,7)</f>
        <v>1.4E-2</v>
      </c>
      <c r="CY17">
        <f t="shared" si="6"/>
        <v>131.85</v>
      </c>
      <c r="CZ17">
        <f t="shared" si="7"/>
        <v>131.85</v>
      </c>
      <c r="DA17">
        <f t="shared" si="8"/>
        <v>1</v>
      </c>
      <c r="DB17">
        <f t="shared" si="1"/>
        <v>92.3</v>
      </c>
      <c r="DC17">
        <f t="shared" si="2"/>
        <v>0</v>
      </c>
      <c r="DD17" t="s">
        <v>3</v>
      </c>
      <c r="DE17" t="s">
        <v>3</v>
      </c>
      <c r="DF17">
        <f t="shared" si="3"/>
        <v>1.85</v>
      </c>
      <c r="DG17">
        <f t="shared" si="9"/>
        <v>0</v>
      </c>
      <c r="DH17">
        <f t="shared" si="4"/>
        <v>0</v>
      </c>
      <c r="DI17">
        <f t="shared" si="5"/>
        <v>0</v>
      </c>
      <c r="DJ17">
        <f t="shared" si="10"/>
        <v>1.85</v>
      </c>
      <c r="DK17">
        <v>1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ROW(Source!A69)</f>
        <v>69</v>
      </c>
      <c r="B18">
        <v>74014550</v>
      </c>
      <c r="C18">
        <v>74016070</v>
      </c>
      <c r="D18">
        <v>72592880</v>
      </c>
      <c r="E18">
        <v>1</v>
      </c>
      <c r="F18">
        <v>1</v>
      </c>
      <c r="G18">
        <v>1</v>
      </c>
      <c r="H18">
        <v>3</v>
      </c>
      <c r="I18" t="s">
        <v>525</v>
      </c>
      <c r="J18" t="s">
        <v>526</v>
      </c>
      <c r="K18" t="s">
        <v>527</v>
      </c>
      <c r="L18">
        <v>1348</v>
      </c>
      <c r="N18">
        <v>1009</v>
      </c>
      <c r="O18" t="s">
        <v>243</v>
      </c>
      <c r="P18" t="s">
        <v>243</v>
      </c>
      <c r="Q18">
        <v>1000</v>
      </c>
      <c r="W18">
        <v>0</v>
      </c>
      <c r="X18">
        <v>-338788761</v>
      </c>
      <c r="Y18">
        <f t="shared" si="0"/>
        <v>4.0000000000000002E-4</v>
      </c>
      <c r="AA18">
        <v>122599.58</v>
      </c>
      <c r="AB18">
        <v>0</v>
      </c>
      <c r="AC18">
        <v>0</v>
      </c>
      <c r="AD18">
        <v>0</v>
      </c>
      <c r="AE18">
        <v>108495.2</v>
      </c>
      <c r="AF18">
        <v>0</v>
      </c>
      <c r="AG18">
        <v>0</v>
      </c>
      <c r="AH18">
        <v>0</v>
      </c>
      <c r="AI18">
        <v>1.1299999999999999</v>
      </c>
      <c r="AJ18">
        <v>1</v>
      </c>
      <c r="AK18">
        <v>1</v>
      </c>
      <c r="AL18">
        <v>1</v>
      </c>
      <c r="AM18">
        <v>2</v>
      </c>
      <c r="AN18">
        <v>0</v>
      </c>
      <c r="AO18">
        <v>0</v>
      </c>
      <c r="AP18">
        <v>1</v>
      </c>
      <c r="AQ18">
        <v>1</v>
      </c>
      <c r="AR18">
        <v>0</v>
      </c>
      <c r="AS18" t="s">
        <v>3</v>
      </c>
      <c r="AT18">
        <v>4.0000000000000002E-4</v>
      </c>
      <c r="AU18" t="s">
        <v>3</v>
      </c>
      <c r="AV18">
        <v>0</v>
      </c>
      <c r="AW18">
        <v>2</v>
      </c>
      <c r="AX18">
        <v>74016781</v>
      </c>
      <c r="AY18">
        <v>1</v>
      </c>
      <c r="AZ18">
        <v>0</v>
      </c>
      <c r="BA18">
        <v>19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43.39808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43.39808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CV18">
        <v>0</v>
      </c>
      <c r="CW18">
        <v>0</v>
      </c>
      <c r="CX18">
        <f>ROUND(Y18*Source!I69,7)</f>
        <v>7.9999999999999996E-6</v>
      </c>
      <c r="CY18">
        <f t="shared" si="6"/>
        <v>122599.58</v>
      </c>
      <c r="CZ18">
        <f t="shared" si="7"/>
        <v>108495.2</v>
      </c>
      <c r="DA18">
        <f t="shared" si="8"/>
        <v>1.1299999999999999</v>
      </c>
      <c r="DB18">
        <f t="shared" si="1"/>
        <v>43.4</v>
      </c>
      <c r="DC18">
        <f t="shared" si="2"/>
        <v>0</v>
      </c>
      <c r="DD18" t="s">
        <v>3</v>
      </c>
      <c r="DE18" t="s">
        <v>3</v>
      </c>
      <c r="DF18">
        <f t="shared" ref="DF18:DF23" si="11">ROUND(ROUND(AE18*AI18,2)*CX18,2)</f>
        <v>0.98</v>
      </c>
      <c r="DG18">
        <f t="shared" si="9"/>
        <v>0</v>
      </c>
      <c r="DH18">
        <f t="shared" si="4"/>
        <v>0</v>
      </c>
      <c r="DI18">
        <f t="shared" si="5"/>
        <v>0</v>
      </c>
      <c r="DJ18">
        <f t="shared" si="10"/>
        <v>0.98</v>
      </c>
      <c r="DK18">
        <v>0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ROW(Source!A69)</f>
        <v>69</v>
      </c>
      <c r="B19">
        <v>74014550</v>
      </c>
      <c r="C19">
        <v>74016070</v>
      </c>
      <c r="D19">
        <v>72598246</v>
      </c>
      <c r="E19">
        <v>1</v>
      </c>
      <c r="F19">
        <v>1</v>
      </c>
      <c r="G19">
        <v>1</v>
      </c>
      <c r="H19">
        <v>3</v>
      </c>
      <c r="I19" t="s">
        <v>528</v>
      </c>
      <c r="J19" t="s">
        <v>529</v>
      </c>
      <c r="K19" t="s">
        <v>530</v>
      </c>
      <c r="L19">
        <v>1346</v>
      </c>
      <c r="N19">
        <v>1009</v>
      </c>
      <c r="O19" t="s">
        <v>314</v>
      </c>
      <c r="P19" t="s">
        <v>314</v>
      </c>
      <c r="Q19">
        <v>1</v>
      </c>
      <c r="W19">
        <v>0</v>
      </c>
      <c r="X19">
        <v>-225116568</v>
      </c>
      <c r="Y19">
        <f t="shared" si="0"/>
        <v>1</v>
      </c>
      <c r="AA19">
        <v>63.71</v>
      </c>
      <c r="AB19">
        <v>0</v>
      </c>
      <c r="AC19">
        <v>0</v>
      </c>
      <c r="AD19">
        <v>0</v>
      </c>
      <c r="AE19">
        <v>44.55</v>
      </c>
      <c r="AF19">
        <v>0</v>
      </c>
      <c r="AG19">
        <v>0</v>
      </c>
      <c r="AH19">
        <v>0</v>
      </c>
      <c r="AI19">
        <v>1.43</v>
      </c>
      <c r="AJ19">
        <v>1</v>
      </c>
      <c r="AK19">
        <v>1</v>
      </c>
      <c r="AL19">
        <v>1</v>
      </c>
      <c r="AM19">
        <v>2</v>
      </c>
      <c r="AN19">
        <v>0</v>
      </c>
      <c r="AO19">
        <v>0</v>
      </c>
      <c r="AP19">
        <v>1</v>
      </c>
      <c r="AQ19">
        <v>1</v>
      </c>
      <c r="AR19">
        <v>0</v>
      </c>
      <c r="AS19" t="s">
        <v>3</v>
      </c>
      <c r="AT19">
        <v>1</v>
      </c>
      <c r="AU19" t="s">
        <v>3</v>
      </c>
      <c r="AV19">
        <v>0</v>
      </c>
      <c r="AW19">
        <v>2</v>
      </c>
      <c r="AX19">
        <v>74016782</v>
      </c>
      <c r="AY19">
        <v>1</v>
      </c>
      <c r="AZ19">
        <v>0</v>
      </c>
      <c r="BA19">
        <v>20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44.55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44.55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CV19">
        <v>0</v>
      </c>
      <c r="CW19">
        <v>0</v>
      </c>
      <c r="CX19">
        <f>ROUND(Y19*Source!I69,7)</f>
        <v>0.02</v>
      </c>
      <c r="CY19">
        <f t="shared" si="6"/>
        <v>63.71</v>
      </c>
      <c r="CZ19">
        <f t="shared" si="7"/>
        <v>44.55</v>
      </c>
      <c r="DA19">
        <f t="shared" si="8"/>
        <v>1.43</v>
      </c>
      <c r="DB19">
        <f t="shared" si="1"/>
        <v>44.55</v>
      </c>
      <c r="DC19">
        <f t="shared" si="2"/>
        <v>0</v>
      </c>
      <c r="DD19" t="s">
        <v>3</v>
      </c>
      <c r="DE19" t="s">
        <v>3</v>
      </c>
      <c r="DF19">
        <f t="shared" si="11"/>
        <v>1.27</v>
      </c>
      <c r="DG19">
        <f t="shared" si="9"/>
        <v>0</v>
      </c>
      <c r="DH19">
        <f t="shared" si="4"/>
        <v>0</v>
      </c>
      <c r="DI19">
        <f t="shared" si="5"/>
        <v>0</v>
      </c>
      <c r="DJ19">
        <f t="shared" si="10"/>
        <v>1.27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ROW(Source!A69)</f>
        <v>69</v>
      </c>
      <c r="B20">
        <v>74014550</v>
      </c>
      <c r="C20">
        <v>74016070</v>
      </c>
      <c r="D20">
        <v>72610535</v>
      </c>
      <c r="E20">
        <v>1</v>
      </c>
      <c r="F20">
        <v>1</v>
      </c>
      <c r="G20">
        <v>1</v>
      </c>
      <c r="H20">
        <v>3</v>
      </c>
      <c r="I20" t="s">
        <v>531</v>
      </c>
      <c r="J20" t="s">
        <v>532</v>
      </c>
      <c r="K20" t="s">
        <v>533</v>
      </c>
      <c r="L20">
        <v>1348</v>
      </c>
      <c r="N20">
        <v>1009</v>
      </c>
      <c r="O20" t="s">
        <v>243</v>
      </c>
      <c r="P20" t="s">
        <v>243</v>
      </c>
      <c r="Q20">
        <v>1000</v>
      </c>
      <c r="W20">
        <v>0</v>
      </c>
      <c r="X20">
        <v>2036013562</v>
      </c>
      <c r="Y20">
        <f t="shared" si="0"/>
        <v>1.4E-3</v>
      </c>
      <c r="AA20">
        <v>104956.62</v>
      </c>
      <c r="AB20">
        <v>0</v>
      </c>
      <c r="AC20">
        <v>0</v>
      </c>
      <c r="AD20">
        <v>0</v>
      </c>
      <c r="AE20">
        <v>74437.320000000007</v>
      </c>
      <c r="AF20">
        <v>0</v>
      </c>
      <c r="AG20">
        <v>0</v>
      </c>
      <c r="AH20">
        <v>0</v>
      </c>
      <c r="AI20">
        <v>1.41</v>
      </c>
      <c r="AJ20">
        <v>1</v>
      </c>
      <c r="AK20">
        <v>1</v>
      </c>
      <c r="AL20">
        <v>1</v>
      </c>
      <c r="AM20">
        <v>2</v>
      </c>
      <c r="AN20">
        <v>0</v>
      </c>
      <c r="AO20">
        <v>0</v>
      </c>
      <c r="AP20">
        <v>1</v>
      </c>
      <c r="AQ20">
        <v>1</v>
      </c>
      <c r="AR20">
        <v>0</v>
      </c>
      <c r="AS20" t="s">
        <v>3</v>
      </c>
      <c r="AT20">
        <v>1.4E-3</v>
      </c>
      <c r="AU20" t="s">
        <v>3</v>
      </c>
      <c r="AV20">
        <v>0</v>
      </c>
      <c r="AW20">
        <v>2</v>
      </c>
      <c r="AX20">
        <v>74016783</v>
      </c>
      <c r="AY20">
        <v>1</v>
      </c>
      <c r="AZ20">
        <v>0</v>
      </c>
      <c r="BA20">
        <v>21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104.212248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104.212248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v>0</v>
      </c>
      <c r="CX20">
        <f>ROUND(Y20*Source!I69,7)</f>
        <v>2.8E-5</v>
      </c>
      <c r="CY20">
        <f t="shared" si="6"/>
        <v>104956.62</v>
      </c>
      <c r="CZ20">
        <f t="shared" si="7"/>
        <v>74437.320000000007</v>
      </c>
      <c r="DA20">
        <f t="shared" si="8"/>
        <v>1.41</v>
      </c>
      <c r="DB20">
        <f t="shared" si="1"/>
        <v>104.21</v>
      </c>
      <c r="DC20">
        <f t="shared" si="2"/>
        <v>0</v>
      </c>
      <c r="DD20" t="s">
        <v>3</v>
      </c>
      <c r="DE20" t="s">
        <v>3</v>
      </c>
      <c r="DF20">
        <f t="shared" si="11"/>
        <v>2.94</v>
      </c>
      <c r="DG20">
        <f t="shared" si="9"/>
        <v>0</v>
      </c>
      <c r="DH20">
        <f t="shared" si="4"/>
        <v>0</v>
      </c>
      <c r="DI20">
        <f t="shared" si="5"/>
        <v>0</v>
      </c>
      <c r="DJ20">
        <f t="shared" si="10"/>
        <v>2.94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ROW(Source!A69)</f>
        <v>69</v>
      </c>
      <c r="B21">
        <v>74014550</v>
      </c>
      <c r="C21">
        <v>74016070</v>
      </c>
      <c r="D21">
        <v>72610660</v>
      </c>
      <c r="E21">
        <v>1</v>
      </c>
      <c r="F21">
        <v>1</v>
      </c>
      <c r="G21">
        <v>1</v>
      </c>
      <c r="H21">
        <v>3</v>
      </c>
      <c r="I21" t="s">
        <v>534</v>
      </c>
      <c r="J21" t="s">
        <v>535</v>
      </c>
      <c r="K21" t="s">
        <v>536</v>
      </c>
      <c r="L21">
        <v>1348</v>
      </c>
      <c r="N21">
        <v>1009</v>
      </c>
      <c r="O21" t="s">
        <v>243</v>
      </c>
      <c r="P21" t="s">
        <v>243</v>
      </c>
      <c r="Q21">
        <v>1000</v>
      </c>
      <c r="W21">
        <v>0</v>
      </c>
      <c r="X21">
        <v>-1956910026</v>
      </c>
      <c r="Y21">
        <f t="shared" si="0"/>
        <v>3.5999999999999999E-3</v>
      </c>
      <c r="AA21">
        <v>346815.83</v>
      </c>
      <c r="AB21">
        <v>0</v>
      </c>
      <c r="AC21">
        <v>0</v>
      </c>
      <c r="AD21">
        <v>0</v>
      </c>
      <c r="AE21">
        <v>260763.78</v>
      </c>
      <c r="AF21">
        <v>0</v>
      </c>
      <c r="AG21">
        <v>0</v>
      </c>
      <c r="AH21">
        <v>0</v>
      </c>
      <c r="AI21">
        <v>1.33</v>
      </c>
      <c r="AJ21">
        <v>1</v>
      </c>
      <c r="AK21">
        <v>1</v>
      </c>
      <c r="AL21">
        <v>1</v>
      </c>
      <c r="AM21">
        <v>2</v>
      </c>
      <c r="AN21">
        <v>0</v>
      </c>
      <c r="AO21">
        <v>0</v>
      </c>
      <c r="AP21">
        <v>1</v>
      </c>
      <c r="AQ21">
        <v>1</v>
      </c>
      <c r="AR21">
        <v>0</v>
      </c>
      <c r="AS21" t="s">
        <v>3</v>
      </c>
      <c r="AT21">
        <v>3.5999999999999999E-3</v>
      </c>
      <c r="AU21" t="s">
        <v>3</v>
      </c>
      <c r="AV21">
        <v>0</v>
      </c>
      <c r="AW21">
        <v>2</v>
      </c>
      <c r="AX21">
        <v>74016784</v>
      </c>
      <c r="AY21">
        <v>1</v>
      </c>
      <c r="AZ21">
        <v>0</v>
      </c>
      <c r="BA21">
        <v>22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938.74960799999997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938.74960799999997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CV21">
        <v>0</v>
      </c>
      <c r="CW21">
        <v>0</v>
      </c>
      <c r="CX21">
        <f>ROUND(Y21*Source!I69,7)</f>
        <v>7.2000000000000002E-5</v>
      </c>
      <c r="CY21">
        <f t="shared" si="6"/>
        <v>346815.83</v>
      </c>
      <c r="CZ21">
        <f t="shared" si="7"/>
        <v>260763.78</v>
      </c>
      <c r="DA21">
        <f t="shared" si="8"/>
        <v>1.33</v>
      </c>
      <c r="DB21">
        <f t="shared" si="1"/>
        <v>938.75</v>
      </c>
      <c r="DC21">
        <f t="shared" si="2"/>
        <v>0</v>
      </c>
      <c r="DD21" t="s">
        <v>3</v>
      </c>
      <c r="DE21" t="s">
        <v>3</v>
      </c>
      <c r="DF21">
        <f t="shared" si="11"/>
        <v>24.97</v>
      </c>
      <c r="DG21">
        <f t="shared" si="9"/>
        <v>0</v>
      </c>
      <c r="DH21">
        <f t="shared" si="4"/>
        <v>0</v>
      </c>
      <c r="DI21">
        <f t="shared" si="5"/>
        <v>0</v>
      </c>
      <c r="DJ21">
        <f t="shared" si="10"/>
        <v>24.97</v>
      </c>
      <c r="DK21">
        <v>0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ROW(Source!A69)</f>
        <v>69</v>
      </c>
      <c r="B22">
        <v>74014550</v>
      </c>
      <c r="C22">
        <v>74016070</v>
      </c>
      <c r="D22">
        <v>72610910</v>
      </c>
      <c r="E22">
        <v>1</v>
      </c>
      <c r="F22">
        <v>1</v>
      </c>
      <c r="G22">
        <v>1</v>
      </c>
      <c r="H22">
        <v>3</v>
      </c>
      <c r="I22" t="s">
        <v>537</v>
      </c>
      <c r="J22" t="s">
        <v>538</v>
      </c>
      <c r="K22" t="s">
        <v>539</v>
      </c>
      <c r="L22">
        <v>1348</v>
      </c>
      <c r="N22">
        <v>1009</v>
      </c>
      <c r="O22" t="s">
        <v>243</v>
      </c>
      <c r="P22" t="s">
        <v>243</v>
      </c>
      <c r="Q22">
        <v>1000</v>
      </c>
      <c r="W22">
        <v>0</v>
      </c>
      <c r="X22">
        <v>-1562225454</v>
      </c>
      <c r="Y22">
        <f t="shared" si="0"/>
        <v>2.2000000000000001E-4</v>
      </c>
      <c r="AA22">
        <v>127487.86</v>
      </c>
      <c r="AB22">
        <v>0</v>
      </c>
      <c r="AC22">
        <v>0</v>
      </c>
      <c r="AD22">
        <v>0</v>
      </c>
      <c r="AE22">
        <v>75885.63</v>
      </c>
      <c r="AF22">
        <v>0</v>
      </c>
      <c r="AG22">
        <v>0</v>
      </c>
      <c r="AH22">
        <v>0</v>
      </c>
      <c r="AI22">
        <v>1.68</v>
      </c>
      <c r="AJ22">
        <v>1</v>
      </c>
      <c r="AK22">
        <v>1</v>
      </c>
      <c r="AL22">
        <v>1</v>
      </c>
      <c r="AM22">
        <v>2</v>
      </c>
      <c r="AN22">
        <v>0</v>
      </c>
      <c r="AO22">
        <v>0</v>
      </c>
      <c r="AP22">
        <v>1</v>
      </c>
      <c r="AQ22">
        <v>1</v>
      </c>
      <c r="AR22">
        <v>0</v>
      </c>
      <c r="AS22" t="s">
        <v>3</v>
      </c>
      <c r="AT22">
        <v>2.2000000000000001E-4</v>
      </c>
      <c r="AU22" t="s">
        <v>3</v>
      </c>
      <c r="AV22">
        <v>0</v>
      </c>
      <c r="AW22">
        <v>2</v>
      </c>
      <c r="AX22">
        <v>74016785</v>
      </c>
      <c r="AY22">
        <v>1</v>
      </c>
      <c r="AZ22">
        <v>0</v>
      </c>
      <c r="BA22">
        <v>23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16.694838600000001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16.694838600000001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CV22">
        <v>0</v>
      </c>
      <c r="CW22">
        <v>0</v>
      </c>
      <c r="CX22">
        <f>ROUND(Y22*Source!I69,7)</f>
        <v>4.4000000000000002E-6</v>
      </c>
      <c r="CY22">
        <f t="shared" si="6"/>
        <v>127487.86</v>
      </c>
      <c r="CZ22">
        <f t="shared" si="7"/>
        <v>75885.63</v>
      </c>
      <c r="DA22">
        <f t="shared" si="8"/>
        <v>1.68</v>
      </c>
      <c r="DB22">
        <f t="shared" si="1"/>
        <v>16.690000000000001</v>
      </c>
      <c r="DC22">
        <f t="shared" si="2"/>
        <v>0</v>
      </c>
      <c r="DD22" t="s">
        <v>3</v>
      </c>
      <c r="DE22" t="s">
        <v>3</v>
      </c>
      <c r="DF22">
        <f t="shared" si="11"/>
        <v>0.56000000000000005</v>
      </c>
      <c r="DG22">
        <f t="shared" si="9"/>
        <v>0</v>
      </c>
      <c r="DH22">
        <f t="shared" si="4"/>
        <v>0</v>
      </c>
      <c r="DI22">
        <f t="shared" si="5"/>
        <v>0</v>
      </c>
      <c r="DJ22">
        <f t="shared" si="10"/>
        <v>0.56000000000000005</v>
      </c>
      <c r="DK22">
        <v>0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ROW(Source!A69)</f>
        <v>69</v>
      </c>
      <c r="B23">
        <v>74014550</v>
      </c>
      <c r="C23">
        <v>74016070</v>
      </c>
      <c r="D23">
        <v>72610937</v>
      </c>
      <c r="E23">
        <v>1</v>
      </c>
      <c r="F23">
        <v>1</v>
      </c>
      <c r="G23">
        <v>1</v>
      </c>
      <c r="H23">
        <v>3</v>
      </c>
      <c r="I23" t="s">
        <v>540</v>
      </c>
      <c r="J23" t="s">
        <v>541</v>
      </c>
      <c r="K23" t="s">
        <v>542</v>
      </c>
      <c r="L23">
        <v>1348</v>
      </c>
      <c r="N23">
        <v>1009</v>
      </c>
      <c r="O23" t="s">
        <v>243</v>
      </c>
      <c r="P23" t="s">
        <v>243</v>
      </c>
      <c r="Q23">
        <v>1000</v>
      </c>
      <c r="W23">
        <v>0</v>
      </c>
      <c r="X23">
        <v>-1048603184</v>
      </c>
      <c r="Y23">
        <f t="shared" si="0"/>
        <v>1.6999999999999999E-3</v>
      </c>
      <c r="AA23">
        <v>165524.44</v>
      </c>
      <c r="AB23">
        <v>0</v>
      </c>
      <c r="AC23">
        <v>0</v>
      </c>
      <c r="AD23">
        <v>0</v>
      </c>
      <c r="AE23">
        <v>98526.45</v>
      </c>
      <c r="AF23">
        <v>0</v>
      </c>
      <c r="AG23">
        <v>0</v>
      </c>
      <c r="AH23">
        <v>0</v>
      </c>
      <c r="AI23">
        <v>1.68</v>
      </c>
      <c r="AJ23">
        <v>1</v>
      </c>
      <c r="AK23">
        <v>1</v>
      </c>
      <c r="AL23">
        <v>1</v>
      </c>
      <c r="AM23">
        <v>2</v>
      </c>
      <c r="AN23">
        <v>0</v>
      </c>
      <c r="AO23">
        <v>0</v>
      </c>
      <c r="AP23">
        <v>1</v>
      </c>
      <c r="AQ23">
        <v>1</v>
      </c>
      <c r="AR23">
        <v>0</v>
      </c>
      <c r="AS23" t="s">
        <v>3</v>
      </c>
      <c r="AT23">
        <v>1.6999999999999999E-3</v>
      </c>
      <c r="AU23" t="s">
        <v>3</v>
      </c>
      <c r="AV23">
        <v>0</v>
      </c>
      <c r="AW23">
        <v>2</v>
      </c>
      <c r="AX23">
        <v>74016786</v>
      </c>
      <c r="AY23">
        <v>1</v>
      </c>
      <c r="AZ23">
        <v>0</v>
      </c>
      <c r="BA23">
        <v>24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167.49496499999998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167.49496499999998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CV23">
        <v>0</v>
      </c>
      <c r="CW23">
        <v>0</v>
      </c>
      <c r="CX23">
        <f>ROUND(Y23*Source!I69,7)</f>
        <v>3.4E-5</v>
      </c>
      <c r="CY23">
        <f t="shared" si="6"/>
        <v>165524.44</v>
      </c>
      <c r="CZ23">
        <f t="shared" si="7"/>
        <v>98526.45</v>
      </c>
      <c r="DA23">
        <f t="shared" si="8"/>
        <v>1.68</v>
      </c>
      <c r="DB23">
        <f t="shared" si="1"/>
        <v>167.49</v>
      </c>
      <c r="DC23">
        <f t="shared" si="2"/>
        <v>0</v>
      </c>
      <c r="DD23" t="s">
        <v>3</v>
      </c>
      <c r="DE23" t="s">
        <v>3</v>
      </c>
      <c r="DF23">
        <f t="shared" si="11"/>
        <v>5.63</v>
      </c>
      <c r="DG23">
        <f t="shared" si="9"/>
        <v>0</v>
      </c>
      <c r="DH23">
        <f t="shared" si="4"/>
        <v>0</v>
      </c>
      <c r="DI23">
        <f t="shared" si="5"/>
        <v>0</v>
      </c>
      <c r="DJ23">
        <f t="shared" si="10"/>
        <v>5.63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ROW(Source!A69)</f>
        <v>69</v>
      </c>
      <c r="B24">
        <v>74014550</v>
      </c>
      <c r="C24">
        <v>74016070</v>
      </c>
      <c r="D24">
        <v>72629460</v>
      </c>
      <c r="E24">
        <v>1</v>
      </c>
      <c r="F24">
        <v>1</v>
      </c>
      <c r="G24">
        <v>1</v>
      </c>
      <c r="H24">
        <v>3</v>
      </c>
      <c r="I24" t="s">
        <v>123</v>
      </c>
      <c r="J24" t="s">
        <v>126</v>
      </c>
      <c r="K24" t="s">
        <v>124</v>
      </c>
      <c r="L24">
        <v>1301</v>
      </c>
      <c r="N24">
        <v>1003</v>
      </c>
      <c r="O24" t="s">
        <v>125</v>
      </c>
      <c r="P24" t="s">
        <v>125</v>
      </c>
      <c r="Q24">
        <v>1</v>
      </c>
      <c r="W24">
        <v>0</v>
      </c>
      <c r="X24">
        <v>918212004</v>
      </c>
      <c r="Y24">
        <f t="shared" si="0"/>
        <v>100</v>
      </c>
      <c r="AA24">
        <v>201.05</v>
      </c>
      <c r="AB24">
        <v>0</v>
      </c>
      <c r="AC24">
        <v>0</v>
      </c>
      <c r="AD24">
        <v>0</v>
      </c>
      <c r="AE24">
        <v>201.05</v>
      </c>
      <c r="AF24">
        <v>0</v>
      </c>
      <c r="AG24">
        <v>0</v>
      </c>
      <c r="AH24">
        <v>0</v>
      </c>
      <c r="AI24">
        <v>1</v>
      </c>
      <c r="AJ24">
        <v>1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 t="s">
        <v>3</v>
      </c>
      <c r="AT24">
        <v>100</v>
      </c>
      <c r="AU24" t="s">
        <v>3</v>
      </c>
      <c r="AV24">
        <v>0</v>
      </c>
      <c r="AW24">
        <v>1</v>
      </c>
      <c r="AX24">
        <v>-1</v>
      </c>
      <c r="AY24">
        <v>0</v>
      </c>
      <c r="AZ24">
        <v>0</v>
      </c>
      <c r="BA24" t="s">
        <v>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CV24">
        <v>0</v>
      </c>
      <c r="CW24">
        <v>0</v>
      </c>
      <c r="CX24">
        <f>ROUND(Y24*Source!I69,7)</f>
        <v>2</v>
      </c>
      <c r="CY24">
        <f t="shared" si="6"/>
        <v>201.05</v>
      </c>
      <c r="CZ24">
        <f t="shared" si="7"/>
        <v>201.05</v>
      </c>
      <c r="DA24">
        <f t="shared" si="8"/>
        <v>1</v>
      </c>
      <c r="DB24">
        <f t="shared" si="1"/>
        <v>20105</v>
      </c>
      <c r="DC24">
        <f t="shared" si="2"/>
        <v>0</v>
      </c>
      <c r="DD24" t="s">
        <v>3</v>
      </c>
      <c r="DE24" t="s">
        <v>3</v>
      </c>
      <c r="DF24">
        <f t="shared" ref="DF24:DF30" si="12">ROUND(ROUND(AE24,2)*CX24,2)</f>
        <v>402.1</v>
      </c>
      <c r="DG24">
        <f t="shared" si="9"/>
        <v>0</v>
      </c>
      <c r="DH24">
        <f t="shared" si="4"/>
        <v>0</v>
      </c>
      <c r="DI24">
        <f t="shared" si="5"/>
        <v>0</v>
      </c>
      <c r="DJ24">
        <f t="shared" si="10"/>
        <v>402.1</v>
      </c>
      <c r="DK24">
        <v>1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ROW(Source!A71)</f>
        <v>71</v>
      </c>
      <c r="B25">
        <v>74014550</v>
      </c>
      <c r="C25">
        <v>74016102</v>
      </c>
      <c r="D25">
        <v>72518669</v>
      </c>
      <c r="E25">
        <v>119</v>
      </c>
      <c r="F25">
        <v>1</v>
      </c>
      <c r="G25">
        <v>1</v>
      </c>
      <c r="H25">
        <v>1</v>
      </c>
      <c r="I25" t="s">
        <v>543</v>
      </c>
      <c r="J25" t="s">
        <v>3</v>
      </c>
      <c r="K25" t="s">
        <v>544</v>
      </c>
      <c r="L25">
        <v>1191</v>
      </c>
      <c r="N25">
        <v>1013</v>
      </c>
      <c r="O25" t="s">
        <v>484</v>
      </c>
      <c r="P25" t="s">
        <v>484</v>
      </c>
      <c r="Q25">
        <v>1</v>
      </c>
      <c r="W25">
        <v>0</v>
      </c>
      <c r="X25">
        <v>1903532093</v>
      </c>
      <c r="Y25">
        <f t="shared" si="0"/>
        <v>5.91</v>
      </c>
      <c r="AA25">
        <v>0</v>
      </c>
      <c r="AB25">
        <v>0</v>
      </c>
      <c r="AC25">
        <v>0</v>
      </c>
      <c r="AD25">
        <v>430.11</v>
      </c>
      <c r="AE25">
        <v>0</v>
      </c>
      <c r="AF25">
        <v>0</v>
      </c>
      <c r="AG25">
        <v>0</v>
      </c>
      <c r="AH25">
        <v>430.11</v>
      </c>
      <c r="AI25">
        <v>1</v>
      </c>
      <c r="AJ25">
        <v>1</v>
      </c>
      <c r="AK25">
        <v>1</v>
      </c>
      <c r="AL25">
        <v>1</v>
      </c>
      <c r="AM25">
        <v>-2</v>
      </c>
      <c r="AN25">
        <v>0</v>
      </c>
      <c r="AO25">
        <v>0</v>
      </c>
      <c r="AP25">
        <v>1</v>
      </c>
      <c r="AQ25">
        <v>1</v>
      </c>
      <c r="AR25">
        <v>0</v>
      </c>
      <c r="AS25" t="s">
        <v>3</v>
      </c>
      <c r="AT25">
        <v>5.91</v>
      </c>
      <c r="AU25" t="s">
        <v>3</v>
      </c>
      <c r="AV25">
        <v>1</v>
      </c>
      <c r="AW25">
        <v>2</v>
      </c>
      <c r="AX25">
        <v>74017718</v>
      </c>
      <c r="AY25">
        <v>1</v>
      </c>
      <c r="AZ25">
        <v>0</v>
      </c>
      <c r="BA25">
        <v>26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2541.9501</v>
      </c>
      <c r="BN25">
        <v>5.91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2541.9501</v>
      </c>
      <c r="BU25">
        <v>5.91</v>
      </c>
      <c r="BV25">
        <v>0</v>
      </c>
      <c r="BW25">
        <v>1</v>
      </c>
      <c r="CU25">
        <f>ROUND(AT25*Source!I71*AH25*AL25,2)</f>
        <v>2541.9499999999998</v>
      </c>
      <c r="CV25">
        <f>ROUND(Y25*Source!I71,7)</f>
        <v>5.91</v>
      </c>
      <c r="CW25">
        <v>0</v>
      </c>
      <c r="CX25">
        <f>ROUND(Y25*Source!I71,7)</f>
        <v>5.91</v>
      </c>
      <c r="CY25">
        <f>AD25</f>
        <v>430.11</v>
      </c>
      <c r="CZ25">
        <f>AH25</f>
        <v>430.11</v>
      </c>
      <c r="DA25">
        <f>AL25</f>
        <v>1</v>
      </c>
      <c r="DB25">
        <f t="shared" si="1"/>
        <v>2541.9499999999998</v>
      </c>
      <c r="DC25">
        <f t="shared" si="2"/>
        <v>0</v>
      </c>
      <c r="DD25" t="s">
        <v>3</v>
      </c>
      <c r="DE25" t="s">
        <v>3</v>
      </c>
      <c r="DF25">
        <f t="shared" si="12"/>
        <v>0</v>
      </c>
      <c r="DG25">
        <f t="shared" si="9"/>
        <v>0</v>
      </c>
      <c r="DH25">
        <f t="shared" si="4"/>
        <v>0</v>
      </c>
      <c r="DI25">
        <f t="shared" si="5"/>
        <v>2541.9499999999998</v>
      </c>
      <c r="DJ25">
        <f>DI25</f>
        <v>2541.9499999999998</v>
      </c>
      <c r="DK25">
        <v>1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ROW(Source!A71)</f>
        <v>71</v>
      </c>
      <c r="B26">
        <v>74014550</v>
      </c>
      <c r="C26">
        <v>74016102</v>
      </c>
      <c r="D26">
        <v>72518826</v>
      </c>
      <c r="E26">
        <v>119</v>
      </c>
      <c r="F26">
        <v>1</v>
      </c>
      <c r="G26">
        <v>1</v>
      </c>
      <c r="H26">
        <v>1</v>
      </c>
      <c r="I26" t="s">
        <v>482</v>
      </c>
      <c r="J26" t="s">
        <v>3</v>
      </c>
      <c r="K26" t="s">
        <v>483</v>
      </c>
      <c r="L26">
        <v>1191</v>
      </c>
      <c r="N26">
        <v>1013</v>
      </c>
      <c r="O26" t="s">
        <v>484</v>
      </c>
      <c r="P26" t="s">
        <v>484</v>
      </c>
      <c r="Q26">
        <v>1</v>
      </c>
      <c r="W26">
        <v>0</v>
      </c>
      <c r="X26">
        <v>-1417349443</v>
      </c>
      <c r="Y26">
        <f t="shared" si="0"/>
        <v>0.14000000000000001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1</v>
      </c>
      <c r="AK26">
        <v>1</v>
      </c>
      <c r="AL26">
        <v>1</v>
      </c>
      <c r="AM26">
        <v>-2</v>
      </c>
      <c r="AN26">
        <v>0</v>
      </c>
      <c r="AO26">
        <v>0</v>
      </c>
      <c r="AP26">
        <v>1</v>
      </c>
      <c r="AQ26">
        <v>1</v>
      </c>
      <c r="AR26">
        <v>0</v>
      </c>
      <c r="AS26" t="s">
        <v>3</v>
      </c>
      <c r="AT26">
        <v>0.14000000000000001</v>
      </c>
      <c r="AU26" t="s">
        <v>3</v>
      </c>
      <c r="AV26">
        <v>2</v>
      </c>
      <c r="AW26">
        <v>2</v>
      </c>
      <c r="AX26">
        <v>74017719</v>
      </c>
      <c r="AY26">
        <v>1</v>
      </c>
      <c r="AZ26">
        <v>0</v>
      </c>
      <c r="BA26">
        <v>27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CV26">
        <v>0</v>
      </c>
      <c r="CW26">
        <v>0</v>
      </c>
      <c r="CX26">
        <f>ROUND(Y26*Source!I71,7)</f>
        <v>0.14000000000000001</v>
      </c>
      <c r="CY26">
        <f>AD26</f>
        <v>0</v>
      </c>
      <c r="CZ26">
        <f>AH26</f>
        <v>0</v>
      </c>
      <c r="DA26">
        <f>AL26</f>
        <v>1</v>
      </c>
      <c r="DB26">
        <f t="shared" si="1"/>
        <v>0</v>
      </c>
      <c r="DC26">
        <f t="shared" si="2"/>
        <v>0</v>
      </c>
      <c r="DD26" t="s">
        <v>3</v>
      </c>
      <c r="DE26" t="s">
        <v>3</v>
      </c>
      <c r="DF26">
        <f t="shared" si="12"/>
        <v>0</v>
      </c>
      <c r="DG26">
        <f t="shared" si="9"/>
        <v>0</v>
      </c>
      <c r="DH26">
        <f t="shared" si="4"/>
        <v>0</v>
      </c>
      <c r="DI26">
        <f t="shared" si="5"/>
        <v>0</v>
      </c>
      <c r="DJ26">
        <f>DI26</f>
        <v>0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ROW(Source!A71)</f>
        <v>71</v>
      </c>
      <c r="B27">
        <v>74014550</v>
      </c>
      <c r="C27">
        <v>74016102</v>
      </c>
      <c r="D27">
        <v>72646931</v>
      </c>
      <c r="E27">
        <v>1</v>
      </c>
      <c r="F27">
        <v>1</v>
      </c>
      <c r="G27">
        <v>1</v>
      </c>
      <c r="H27">
        <v>2</v>
      </c>
      <c r="I27" t="s">
        <v>545</v>
      </c>
      <c r="J27" t="s">
        <v>546</v>
      </c>
      <c r="K27" t="s">
        <v>547</v>
      </c>
      <c r="L27">
        <v>1368</v>
      </c>
      <c r="N27">
        <v>1011</v>
      </c>
      <c r="O27" t="s">
        <v>488</v>
      </c>
      <c r="P27" t="s">
        <v>488</v>
      </c>
      <c r="Q27">
        <v>1</v>
      </c>
      <c r="W27">
        <v>0</v>
      </c>
      <c r="X27">
        <v>4063365</v>
      </c>
      <c r="Y27">
        <f t="shared" si="0"/>
        <v>0.14000000000000001</v>
      </c>
      <c r="AA27">
        <v>0</v>
      </c>
      <c r="AB27">
        <v>655.95</v>
      </c>
      <c r="AC27">
        <v>400.24</v>
      </c>
      <c r="AD27">
        <v>0</v>
      </c>
      <c r="AE27">
        <v>0</v>
      </c>
      <c r="AF27">
        <v>655.95</v>
      </c>
      <c r="AG27">
        <v>400.24</v>
      </c>
      <c r="AH27">
        <v>0</v>
      </c>
      <c r="AI27">
        <v>1</v>
      </c>
      <c r="AJ27">
        <v>1</v>
      </c>
      <c r="AK27">
        <v>1</v>
      </c>
      <c r="AL27">
        <v>1</v>
      </c>
      <c r="AM27">
        <v>-2</v>
      </c>
      <c r="AN27">
        <v>0</v>
      </c>
      <c r="AO27">
        <v>0</v>
      </c>
      <c r="AP27">
        <v>1</v>
      </c>
      <c r="AQ27">
        <v>1</v>
      </c>
      <c r="AR27">
        <v>0</v>
      </c>
      <c r="AS27" t="s">
        <v>3</v>
      </c>
      <c r="AT27">
        <v>0.14000000000000001</v>
      </c>
      <c r="AU27" t="s">
        <v>3</v>
      </c>
      <c r="AV27">
        <v>1</v>
      </c>
      <c r="AW27">
        <v>2</v>
      </c>
      <c r="AX27">
        <v>74017720</v>
      </c>
      <c r="AY27">
        <v>1</v>
      </c>
      <c r="AZ27">
        <v>0</v>
      </c>
      <c r="BA27">
        <v>28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91.833000000000013</v>
      </c>
      <c r="BL27">
        <v>56.033600000000007</v>
      </c>
      <c r="BM27">
        <v>0</v>
      </c>
      <c r="BN27">
        <v>0</v>
      </c>
      <c r="BO27">
        <v>0.14000000000000001</v>
      </c>
      <c r="BP27">
        <v>1</v>
      </c>
      <c r="BQ27">
        <v>0</v>
      </c>
      <c r="BR27">
        <v>91.833000000000013</v>
      </c>
      <c r="BS27">
        <v>56.033600000000007</v>
      </c>
      <c r="BT27">
        <v>0</v>
      </c>
      <c r="BU27">
        <v>0</v>
      </c>
      <c r="BV27">
        <v>0.14000000000000001</v>
      </c>
      <c r="BW27">
        <v>1</v>
      </c>
      <c r="CV27">
        <v>0</v>
      </c>
      <c r="CW27">
        <f>ROUND(Y27*Source!I71*DO27,7)</f>
        <v>0.14000000000000001</v>
      </c>
      <c r="CX27">
        <f>ROUND(Y27*Source!I71,7)</f>
        <v>0.14000000000000001</v>
      </c>
      <c r="CY27">
        <f>AB27</f>
        <v>655.95</v>
      </c>
      <c r="CZ27">
        <f>AF27</f>
        <v>655.95</v>
      </c>
      <c r="DA27">
        <f>AJ27</f>
        <v>1</v>
      </c>
      <c r="DB27">
        <f t="shared" si="1"/>
        <v>91.83</v>
      </c>
      <c r="DC27">
        <f t="shared" si="2"/>
        <v>56.03</v>
      </c>
      <c r="DD27" t="s">
        <v>3</v>
      </c>
      <c r="DE27" t="s">
        <v>3</v>
      </c>
      <c r="DF27">
        <f t="shared" si="12"/>
        <v>0</v>
      </c>
      <c r="DG27">
        <f t="shared" si="9"/>
        <v>91.83</v>
      </c>
      <c r="DH27">
        <f t="shared" si="4"/>
        <v>56.03</v>
      </c>
      <c r="DI27">
        <f t="shared" si="5"/>
        <v>0</v>
      </c>
      <c r="DJ27">
        <f>DG27+DH27</f>
        <v>147.86000000000001</v>
      </c>
      <c r="DK27">
        <v>1</v>
      </c>
      <c r="DL27" t="s">
        <v>514</v>
      </c>
      <c r="DM27">
        <v>4</v>
      </c>
      <c r="DN27" t="s">
        <v>484</v>
      </c>
      <c r="DO27">
        <v>1</v>
      </c>
    </row>
    <row r="28" spans="1:119" x14ac:dyDescent="0.2">
      <c r="A28">
        <f>ROW(Source!A71)</f>
        <v>71</v>
      </c>
      <c r="B28">
        <v>74014550</v>
      </c>
      <c r="C28">
        <v>74016102</v>
      </c>
      <c r="D28">
        <v>72647091</v>
      </c>
      <c r="E28">
        <v>1</v>
      </c>
      <c r="F28">
        <v>1</v>
      </c>
      <c r="G28">
        <v>1</v>
      </c>
      <c r="H28">
        <v>2</v>
      </c>
      <c r="I28" t="s">
        <v>548</v>
      </c>
      <c r="J28" t="s">
        <v>549</v>
      </c>
      <c r="K28" t="s">
        <v>550</v>
      </c>
      <c r="L28">
        <v>1368</v>
      </c>
      <c r="N28">
        <v>1011</v>
      </c>
      <c r="O28" t="s">
        <v>488</v>
      </c>
      <c r="P28" t="s">
        <v>488</v>
      </c>
      <c r="Q28">
        <v>1</v>
      </c>
      <c r="W28">
        <v>0</v>
      </c>
      <c r="X28">
        <v>84725822</v>
      </c>
      <c r="Y28">
        <f t="shared" si="0"/>
        <v>0.8</v>
      </c>
      <c r="AA28">
        <v>0</v>
      </c>
      <c r="AB28">
        <v>5.66</v>
      </c>
      <c r="AC28">
        <v>0</v>
      </c>
      <c r="AD28">
        <v>0</v>
      </c>
      <c r="AE28">
        <v>0</v>
      </c>
      <c r="AF28">
        <v>4.3499999999999996</v>
      </c>
      <c r="AG28">
        <v>0</v>
      </c>
      <c r="AH28">
        <v>0</v>
      </c>
      <c r="AI28">
        <v>1</v>
      </c>
      <c r="AJ28">
        <v>1.3</v>
      </c>
      <c r="AK28">
        <v>1</v>
      </c>
      <c r="AL28">
        <v>1</v>
      </c>
      <c r="AM28">
        <v>2</v>
      </c>
      <c r="AN28">
        <v>0</v>
      </c>
      <c r="AO28">
        <v>0</v>
      </c>
      <c r="AP28">
        <v>1</v>
      </c>
      <c r="AQ28">
        <v>1</v>
      </c>
      <c r="AR28">
        <v>0</v>
      </c>
      <c r="AS28" t="s">
        <v>3</v>
      </c>
      <c r="AT28">
        <v>0.8</v>
      </c>
      <c r="AU28" t="s">
        <v>3</v>
      </c>
      <c r="AV28">
        <v>1</v>
      </c>
      <c r="AW28">
        <v>2</v>
      </c>
      <c r="AX28">
        <v>74017721</v>
      </c>
      <c r="AY28">
        <v>1</v>
      </c>
      <c r="AZ28">
        <v>0</v>
      </c>
      <c r="BA28">
        <v>29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3.48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3.48</v>
      </c>
      <c r="BS28">
        <v>0</v>
      </c>
      <c r="BT28">
        <v>0</v>
      </c>
      <c r="BU28">
        <v>0</v>
      </c>
      <c r="BV28">
        <v>0</v>
      </c>
      <c r="BW28">
        <v>1</v>
      </c>
      <c r="CV28">
        <v>0</v>
      </c>
      <c r="CW28">
        <f>ROUND(Y28*Source!I71*DO28,7)</f>
        <v>0</v>
      </c>
      <c r="CX28">
        <f>ROUND(Y28*Source!I71,7)</f>
        <v>0.8</v>
      </c>
      <c r="CY28">
        <f>AB28</f>
        <v>5.66</v>
      </c>
      <c r="CZ28">
        <f>AF28</f>
        <v>4.3499999999999996</v>
      </c>
      <c r="DA28">
        <f>AJ28</f>
        <v>1.3</v>
      </c>
      <c r="DB28">
        <f t="shared" si="1"/>
        <v>3.48</v>
      </c>
      <c r="DC28">
        <f t="shared" si="2"/>
        <v>0</v>
      </c>
      <c r="DD28" t="s">
        <v>3</v>
      </c>
      <c r="DE28" t="s">
        <v>3</v>
      </c>
      <c r="DF28">
        <f t="shared" si="12"/>
        <v>0</v>
      </c>
      <c r="DG28">
        <f>ROUND(ROUND(AF28*AJ28,2)*CX28,2)</f>
        <v>4.53</v>
      </c>
      <c r="DH28">
        <f t="shared" si="4"/>
        <v>0</v>
      </c>
      <c r="DI28">
        <f t="shared" si="5"/>
        <v>0</v>
      </c>
      <c r="DJ28">
        <f>DG28+DH28</f>
        <v>4.53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ROW(Source!A71)</f>
        <v>71</v>
      </c>
      <c r="B29">
        <v>74014550</v>
      </c>
      <c r="C29">
        <v>74016102</v>
      </c>
      <c r="D29">
        <v>72647129</v>
      </c>
      <c r="E29">
        <v>1</v>
      </c>
      <c r="F29">
        <v>1</v>
      </c>
      <c r="G29">
        <v>1</v>
      </c>
      <c r="H29">
        <v>2</v>
      </c>
      <c r="I29" t="s">
        <v>508</v>
      </c>
      <c r="J29" t="s">
        <v>509</v>
      </c>
      <c r="K29" t="s">
        <v>510</v>
      </c>
      <c r="L29">
        <v>1368</v>
      </c>
      <c r="N29">
        <v>1011</v>
      </c>
      <c r="O29" t="s">
        <v>488</v>
      </c>
      <c r="P29" t="s">
        <v>488</v>
      </c>
      <c r="Q29">
        <v>1</v>
      </c>
      <c r="W29">
        <v>0</v>
      </c>
      <c r="X29">
        <v>1678177714</v>
      </c>
      <c r="Y29">
        <f t="shared" si="0"/>
        <v>2.4500000000000002</v>
      </c>
      <c r="AA29">
        <v>0</v>
      </c>
      <c r="AB29">
        <v>43.87</v>
      </c>
      <c r="AC29">
        <v>0</v>
      </c>
      <c r="AD29">
        <v>0</v>
      </c>
      <c r="AE29">
        <v>0</v>
      </c>
      <c r="AF29">
        <v>43.87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M29">
        <v>-2</v>
      </c>
      <c r="AN29">
        <v>0</v>
      </c>
      <c r="AO29">
        <v>0</v>
      </c>
      <c r="AP29">
        <v>1</v>
      </c>
      <c r="AQ29">
        <v>1</v>
      </c>
      <c r="AR29">
        <v>0</v>
      </c>
      <c r="AS29" t="s">
        <v>3</v>
      </c>
      <c r="AT29">
        <v>2.4500000000000002</v>
      </c>
      <c r="AU29" t="s">
        <v>3</v>
      </c>
      <c r="AV29">
        <v>1</v>
      </c>
      <c r="AW29">
        <v>2</v>
      </c>
      <c r="AX29">
        <v>74017722</v>
      </c>
      <c r="AY29">
        <v>1</v>
      </c>
      <c r="AZ29">
        <v>0</v>
      </c>
      <c r="BA29">
        <v>30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107.4815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0</v>
      </c>
      <c r="BR29">
        <v>107.4815</v>
      </c>
      <c r="BS29">
        <v>0</v>
      </c>
      <c r="BT29">
        <v>0</v>
      </c>
      <c r="BU29">
        <v>0</v>
      </c>
      <c r="BV29">
        <v>0</v>
      </c>
      <c r="BW29">
        <v>1</v>
      </c>
      <c r="CV29">
        <v>0</v>
      </c>
      <c r="CW29">
        <f>ROUND(Y29*Source!I71*DO29,7)</f>
        <v>0</v>
      </c>
      <c r="CX29">
        <f>ROUND(Y29*Source!I71,7)</f>
        <v>2.4500000000000002</v>
      </c>
      <c r="CY29">
        <f>AB29</f>
        <v>43.87</v>
      </c>
      <c r="CZ29">
        <f>AF29</f>
        <v>43.87</v>
      </c>
      <c r="DA29">
        <f>AJ29</f>
        <v>1</v>
      </c>
      <c r="DB29">
        <f t="shared" si="1"/>
        <v>107.48</v>
      </c>
      <c r="DC29">
        <f t="shared" si="2"/>
        <v>0</v>
      </c>
      <c r="DD29" t="s">
        <v>3</v>
      </c>
      <c r="DE29" t="s">
        <v>3</v>
      </c>
      <c r="DF29">
        <f t="shared" si="12"/>
        <v>0</v>
      </c>
      <c r="DG29">
        <f t="shared" ref="DG29:DG41" si="13">ROUND(ROUND(AF29,2)*CX29,2)</f>
        <v>107.48</v>
      </c>
      <c r="DH29">
        <f t="shared" si="4"/>
        <v>0</v>
      </c>
      <c r="DI29">
        <f t="shared" si="5"/>
        <v>0</v>
      </c>
      <c r="DJ29">
        <f>DG29+DH29</f>
        <v>107.48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ROW(Source!A71)</f>
        <v>71</v>
      </c>
      <c r="B30">
        <v>74014550</v>
      </c>
      <c r="C30">
        <v>74016102</v>
      </c>
      <c r="D30">
        <v>72589309</v>
      </c>
      <c r="E30">
        <v>1</v>
      </c>
      <c r="F30">
        <v>1</v>
      </c>
      <c r="G30">
        <v>1</v>
      </c>
      <c r="H30">
        <v>3</v>
      </c>
      <c r="I30" t="s">
        <v>551</v>
      </c>
      <c r="J30" t="s">
        <v>552</v>
      </c>
      <c r="K30" t="s">
        <v>553</v>
      </c>
      <c r="L30">
        <v>1339</v>
      </c>
      <c r="N30">
        <v>1007</v>
      </c>
      <c r="O30" t="s">
        <v>48</v>
      </c>
      <c r="P30" t="s">
        <v>48</v>
      </c>
      <c r="Q30">
        <v>1</v>
      </c>
      <c r="W30">
        <v>0</v>
      </c>
      <c r="X30">
        <v>481898357</v>
      </c>
      <c r="Y30">
        <f t="shared" si="0"/>
        <v>0.3</v>
      </c>
      <c r="AA30">
        <v>115.4</v>
      </c>
      <c r="AB30">
        <v>0</v>
      </c>
      <c r="AC30">
        <v>0</v>
      </c>
      <c r="AD30">
        <v>0</v>
      </c>
      <c r="AE30">
        <v>115.4</v>
      </c>
      <c r="AF30">
        <v>0</v>
      </c>
      <c r="AG30">
        <v>0</v>
      </c>
      <c r="AH30">
        <v>0</v>
      </c>
      <c r="AI30">
        <v>1</v>
      </c>
      <c r="AJ30">
        <v>1</v>
      </c>
      <c r="AK30">
        <v>1</v>
      </c>
      <c r="AL30">
        <v>1</v>
      </c>
      <c r="AM30">
        <v>-2</v>
      </c>
      <c r="AN30">
        <v>0</v>
      </c>
      <c r="AO30">
        <v>0</v>
      </c>
      <c r="AP30">
        <v>1</v>
      </c>
      <c r="AQ30">
        <v>1</v>
      </c>
      <c r="AR30">
        <v>0</v>
      </c>
      <c r="AS30" t="s">
        <v>3</v>
      </c>
      <c r="AT30">
        <v>0.3</v>
      </c>
      <c r="AU30" t="s">
        <v>3</v>
      </c>
      <c r="AV30">
        <v>0</v>
      </c>
      <c r="AW30">
        <v>2</v>
      </c>
      <c r="AX30">
        <v>74017723</v>
      </c>
      <c r="AY30">
        <v>1</v>
      </c>
      <c r="AZ30">
        <v>0</v>
      </c>
      <c r="BA30">
        <v>31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34.619999999999997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34.619999999999997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CV30">
        <v>0</v>
      </c>
      <c r="CW30">
        <v>0</v>
      </c>
      <c r="CX30">
        <f>ROUND(Y30*Source!I71,7)</f>
        <v>0.3</v>
      </c>
      <c r="CY30">
        <f t="shared" ref="CY30:CY40" si="14">AA30</f>
        <v>115.4</v>
      </c>
      <c r="CZ30">
        <f t="shared" ref="CZ30:CZ40" si="15">AE30</f>
        <v>115.4</v>
      </c>
      <c r="DA30">
        <f t="shared" ref="DA30:DA40" si="16">AI30</f>
        <v>1</v>
      </c>
      <c r="DB30">
        <f t="shared" si="1"/>
        <v>34.619999999999997</v>
      </c>
      <c r="DC30">
        <f t="shared" si="2"/>
        <v>0</v>
      </c>
      <c r="DD30" t="s">
        <v>3</v>
      </c>
      <c r="DE30" t="s">
        <v>3</v>
      </c>
      <c r="DF30">
        <f t="shared" si="12"/>
        <v>34.619999999999997</v>
      </c>
      <c r="DG30">
        <f t="shared" si="13"/>
        <v>0</v>
      </c>
      <c r="DH30">
        <f t="shared" si="4"/>
        <v>0</v>
      </c>
      <c r="DI30">
        <f t="shared" si="5"/>
        <v>0</v>
      </c>
      <c r="DJ30">
        <f t="shared" ref="DJ30:DJ40" si="17">DF30</f>
        <v>34.619999999999997</v>
      </c>
      <c r="DK30">
        <v>1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ROW(Source!A71)</f>
        <v>71</v>
      </c>
      <c r="B31">
        <v>74014550</v>
      </c>
      <c r="C31">
        <v>74016102</v>
      </c>
      <c r="D31">
        <v>72589313</v>
      </c>
      <c r="E31">
        <v>1</v>
      </c>
      <c r="F31">
        <v>1</v>
      </c>
      <c r="G31">
        <v>1</v>
      </c>
      <c r="H31">
        <v>3</v>
      </c>
      <c r="I31" t="s">
        <v>554</v>
      </c>
      <c r="J31" t="s">
        <v>555</v>
      </c>
      <c r="K31" t="s">
        <v>556</v>
      </c>
      <c r="L31">
        <v>1346</v>
      </c>
      <c r="N31">
        <v>1009</v>
      </c>
      <c r="O31" t="s">
        <v>314</v>
      </c>
      <c r="P31" t="s">
        <v>314</v>
      </c>
      <c r="Q31">
        <v>1</v>
      </c>
      <c r="W31">
        <v>0</v>
      </c>
      <c r="X31">
        <v>-306130479</v>
      </c>
      <c r="Y31">
        <f t="shared" si="0"/>
        <v>0.06</v>
      </c>
      <c r="AA31">
        <v>57.52</v>
      </c>
      <c r="AB31">
        <v>0</v>
      </c>
      <c r="AC31">
        <v>0</v>
      </c>
      <c r="AD31">
        <v>0</v>
      </c>
      <c r="AE31">
        <v>41.38</v>
      </c>
      <c r="AF31">
        <v>0</v>
      </c>
      <c r="AG31">
        <v>0</v>
      </c>
      <c r="AH31">
        <v>0</v>
      </c>
      <c r="AI31">
        <v>1.39</v>
      </c>
      <c r="AJ31">
        <v>1</v>
      </c>
      <c r="AK31">
        <v>1</v>
      </c>
      <c r="AL31">
        <v>1</v>
      </c>
      <c r="AM31">
        <v>2</v>
      </c>
      <c r="AN31">
        <v>0</v>
      </c>
      <c r="AO31">
        <v>0</v>
      </c>
      <c r="AP31">
        <v>1</v>
      </c>
      <c r="AQ31">
        <v>1</v>
      </c>
      <c r="AR31">
        <v>0</v>
      </c>
      <c r="AS31" t="s">
        <v>3</v>
      </c>
      <c r="AT31">
        <v>0.06</v>
      </c>
      <c r="AU31" t="s">
        <v>3</v>
      </c>
      <c r="AV31">
        <v>0</v>
      </c>
      <c r="AW31">
        <v>2</v>
      </c>
      <c r="AX31">
        <v>74017724</v>
      </c>
      <c r="AY31">
        <v>1</v>
      </c>
      <c r="AZ31">
        <v>0</v>
      </c>
      <c r="BA31">
        <v>32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2.4828000000000001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2.4828000000000001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CV31">
        <v>0</v>
      </c>
      <c r="CW31">
        <v>0</v>
      </c>
      <c r="CX31">
        <f>ROUND(Y31*Source!I71,7)</f>
        <v>0.06</v>
      </c>
      <c r="CY31">
        <f t="shared" si="14"/>
        <v>57.52</v>
      </c>
      <c r="CZ31">
        <f t="shared" si="15"/>
        <v>41.38</v>
      </c>
      <c r="DA31">
        <f t="shared" si="16"/>
        <v>1.39</v>
      </c>
      <c r="DB31">
        <f t="shared" si="1"/>
        <v>2.48</v>
      </c>
      <c r="DC31">
        <f t="shared" si="2"/>
        <v>0</v>
      </c>
      <c r="DD31" t="s">
        <v>3</v>
      </c>
      <c r="DE31" t="s">
        <v>3</v>
      </c>
      <c r="DF31">
        <f>ROUND(ROUND(AE31*AI31,2)*CX31,2)</f>
        <v>3.45</v>
      </c>
      <c r="DG31">
        <f t="shared" si="13"/>
        <v>0</v>
      </c>
      <c r="DH31">
        <f t="shared" si="4"/>
        <v>0</v>
      </c>
      <c r="DI31">
        <f t="shared" si="5"/>
        <v>0</v>
      </c>
      <c r="DJ31">
        <f t="shared" si="17"/>
        <v>3.45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ROW(Source!A71)</f>
        <v>71</v>
      </c>
      <c r="B32">
        <v>74014550</v>
      </c>
      <c r="C32">
        <v>74016102</v>
      </c>
      <c r="D32">
        <v>72591353</v>
      </c>
      <c r="E32">
        <v>1</v>
      </c>
      <c r="F32">
        <v>1</v>
      </c>
      <c r="G32">
        <v>1</v>
      </c>
      <c r="H32">
        <v>3</v>
      </c>
      <c r="I32" t="s">
        <v>518</v>
      </c>
      <c r="J32" t="s">
        <v>519</v>
      </c>
      <c r="K32" t="s">
        <v>520</v>
      </c>
      <c r="L32">
        <v>1383</v>
      </c>
      <c r="N32">
        <v>1013</v>
      </c>
      <c r="O32" t="s">
        <v>521</v>
      </c>
      <c r="P32" t="s">
        <v>521</v>
      </c>
      <c r="Q32">
        <v>1</v>
      </c>
      <c r="W32">
        <v>0</v>
      </c>
      <c r="X32">
        <v>86017057</v>
      </c>
      <c r="Y32">
        <f t="shared" si="0"/>
        <v>0.45</v>
      </c>
      <c r="AA32">
        <v>9.5500000000000007</v>
      </c>
      <c r="AB32">
        <v>0</v>
      </c>
      <c r="AC32">
        <v>0</v>
      </c>
      <c r="AD32">
        <v>0</v>
      </c>
      <c r="AE32">
        <v>9.5500000000000007</v>
      </c>
      <c r="AF32">
        <v>0</v>
      </c>
      <c r="AG32">
        <v>0</v>
      </c>
      <c r="AH32">
        <v>0</v>
      </c>
      <c r="AI32">
        <v>1</v>
      </c>
      <c r="AJ32">
        <v>1</v>
      </c>
      <c r="AK32">
        <v>1</v>
      </c>
      <c r="AL32">
        <v>1</v>
      </c>
      <c r="AM32">
        <v>-2</v>
      </c>
      <c r="AN32">
        <v>0</v>
      </c>
      <c r="AO32">
        <v>0</v>
      </c>
      <c r="AP32">
        <v>1</v>
      </c>
      <c r="AQ32">
        <v>1</v>
      </c>
      <c r="AR32">
        <v>0</v>
      </c>
      <c r="AS32" t="s">
        <v>3</v>
      </c>
      <c r="AT32">
        <v>0.45</v>
      </c>
      <c r="AU32" t="s">
        <v>3</v>
      </c>
      <c r="AV32">
        <v>0</v>
      </c>
      <c r="AW32">
        <v>2</v>
      </c>
      <c r="AX32">
        <v>74017725</v>
      </c>
      <c r="AY32">
        <v>1</v>
      </c>
      <c r="AZ32">
        <v>0</v>
      </c>
      <c r="BA32">
        <v>33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4.2975000000000003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4.2975000000000003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CV32">
        <v>0</v>
      </c>
      <c r="CW32">
        <v>0</v>
      </c>
      <c r="CX32">
        <f>ROUND(Y32*Source!I71,7)</f>
        <v>0.45</v>
      </c>
      <c r="CY32">
        <f t="shared" si="14"/>
        <v>9.5500000000000007</v>
      </c>
      <c r="CZ32">
        <f t="shared" si="15"/>
        <v>9.5500000000000007</v>
      </c>
      <c r="DA32">
        <f t="shared" si="16"/>
        <v>1</v>
      </c>
      <c r="DB32">
        <f t="shared" si="1"/>
        <v>4.3</v>
      </c>
      <c r="DC32">
        <f t="shared" si="2"/>
        <v>0</v>
      </c>
      <c r="DD32" t="s">
        <v>3</v>
      </c>
      <c r="DE32" t="s">
        <v>3</v>
      </c>
      <c r="DF32">
        <f>ROUND(ROUND(AE32,2)*CX32,2)</f>
        <v>4.3</v>
      </c>
      <c r="DG32">
        <f t="shared" si="13"/>
        <v>0</v>
      </c>
      <c r="DH32">
        <f t="shared" si="4"/>
        <v>0</v>
      </c>
      <c r="DI32">
        <f t="shared" si="5"/>
        <v>0</v>
      </c>
      <c r="DJ32">
        <f t="shared" si="17"/>
        <v>4.3</v>
      </c>
      <c r="DK32">
        <v>1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ROW(Source!A71)</f>
        <v>71</v>
      </c>
      <c r="B33">
        <v>74014550</v>
      </c>
      <c r="C33">
        <v>74016102</v>
      </c>
      <c r="D33">
        <v>72592092</v>
      </c>
      <c r="E33">
        <v>1</v>
      </c>
      <c r="F33">
        <v>1</v>
      </c>
      <c r="G33">
        <v>1</v>
      </c>
      <c r="H33">
        <v>3</v>
      </c>
      <c r="I33" t="s">
        <v>522</v>
      </c>
      <c r="J33" t="s">
        <v>523</v>
      </c>
      <c r="K33" t="s">
        <v>524</v>
      </c>
      <c r="L33">
        <v>1346</v>
      </c>
      <c r="N33">
        <v>1009</v>
      </c>
      <c r="O33" t="s">
        <v>314</v>
      </c>
      <c r="P33" t="s">
        <v>314</v>
      </c>
      <c r="Q33">
        <v>1</v>
      </c>
      <c r="W33">
        <v>0</v>
      </c>
      <c r="X33">
        <v>743240341</v>
      </c>
      <c r="Y33">
        <f t="shared" ref="Y33:Y64" si="18">AT33</f>
        <v>0.72</v>
      </c>
      <c r="AA33">
        <v>131.85</v>
      </c>
      <c r="AB33">
        <v>0</v>
      </c>
      <c r="AC33">
        <v>0</v>
      </c>
      <c r="AD33">
        <v>0</v>
      </c>
      <c r="AE33">
        <v>131.85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1</v>
      </c>
      <c r="AL33">
        <v>1</v>
      </c>
      <c r="AM33">
        <v>-2</v>
      </c>
      <c r="AN33">
        <v>0</v>
      </c>
      <c r="AO33">
        <v>0</v>
      </c>
      <c r="AP33">
        <v>1</v>
      </c>
      <c r="AQ33">
        <v>1</v>
      </c>
      <c r="AR33">
        <v>0</v>
      </c>
      <c r="AS33" t="s">
        <v>3</v>
      </c>
      <c r="AT33">
        <v>0.72</v>
      </c>
      <c r="AU33" t="s">
        <v>3</v>
      </c>
      <c r="AV33">
        <v>0</v>
      </c>
      <c r="AW33">
        <v>2</v>
      </c>
      <c r="AX33">
        <v>74017726</v>
      </c>
      <c r="AY33">
        <v>1</v>
      </c>
      <c r="AZ33">
        <v>0</v>
      </c>
      <c r="BA33">
        <v>34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94.931999999999988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94.931999999999988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CV33">
        <v>0</v>
      </c>
      <c r="CW33">
        <v>0</v>
      </c>
      <c r="CX33">
        <f>ROUND(Y33*Source!I71,7)</f>
        <v>0.72</v>
      </c>
      <c r="CY33">
        <f t="shared" si="14"/>
        <v>131.85</v>
      </c>
      <c r="CZ33">
        <f t="shared" si="15"/>
        <v>131.85</v>
      </c>
      <c r="DA33">
        <f t="shared" si="16"/>
        <v>1</v>
      </c>
      <c r="DB33">
        <f t="shared" ref="DB33:DB64" si="19">ROUND(ROUND(AT33*CZ33,2),6)</f>
        <v>94.93</v>
      </c>
      <c r="DC33">
        <f t="shared" ref="DC33:DC64" si="20">ROUND(ROUND(AT33*AG33,2),6)</f>
        <v>0</v>
      </c>
      <c r="DD33" t="s">
        <v>3</v>
      </c>
      <c r="DE33" t="s">
        <v>3</v>
      </c>
      <c r="DF33">
        <f>ROUND(ROUND(AE33,2)*CX33,2)</f>
        <v>94.93</v>
      </c>
      <c r="DG33">
        <f t="shared" si="13"/>
        <v>0</v>
      </c>
      <c r="DH33">
        <f t="shared" si="4"/>
        <v>0</v>
      </c>
      <c r="DI33">
        <f t="shared" si="5"/>
        <v>0</v>
      </c>
      <c r="DJ33">
        <f t="shared" si="17"/>
        <v>94.93</v>
      </c>
      <c r="DK33">
        <v>1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ROW(Source!A71)</f>
        <v>71</v>
      </c>
      <c r="B34">
        <v>74014550</v>
      </c>
      <c r="C34">
        <v>74016102</v>
      </c>
      <c r="D34">
        <v>72592868</v>
      </c>
      <c r="E34">
        <v>1</v>
      </c>
      <c r="F34">
        <v>1</v>
      </c>
      <c r="G34">
        <v>1</v>
      </c>
      <c r="H34">
        <v>3</v>
      </c>
      <c r="I34" t="s">
        <v>557</v>
      </c>
      <c r="J34" t="s">
        <v>558</v>
      </c>
      <c r="K34" t="s">
        <v>559</v>
      </c>
      <c r="L34">
        <v>1346</v>
      </c>
      <c r="N34">
        <v>1009</v>
      </c>
      <c r="O34" t="s">
        <v>314</v>
      </c>
      <c r="P34" t="s">
        <v>314</v>
      </c>
      <c r="Q34">
        <v>1</v>
      </c>
      <c r="W34">
        <v>0</v>
      </c>
      <c r="X34">
        <v>1721255317</v>
      </c>
      <c r="Y34">
        <f t="shared" si="18"/>
        <v>0.75</v>
      </c>
      <c r="AA34">
        <v>195.92</v>
      </c>
      <c r="AB34">
        <v>0</v>
      </c>
      <c r="AC34">
        <v>0</v>
      </c>
      <c r="AD34">
        <v>0</v>
      </c>
      <c r="AE34">
        <v>174.93</v>
      </c>
      <c r="AF34">
        <v>0</v>
      </c>
      <c r="AG34">
        <v>0</v>
      </c>
      <c r="AH34">
        <v>0</v>
      </c>
      <c r="AI34">
        <v>1.1200000000000001</v>
      </c>
      <c r="AJ34">
        <v>1</v>
      </c>
      <c r="AK34">
        <v>1</v>
      </c>
      <c r="AL34">
        <v>1</v>
      </c>
      <c r="AM34">
        <v>2</v>
      </c>
      <c r="AN34">
        <v>0</v>
      </c>
      <c r="AO34">
        <v>0</v>
      </c>
      <c r="AP34">
        <v>1</v>
      </c>
      <c r="AQ34">
        <v>1</v>
      </c>
      <c r="AR34">
        <v>0</v>
      </c>
      <c r="AS34" t="s">
        <v>3</v>
      </c>
      <c r="AT34">
        <v>0.75</v>
      </c>
      <c r="AU34" t="s">
        <v>3</v>
      </c>
      <c r="AV34">
        <v>0</v>
      </c>
      <c r="AW34">
        <v>2</v>
      </c>
      <c r="AX34">
        <v>74017727</v>
      </c>
      <c r="AY34">
        <v>1</v>
      </c>
      <c r="AZ34">
        <v>0</v>
      </c>
      <c r="BA34">
        <v>35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131.19749999999999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131.19749999999999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CV34">
        <v>0</v>
      </c>
      <c r="CW34">
        <v>0</v>
      </c>
      <c r="CX34">
        <f>ROUND(Y34*Source!I71,7)</f>
        <v>0.75</v>
      </c>
      <c r="CY34">
        <f t="shared" si="14"/>
        <v>195.92</v>
      </c>
      <c r="CZ34">
        <f t="shared" si="15"/>
        <v>174.93</v>
      </c>
      <c r="DA34">
        <f t="shared" si="16"/>
        <v>1.1200000000000001</v>
      </c>
      <c r="DB34">
        <f t="shared" si="19"/>
        <v>131.19999999999999</v>
      </c>
      <c r="DC34">
        <f t="shared" si="20"/>
        <v>0</v>
      </c>
      <c r="DD34" t="s">
        <v>3</v>
      </c>
      <c r="DE34" t="s">
        <v>3</v>
      </c>
      <c r="DF34">
        <f>ROUND(ROUND(AE34*AI34,2)*CX34,2)</f>
        <v>146.94</v>
      </c>
      <c r="DG34">
        <f t="shared" si="13"/>
        <v>0</v>
      </c>
      <c r="DH34">
        <f t="shared" si="4"/>
        <v>0</v>
      </c>
      <c r="DI34">
        <f t="shared" si="5"/>
        <v>0</v>
      </c>
      <c r="DJ34">
        <f t="shared" si="17"/>
        <v>146.94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ROW(Source!A71)</f>
        <v>71</v>
      </c>
      <c r="B35">
        <v>74014550</v>
      </c>
      <c r="C35">
        <v>74016102</v>
      </c>
      <c r="D35">
        <v>72610535</v>
      </c>
      <c r="E35">
        <v>1</v>
      </c>
      <c r="F35">
        <v>1</v>
      </c>
      <c r="G35">
        <v>1</v>
      </c>
      <c r="H35">
        <v>3</v>
      </c>
      <c r="I35" t="s">
        <v>531</v>
      </c>
      <c r="J35" t="s">
        <v>532</v>
      </c>
      <c r="K35" t="s">
        <v>533</v>
      </c>
      <c r="L35">
        <v>1348</v>
      </c>
      <c r="N35">
        <v>1009</v>
      </c>
      <c r="O35" t="s">
        <v>243</v>
      </c>
      <c r="P35" t="s">
        <v>243</v>
      </c>
      <c r="Q35">
        <v>1000</v>
      </c>
      <c r="W35">
        <v>0</v>
      </c>
      <c r="X35">
        <v>2036013562</v>
      </c>
      <c r="Y35">
        <f t="shared" si="18"/>
        <v>1.8000000000000001E-4</v>
      </c>
      <c r="AA35">
        <v>104956.62</v>
      </c>
      <c r="AB35">
        <v>0</v>
      </c>
      <c r="AC35">
        <v>0</v>
      </c>
      <c r="AD35">
        <v>0</v>
      </c>
      <c r="AE35">
        <v>74437.320000000007</v>
      </c>
      <c r="AF35">
        <v>0</v>
      </c>
      <c r="AG35">
        <v>0</v>
      </c>
      <c r="AH35">
        <v>0</v>
      </c>
      <c r="AI35">
        <v>1.41</v>
      </c>
      <c r="AJ35">
        <v>1</v>
      </c>
      <c r="AK35">
        <v>1</v>
      </c>
      <c r="AL35">
        <v>1</v>
      </c>
      <c r="AM35">
        <v>2</v>
      </c>
      <c r="AN35">
        <v>0</v>
      </c>
      <c r="AO35">
        <v>0</v>
      </c>
      <c r="AP35">
        <v>1</v>
      </c>
      <c r="AQ35">
        <v>1</v>
      </c>
      <c r="AR35">
        <v>0</v>
      </c>
      <c r="AS35" t="s">
        <v>3</v>
      </c>
      <c r="AT35">
        <v>1.8000000000000001E-4</v>
      </c>
      <c r="AU35" t="s">
        <v>3</v>
      </c>
      <c r="AV35">
        <v>0</v>
      </c>
      <c r="AW35">
        <v>2</v>
      </c>
      <c r="AX35">
        <v>74017728</v>
      </c>
      <c r="AY35">
        <v>1</v>
      </c>
      <c r="AZ35">
        <v>0</v>
      </c>
      <c r="BA35">
        <v>36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13.398717600000001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13.398717600000001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CV35">
        <v>0</v>
      </c>
      <c r="CW35">
        <v>0</v>
      </c>
      <c r="CX35">
        <f>ROUND(Y35*Source!I71,7)</f>
        <v>1.8000000000000001E-4</v>
      </c>
      <c r="CY35">
        <f t="shared" si="14"/>
        <v>104956.62</v>
      </c>
      <c r="CZ35">
        <f t="shared" si="15"/>
        <v>74437.320000000007</v>
      </c>
      <c r="DA35">
        <f t="shared" si="16"/>
        <v>1.41</v>
      </c>
      <c r="DB35">
        <f t="shared" si="19"/>
        <v>13.4</v>
      </c>
      <c r="DC35">
        <f t="shared" si="20"/>
        <v>0</v>
      </c>
      <c r="DD35" t="s">
        <v>3</v>
      </c>
      <c r="DE35" t="s">
        <v>3</v>
      </c>
      <c r="DF35">
        <f>ROUND(ROUND(AE35*AI35,2)*CX35,2)</f>
        <v>18.89</v>
      </c>
      <c r="DG35">
        <f t="shared" si="13"/>
        <v>0</v>
      </c>
      <c r="DH35">
        <f t="shared" si="4"/>
        <v>0</v>
      </c>
      <c r="DI35">
        <f t="shared" si="5"/>
        <v>0</v>
      </c>
      <c r="DJ35">
        <f t="shared" si="17"/>
        <v>18.89</v>
      </c>
      <c r="DK35">
        <v>0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ROW(Source!A71)</f>
        <v>71</v>
      </c>
      <c r="B36">
        <v>74014550</v>
      </c>
      <c r="C36">
        <v>74016102</v>
      </c>
      <c r="D36">
        <v>72610602</v>
      </c>
      <c r="E36">
        <v>1</v>
      </c>
      <c r="F36">
        <v>1</v>
      </c>
      <c r="G36">
        <v>1</v>
      </c>
      <c r="H36">
        <v>3</v>
      </c>
      <c r="I36" t="s">
        <v>560</v>
      </c>
      <c r="J36" t="s">
        <v>561</v>
      </c>
      <c r="K36" t="s">
        <v>562</v>
      </c>
      <c r="L36">
        <v>1348</v>
      </c>
      <c r="N36">
        <v>1009</v>
      </c>
      <c r="O36" t="s">
        <v>243</v>
      </c>
      <c r="P36" t="s">
        <v>243</v>
      </c>
      <c r="Q36">
        <v>1000</v>
      </c>
      <c r="W36">
        <v>0</v>
      </c>
      <c r="X36">
        <v>299465815</v>
      </c>
      <c r="Y36">
        <f t="shared" si="18"/>
        <v>1.8000000000000001E-4</v>
      </c>
      <c r="AA36">
        <v>158068.17000000001</v>
      </c>
      <c r="AB36">
        <v>0</v>
      </c>
      <c r="AC36">
        <v>0</v>
      </c>
      <c r="AD36">
        <v>0</v>
      </c>
      <c r="AE36">
        <v>118848.25</v>
      </c>
      <c r="AF36">
        <v>0</v>
      </c>
      <c r="AG36">
        <v>0</v>
      </c>
      <c r="AH36">
        <v>0</v>
      </c>
      <c r="AI36">
        <v>1.33</v>
      </c>
      <c r="AJ36">
        <v>1</v>
      </c>
      <c r="AK36">
        <v>1</v>
      </c>
      <c r="AL36">
        <v>1</v>
      </c>
      <c r="AM36">
        <v>2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1.8000000000000001E-4</v>
      </c>
      <c r="AU36" t="s">
        <v>3</v>
      </c>
      <c r="AV36">
        <v>0</v>
      </c>
      <c r="AW36">
        <v>2</v>
      </c>
      <c r="AX36">
        <v>74017729</v>
      </c>
      <c r="AY36">
        <v>1</v>
      </c>
      <c r="AZ36">
        <v>0</v>
      </c>
      <c r="BA36">
        <v>37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21.392685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21.392685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CV36">
        <v>0</v>
      </c>
      <c r="CW36">
        <v>0</v>
      </c>
      <c r="CX36">
        <f>ROUND(Y36*Source!I71,7)</f>
        <v>1.8000000000000001E-4</v>
      </c>
      <c r="CY36">
        <f t="shared" si="14"/>
        <v>158068.17000000001</v>
      </c>
      <c r="CZ36">
        <f t="shared" si="15"/>
        <v>118848.25</v>
      </c>
      <c r="DA36">
        <f t="shared" si="16"/>
        <v>1.33</v>
      </c>
      <c r="DB36">
        <f t="shared" si="19"/>
        <v>21.39</v>
      </c>
      <c r="DC36">
        <f t="shared" si="20"/>
        <v>0</v>
      </c>
      <c r="DD36" t="s">
        <v>3</v>
      </c>
      <c r="DE36" t="s">
        <v>3</v>
      </c>
      <c r="DF36">
        <f>ROUND(ROUND(AE36*AI36,2)*CX36,2)</f>
        <v>28.45</v>
      </c>
      <c r="DG36">
        <f t="shared" si="13"/>
        <v>0</v>
      </c>
      <c r="DH36">
        <f t="shared" si="4"/>
        <v>0</v>
      </c>
      <c r="DI36">
        <f t="shared" si="5"/>
        <v>0</v>
      </c>
      <c r="DJ36">
        <f t="shared" si="17"/>
        <v>28.45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ROW(Source!A71)</f>
        <v>71</v>
      </c>
      <c r="B37">
        <v>74014550</v>
      </c>
      <c r="C37">
        <v>74016102</v>
      </c>
      <c r="D37">
        <v>72610848</v>
      </c>
      <c r="E37">
        <v>1</v>
      </c>
      <c r="F37">
        <v>1</v>
      </c>
      <c r="G37">
        <v>1</v>
      </c>
      <c r="H37">
        <v>3</v>
      </c>
      <c r="I37" t="s">
        <v>563</v>
      </c>
      <c r="J37" t="s">
        <v>564</v>
      </c>
      <c r="K37" t="s">
        <v>565</v>
      </c>
      <c r="L37">
        <v>1348</v>
      </c>
      <c r="N37">
        <v>1009</v>
      </c>
      <c r="O37" t="s">
        <v>243</v>
      </c>
      <c r="P37" t="s">
        <v>243</v>
      </c>
      <c r="Q37">
        <v>1000</v>
      </c>
      <c r="W37">
        <v>0</v>
      </c>
      <c r="X37">
        <v>-942127258</v>
      </c>
      <c r="Y37">
        <f t="shared" si="18"/>
        <v>2.0000000000000002E-5</v>
      </c>
      <c r="AA37">
        <v>461619.07</v>
      </c>
      <c r="AB37">
        <v>0</v>
      </c>
      <c r="AC37">
        <v>0</v>
      </c>
      <c r="AD37">
        <v>0</v>
      </c>
      <c r="AE37">
        <v>344491.84</v>
      </c>
      <c r="AF37">
        <v>0</v>
      </c>
      <c r="AG37">
        <v>0</v>
      </c>
      <c r="AH37">
        <v>0</v>
      </c>
      <c r="AI37">
        <v>1.34</v>
      </c>
      <c r="AJ37">
        <v>1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2.0000000000000002E-5</v>
      </c>
      <c r="AU37" t="s">
        <v>3</v>
      </c>
      <c r="AV37">
        <v>0</v>
      </c>
      <c r="AW37">
        <v>2</v>
      </c>
      <c r="AX37">
        <v>74017730</v>
      </c>
      <c r="AY37">
        <v>1</v>
      </c>
      <c r="AZ37">
        <v>0</v>
      </c>
      <c r="BA37">
        <v>38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6.8898368000000012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6.8898368000000012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v>0</v>
      </c>
      <c r="CX37">
        <f>ROUND(Y37*Source!I71,7)</f>
        <v>2.0000000000000002E-5</v>
      </c>
      <c r="CY37">
        <f t="shared" si="14"/>
        <v>461619.07</v>
      </c>
      <c r="CZ37">
        <f t="shared" si="15"/>
        <v>344491.84</v>
      </c>
      <c r="DA37">
        <f t="shared" si="16"/>
        <v>1.34</v>
      </c>
      <c r="DB37">
        <f t="shared" si="19"/>
        <v>6.89</v>
      </c>
      <c r="DC37">
        <f t="shared" si="20"/>
        <v>0</v>
      </c>
      <c r="DD37" t="s">
        <v>3</v>
      </c>
      <c r="DE37" t="s">
        <v>3</v>
      </c>
      <c r="DF37">
        <f>ROUND(ROUND(AE37*AI37,2)*CX37,2)</f>
        <v>9.23</v>
      </c>
      <c r="DG37">
        <f t="shared" si="13"/>
        <v>0</v>
      </c>
      <c r="DH37">
        <f t="shared" si="4"/>
        <v>0</v>
      </c>
      <c r="DI37">
        <f t="shared" si="5"/>
        <v>0</v>
      </c>
      <c r="DJ37">
        <f t="shared" si="17"/>
        <v>9.23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ROW(Source!A71)</f>
        <v>71</v>
      </c>
      <c r="B38">
        <v>74014550</v>
      </c>
      <c r="C38">
        <v>74016102</v>
      </c>
      <c r="D38">
        <v>72629460</v>
      </c>
      <c r="E38">
        <v>1</v>
      </c>
      <c r="F38">
        <v>1</v>
      </c>
      <c r="G38">
        <v>1</v>
      </c>
      <c r="H38">
        <v>3</v>
      </c>
      <c r="I38" t="s">
        <v>123</v>
      </c>
      <c r="J38" t="s">
        <v>126</v>
      </c>
      <c r="K38" t="s">
        <v>124</v>
      </c>
      <c r="L38">
        <v>1301</v>
      </c>
      <c r="N38">
        <v>1003</v>
      </c>
      <c r="O38" t="s">
        <v>125</v>
      </c>
      <c r="P38" t="s">
        <v>125</v>
      </c>
      <c r="Q38">
        <v>1</v>
      </c>
      <c r="W38">
        <v>0</v>
      </c>
      <c r="X38">
        <v>918212004</v>
      </c>
      <c r="Y38">
        <f t="shared" si="18"/>
        <v>5.8</v>
      </c>
      <c r="AA38">
        <v>201.05</v>
      </c>
      <c r="AB38">
        <v>0</v>
      </c>
      <c r="AC38">
        <v>0</v>
      </c>
      <c r="AD38">
        <v>0</v>
      </c>
      <c r="AE38">
        <v>201.05</v>
      </c>
      <c r="AF38">
        <v>0</v>
      </c>
      <c r="AG38">
        <v>0</v>
      </c>
      <c r="AH38">
        <v>0</v>
      </c>
      <c r="AI38">
        <v>1</v>
      </c>
      <c r="AJ38">
        <v>1</v>
      </c>
      <c r="AK38">
        <v>1</v>
      </c>
      <c r="AL38">
        <v>1</v>
      </c>
      <c r="AM38">
        <v>-2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5.8</v>
      </c>
      <c r="AU38" t="s">
        <v>3</v>
      </c>
      <c r="AV38">
        <v>0</v>
      </c>
      <c r="AW38">
        <v>2</v>
      </c>
      <c r="AX38">
        <v>74017732</v>
      </c>
      <c r="AY38">
        <v>1</v>
      </c>
      <c r="AZ38">
        <v>0</v>
      </c>
      <c r="BA38">
        <v>40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1166.0899999999999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1166.0899999999999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CV38">
        <v>0</v>
      </c>
      <c r="CW38">
        <v>0</v>
      </c>
      <c r="CX38">
        <f>ROUND(Y38*Source!I71,7)</f>
        <v>5.8</v>
      </c>
      <c r="CY38">
        <f t="shared" si="14"/>
        <v>201.05</v>
      </c>
      <c r="CZ38">
        <f t="shared" si="15"/>
        <v>201.05</v>
      </c>
      <c r="DA38">
        <f t="shared" si="16"/>
        <v>1</v>
      </c>
      <c r="DB38">
        <f t="shared" si="19"/>
        <v>1166.0899999999999</v>
      </c>
      <c r="DC38">
        <f t="shared" si="20"/>
        <v>0</v>
      </c>
      <c r="DD38" t="s">
        <v>3</v>
      </c>
      <c r="DE38" t="s">
        <v>3</v>
      </c>
      <c r="DF38">
        <f>ROUND(ROUND(AE38,2)*CX38,2)</f>
        <v>1166.0899999999999</v>
      </c>
      <c r="DG38">
        <f t="shared" si="13"/>
        <v>0</v>
      </c>
      <c r="DH38">
        <f t="shared" si="4"/>
        <v>0</v>
      </c>
      <c r="DI38">
        <f t="shared" si="5"/>
        <v>0</v>
      </c>
      <c r="DJ38">
        <f t="shared" si="17"/>
        <v>1166.0899999999999</v>
      </c>
      <c r="DK38">
        <v>1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ROW(Source!A71)</f>
        <v>71</v>
      </c>
      <c r="B39">
        <v>74014550</v>
      </c>
      <c r="C39">
        <v>74016102</v>
      </c>
      <c r="D39">
        <v>72630654</v>
      </c>
      <c r="E39">
        <v>1</v>
      </c>
      <c r="F39">
        <v>1</v>
      </c>
      <c r="G39">
        <v>1</v>
      </c>
      <c r="H39">
        <v>3</v>
      </c>
      <c r="I39" t="s">
        <v>566</v>
      </c>
      <c r="J39" t="s">
        <v>567</v>
      </c>
      <c r="K39" t="s">
        <v>568</v>
      </c>
      <c r="L39">
        <v>1371</v>
      </c>
      <c r="N39">
        <v>1013</v>
      </c>
      <c r="O39" t="s">
        <v>130</v>
      </c>
      <c r="P39" t="s">
        <v>130</v>
      </c>
      <c r="Q39">
        <v>1</v>
      </c>
      <c r="W39">
        <v>0</v>
      </c>
      <c r="X39">
        <v>-463467976</v>
      </c>
      <c r="Y39">
        <f t="shared" si="18"/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1</v>
      </c>
      <c r="AK39">
        <v>1</v>
      </c>
      <c r="AL39">
        <v>1</v>
      </c>
      <c r="AM39">
        <v>3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0</v>
      </c>
      <c r="AU39" t="s">
        <v>3</v>
      </c>
      <c r="AV39">
        <v>0</v>
      </c>
      <c r="AW39">
        <v>2</v>
      </c>
      <c r="AX39">
        <v>74017733</v>
      </c>
      <c r="AY39">
        <v>2</v>
      </c>
      <c r="AZ39">
        <v>22528</v>
      </c>
      <c r="BA39">
        <v>41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CV39">
        <v>0</v>
      </c>
      <c r="CW39">
        <v>0</v>
      </c>
      <c r="CX39">
        <f>ROUND(Y39*Source!I71,7)</f>
        <v>0</v>
      </c>
      <c r="CY39">
        <f t="shared" si="14"/>
        <v>0</v>
      </c>
      <c r="CZ39">
        <f t="shared" si="15"/>
        <v>0</v>
      </c>
      <c r="DA39">
        <f t="shared" si="16"/>
        <v>1</v>
      </c>
      <c r="DB39">
        <f t="shared" si="19"/>
        <v>0</v>
      </c>
      <c r="DC39">
        <f t="shared" si="20"/>
        <v>0</v>
      </c>
      <c r="DD39" t="s">
        <v>3</v>
      </c>
      <c r="DE39" t="s">
        <v>3</v>
      </c>
      <c r="DF39">
        <f>ROUND(ROUND(AE39,2)*CX39,2)</f>
        <v>0</v>
      </c>
      <c r="DG39">
        <f t="shared" si="13"/>
        <v>0</v>
      </c>
      <c r="DH39">
        <f t="shared" si="4"/>
        <v>0</v>
      </c>
      <c r="DI39">
        <f t="shared" si="5"/>
        <v>0</v>
      </c>
      <c r="DJ39">
        <f t="shared" si="17"/>
        <v>0</v>
      </c>
      <c r="DK39">
        <v>2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ROW(Source!A71)</f>
        <v>71</v>
      </c>
      <c r="B40">
        <v>74014550</v>
      </c>
      <c r="C40">
        <v>74016102</v>
      </c>
      <c r="D40">
        <v>72631043</v>
      </c>
      <c r="E40">
        <v>1</v>
      </c>
      <c r="F40">
        <v>1</v>
      </c>
      <c r="G40">
        <v>1</v>
      </c>
      <c r="H40">
        <v>3</v>
      </c>
      <c r="I40" t="s">
        <v>569</v>
      </c>
      <c r="J40" t="s">
        <v>570</v>
      </c>
      <c r="K40" t="s">
        <v>571</v>
      </c>
      <c r="L40">
        <v>1371</v>
      </c>
      <c r="N40">
        <v>1013</v>
      </c>
      <c r="O40" t="s">
        <v>130</v>
      </c>
      <c r="P40" t="s">
        <v>130</v>
      </c>
      <c r="Q40">
        <v>1</v>
      </c>
      <c r="W40">
        <v>0</v>
      </c>
      <c r="X40">
        <v>1711106771</v>
      </c>
      <c r="Y40">
        <f t="shared" si="18"/>
        <v>1</v>
      </c>
      <c r="AA40">
        <v>85.02</v>
      </c>
      <c r="AB40">
        <v>0</v>
      </c>
      <c r="AC40">
        <v>0</v>
      </c>
      <c r="AD40">
        <v>0</v>
      </c>
      <c r="AE40">
        <v>75.239999999999995</v>
      </c>
      <c r="AF40">
        <v>0</v>
      </c>
      <c r="AG40">
        <v>0</v>
      </c>
      <c r="AH40">
        <v>0</v>
      </c>
      <c r="AI40">
        <v>1.1299999999999999</v>
      </c>
      <c r="AJ40">
        <v>1</v>
      </c>
      <c r="AK40">
        <v>1</v>
      </c>
      <c r="AL40">
        <v>1</v>
      </c>
      <c r="AM40">
        <v>2</v>
      </c>
      <c r="AN40">
        <v>0</v>
      </c>
      <c r="AO40">
        <v>0</v>
      </c>
      <c r="AP40">
        <v>1</v>
      </c>
      <c r="AQ40">
        <v>1</v>
      </c>
      <c r="AR40">
        <v>0</v>
      </c>
      <c r="AS40" t="s">
        <v>3</v>
      </c>
      <c r="AT40">
        <v>1</v>
      </c>
      <c r="AU40" t="s">
        <v>3</v>
      </c>
      <c r="AV40">
        <v>0</v>
      </c>
      <c r="AW40">
        <v>2</v>
      </c>
      <c r="AX40">
        <v>74017734</v>
      </c>
      <c r="AY40">
        <v>1</v>
      </c>
      <c r="AZ40">
        <v>6144</v>
      </c>
      <c r="BA40">
        <v>42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75.239999999999995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</v>
      </c>
      <c r="BQ40">
        <v>75.239999999999995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CV40">
        <v>0</v>
      </c>
      <c r="CW40">
        <v>0</v>
      </c>
      <c r="CX40">
        <f>ROUND(Y40*Source!I71,7)</f>
        <v>1</v>
      </c>
      <c r="CY40">
        <f t="shared" si="14"/>
        <v>85.02</v>
      </c>
      <c r="CZ40">
        <f t="shared" si="15"/>
        <v>75.239999999999995</v>
      </c>
      <c r="DA40">
        <f t="shared" si="16"/>
        <v>1.1299999999999999</v>
      </c>
      <c r="DB40">
        <f t="shared" si="19"/>
        <v>75.239999999999995</v>
      </c>
      <c r="DC40">
        <f t="shared" si="20"/>
        <v>0</v>
      </c>
      <c r="DD40" t="s">
        <v>3</v>
      </c>
      <c r="DE40" t="s">
        <v>3</v>
      </c>
      <c r="DF40">
        <f>ROUND(ROUND(AE40*AI40,2)*CX40,2)</f>
        <v>85.02</v>
      </c>
      <c r="DG40">
        <f t="shared" si="13"/>
        <v>0</v>
      </c>
      <c r="DH40">
        <f t="shared" si="4"/>
        <v>0</v>
      </c>
      <c r="DI40">
        <f t="shared" si="5"/>
        <v>0</v>
      </c>
      <c r="DJ40">
        <f t="shared" si="17"/>
        <v>85.02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ROW(Source!A73)</f>
        <v>73</v>
      </c>
      <c r="B41">
        <v>74014550</v>
      </c>
      <c r="C41">
        <v>74016148</v>
      </c>
      <c r="D41">
        <v>72518673</v>
      </c>
      <c r="E41">
        <v>119</v>
      </c>
      <c r="F41">
        <v>1</v>
      </c>
      <c r="G41">
        <v>1</v>
      </c>
      <c r="H41">
        <v>1</v>
      </c>
      <c r="I41" t="s">
        <v>572</v>
      </c>
      <c r="J41" t="s">
        <v>3</v>
      </c>
      <c r="K41" t="s">
        <v>573</v>
      </c>
      <c r="L41">
        <v>1191</v>
      </c>
      <c r="N41">
        <v>1013</v>
      </c>
      <c r="O41" t="s">
        <v>484</v>
      </c>
      <c r="P41" t="s">
        <v>484</v>
      </c>
      <c r="Q41">
        <v>1</v>
      </c>
      <c r="W41">
        <v>0</v>
      </c>
      <c r="X41">
        <v>1521243167</v>
      </c>
      <c r="Y41">
        <f t="shared" si="18"/>
        <v>5.7</v>
      </c>
      <c r="AA41">
        <v>0</v>
      </c>
      <c r="AB41">
        <v>0</v>
      </c>
      <c r="AC41">
        <v>0</v>
      </c>
      <c r="AD41">
        <v>442.06</v>
      </c>
      <c r="AE41">
        <v>0</v>
      </c>
      <c r="AF41">
        <v>0</v>
      </c>
      <c r="AG41">
        <v>0</v>
      </c>
      <c r="AH41">
        <v>442.06</v>
      </c>
      <c r="AI41">
        <v>1</v>
      </c>
      <c r="AJ41">
        <v>1</v>
      </c>
      <c r="AK41">
        <v>1</v>
      </c>
      <c r="AL41">
        <v>1</v>
      </c>
      <c r="AM41">
        <v>-2</v>
      </c>
      <c r="AN41">
        <v>0</v>
      </c>
      <c r="AO41">
        <v>0</v>
      </c>
      <c r="AP41">
        <v>1</v>
      </c>
      <c r="AQ41">
        <v>1</v>
      </c>
      <c r="AR41">
        <v>0</v>
      </c>
      <c r="AS41" t="s">
        <v>3</v>
      </c>
      <c r="AT41">
        <v>5.7</v>
      </c>
      <c r="AU41" t="s">
        <v>3</v>
      </c>
      <c r="AV41">
        <v>1</v>
      </c>
      <c r="AW41">
        <v>2</v>
      </c>
      <c r="AX41">
        <v>74017793</v>
      </c>
      <c r="AY41">
        <v>1</v>
      </c>
      <c r="AZ41">
        <v>0</v>
      </c>
      <c r="BA41">
        <v>43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2519.7420000000002</v>
      </c>
      <c r="BN41">
        <v>5.7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2519.7420000000002</v>
      </c>
      <c r="BU41">
        <v>5.7</v>
      </c>
      <c r="BV41">
        <v>0</v>
      </c>
      <c r="BW41">
        <v>1</v>
      </c>
      <c r="CU41">
        <f>ROUND(AT41*Source!I73*AH41*AL41,2)</f>
        <v>2091.39</v>
      </c>
      <c r="CV41">
        <f>ROUND(Y41*Source!I73,7)</f>
        <v>4.7309999999999999</v>
      </c>
      <c r="CW41">
        <v>0</v>
      </c>
      <c r="CX41">
        <f>ROUND(Y41*Source!I73,7)</f>
        <v>4.7309999999999999</v>
      </c>
      <c r="CY41">
        <f>AD41</f>
        <v>442.06</v>
      </c>
      <c r="CZ41">
        <f>AH41</f>
        <v>442.06</v>
      </c>
      <c r="DA41">
        <f>AL41</f>
        <v>1</v>
      </c>
      <c r="DB41">
        <f t="shared" si="19"/>
        <v>2519.7399999999998</v>
      </c>
      <c r="DC41">
        <f t="shared" si="20"/>
        <v>0</v>
      </c>
      <c r="DD41" t="s">
        <v>3</v>
      </c>
      <c r="DE41" t="s">
        <v>3</v>
      </c>
      <c r="DF41">
        <f t="shared" ref="DF41:DF53" si="21">ROUND(ROUND(AE41,2)*CX41,2)</f>
        <v>0</v>
      </c>
      <c r="DG41">
        <f t="shared" si="13"/>
        <v>0</v>
      </c>
      <c r="DH41">
        <f t="shared" si="4"/>
        <v>0</v>
      </c>
      <c r="DI41">
        <f t="shared" si="5"/>
        <v>2091.39</v>
      </c>
      <c r="DJ41">
        <f>DI41</f>
        <v>2091.39</v>
      </c>
      <c r="DK41">
        <v>1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ROW(Source!A73)</f>
        <v>73</v>
      </c>
      <c r="B42">
        <v>74014550</v>
      </c>
      <c r="C42">
        <v>74016148</v>
      </c>
      <c r="D42">
        <v>72646149</v>
      </c>
      <c r="E42">
        <v>1</v>
      </c>
      <c r="F42">
        <v>1</v>
      </c>
      <c r="G42">
        <v>1</v>
      </c>
      <c r="H42">
        <v>2</v>
      </c>
      <c r="I42" t="s">
        <v>574</v>
      </c>
      <c r="J42" t="s">
        <v>575</v>
      </c>
      <c r="K42" t="s">
        <v>576</v>
      </c>
      <c r="L42">
        <v>1368</v>
      </c>
      <c r="N42">
        <v>1011</v>
      </c>
      <c r="O42" t="s">
        <v>488</v>
      </c>
      <c r="P42" t="s">
        <v>488</v>
      </c>
      <c r="Q42">
        <v>1</v>
      </c>
      <c r="W42">
        <v>0</v>
      </c>
      <c r="X42">
        <v>-322869027</v>
      </c>
      <c r="Y42">
        <f t="shared" si="18"/>
        <v>0.9</v>
      </c>
      <c r="AA42">
        <v>0</v>
      </c>
      <c r="AB42">
        <v>470.42</v>
      </c>
      <c r="AC42">
        <v>0</v>
      </c>
      <c r="AD42">
        <v>0</v>
      </c>
      <c r="AE42">
        <v>0</v>
      </c>
      <c r="AF42">
        <v>345.9</v>
      </c>
      <c r="AG42">
        <v>0</v>
      </c>
      <c r="AH42">
        <v>0</v>
      </c>
      <c r="AI42">
        <v>1</v>
      </c>
      <c r="AJ42">
        <v>1.36</v>
      </c>
      <c r="AK42">
        <v>1</v>
      </c>
      <c r="AL42">
        <v>1</v>
      </c>
      <c r="AM42">
        <v>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0.9</v>
      </c>
      <c r="AU42" t="s">
        <v>3</v>
      </c>
      <c r="AV42">
        <v>1</v>
      </c>
      <c r="AW42">
        <v>2</v>
      </c>
      <c r="AX42">
        <v>74017794</v>
      </c>
      <c r="AY42">
        <v>1</v>
      </c>
      <c r="AZ42">
        <v>0</v>
      </c>
      <c r="BA42">
        <v>44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311.31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311.31</v>
      </c>
      <c r="BS42">
        <v>0</v>
      </c>
      <c r="BT42">
        <v>0</v>
      </c>
      <c r="BU42">
        <v>0</v>
      </c>
      <c r="BV42">
        <v>0</v>
      </c>
      <c r="BW42">
        <v>1</v>
      </c>
      <c r="CV42">
        <v>0</v>
      </c>
      <c r="CW42">
        <f>ROUND(Y42*Source!I73*DO42,7)</f>
        <v>0</v>
      </c>
      <c r="CX42">
        <f>ROUND(Y42*Source!I73,7)</f>
        <v>0.747</v>
      </c>
      <c r="CY42">
        <f>AB42</f>
        <v>470.42</v>
      </c>
      <c r="CZ42">
        <f>AF42</f>
        <v>345.9</v>
      </c>
      <c r="DA42">
        <f>AJ42</f>
        <v>1.36</v>
      </c>
      <c r="DB42">
        <f t="shared" si="19"/>
        <v>311.31</v>
      </c>
      <c r="DC42">
        <f t="shared" si="20"/>
        <v>0</v>
      </c>
      <c r="DD42" t="s">
        <v>3</v>
      </c>
      <c r="DE42" t="s">
        <v>3</v>
      </c>
      <c r="DF42">
        <f t="shared" si="21"/>
        <v>0</v>
      </c>
      <c r="DG42">
        <f>ROUND(ROUND(AF42*AJ42,2)*CX42,2)</f>
        <v>351.4</v>
      </c>
      <c r="DH42">
        <f t="shared" si="4"/>
        <v>0</v>
      </c>
      <c r="DI42">
        <f t="shared" si="5"/>
        <v>0</v>
      </c>
      <c r="DJ42">
        <f>DG42+DH42</f>
        <v>351.4</v>
      </c>
      <c r="DK42">
        <v>0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ROW(Source!A73)</f>
        <v>73</v>
      </c>
      <c r="B43">
        <v>74014550</v>
      </c>
      <c r="C43">
        <v>74016148</v>
      </c>
      <c r="D43">
        <v>72646970</v>
      </c>
      <c r="E43">
        <v>1</v>
      </c>
      <c r="F43">
        <v>1</v>
      </c>
      <c r="G43">
        <v>1</v>
      </c>
      <c r="H43">
        <v>2</v>
      </c>
      <c r="I43" t="s">
        <v>577</v>
      </c>
      <c r="J43" t="s">
        <v>578</v>
      </c>
      <c r="K43" t="s">
        <v>579</v>
      </c>
      <c r="L43">
        <v>1368</v>
      </c>
      <c r="N43">
        <v>1011</v>
      </c>
      <c r="O43" t="s">
        <v>488</v>
      </c>
      <c r="P43" t="s">
        <v>488</v>
      </c>
      <c r="Q43">
        <v>1</v>
      </c>
      <c r="W43">
        <v>0</v>
      </c>
      <c r="X43">
        <v>-550484749</v>
      </c>
      <c r="Y43">
        <f t="shared" si="18"/>
        <v>0.48</v>
      </c>
      <c r="AA43">
        <v>0</v>
      </c>
      <c r="AB43">
        <v>48.02</v>
      </c>
      <c r="AC43">
        <v>0</v>
      </c>
      <c r="AD43">
        <v>0</v>
      </c>
      <c r="AE43">
        <v>0</v>
      </c>
      <c r="AF43">
        <v>27.13</v>
      </c>
      <c r="AG43">
        <v>0</v>
      </c>
      <c r="AH43">
        <v>0</v>
      </c>
      <c r="AI43">
        <v>1</v>
      </c>
      <c r="AJ43">
        <v>1.77</v>
      </c>
      <c r="AK43">
        <v>1</v>
      </c>
      <c r="AL43">
        <v>1</v>
      </c>
      <c r="AM43">
        <v>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0.48</v>
      </c>
      <c r="AU43" t="s">
        <v>3</v>
      </c>
      <c r="AV43">
        <v>1</v>
      </c>
      <c r="AW43">
        <v>2</v>
      </c>
      <c r="AX43">
        <v>74017795</v>
      </c>
      <c r="AY43">
        <v>1</v>
      </c>
      <c r="AZ43">
        <v>0</v>
      </c>
      <c r="BA43">
        <v>45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13.022399999999999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13.022399999999999</v>
      </c>
      <c r="BS43">
        <v>0</v>
      </c>
      <c r="BT43">
        <v>0</v>
      </c>
      <c r="BU43">
        <v>0</v>
      </c>
      <c r="BV43">
        <v>0</v>
      </c>
      <c r="BW43">
        <v>1</v>
      </c>
      <c r="CV43">
        <v>0</v>
      </c>
      <c r="CW43">
        <f>ROUND(Y43*Source!I73*DO43,7)</f>
        <v>0</v>
      </c>
      <c r="CX43">
        <f>ROUND(Y43*Source!I73,7)</f>
        <v>0.39839999999999998</v>
      </c>
      <c r="CY43">
        <f>AB43</f>
        <v>48.02</v>
      </c>
      <c r="CZ43">
        <f>AF43</f>
        <v>27.13</v>
      </c>
      <c r="DA43">
        <f>AJ43</f>
        <v>1.77</v>
      </c>
      <c r="DB43">
        <f t="shared" si="19"/>
        <v>13.02</v>
      </c>
      <c r="DC43">
        <f t="shared" si="20"/>
        <v>0</v>
      </c>
      <c r="DD43" t="s">
        <v>3</v>
      </c>
      <c r="DE43" t="s">
        <v>3</v>
      </c>
      <c r="DF43">
        <f t="shared" si="21"/>
        <v>0</v>
      </c>
      <c r="DG43">
        <f>ROUND(ROUND(AF43*AJ43,2)*CX43,2)</f>
        <v>19.13</v>
      </c>
      <c r="DH43">
        <f t="shared" si="4"/>
        <v>0</v>
      </c>
      <c r="DI43">
        <f t="shared" si="5"/>
        <v>0</v>
      </c>
      <c r="DJ43">
        <f>DG43+DH43</f>
        <v>19.13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ROW(Source!A73)</f>
        <v>73</v>
      </c>
      <c r="B44">
        <v>74014550</v>
      </c>
      <c r="C44">
        <v>74016148</v>
      </c>
      <c r="D44">
        <v>72633930</v>
      </c>
      <c r="E44">
        <v>1</v>
      </c>
      <c r="F44">
        <v>1</v>
      </c>
      <c r="G44">
        <v>1</v>
      </c>
      <c r="H44">
        <v>3</v>
      </c>
      <c r="I44" t="s">
        <v>141</v>
      </c>
      <c r="J44" t="s">
        <v>143</v>
      </c>
      <c r="K44" t="s">
        <v>142</v>
      </c>
      <c r="L44">
        <v>1301</v>
      </c>
      <c r="N44">
        <v>1003</v>
      </c>
      <c r="O44" t="s">
        <v>125</v>
      </c>
      <c r="P44" t="s">
        <v>125</v>
      </c>
      <c r="Q44">
        <v>1</v>
      </c>
      <c r="W44">
        <v>0</v>
      </c>
      <c r="X44">
        <v>-1478815123</v>
      </c>
      <c r="Y44">
        <f t="shared" si="18"/>
        <v>0</v>
      </c>
      <c r="AA44">
        <v>445.96</v>
      </c>
      <c r="AB44">
        <v>0</v>
      </c>
      <c r="AC44">
        <v>0</v>
      </c>
      <c r="AD44">
        <v>0</v>
      </c>
      <c r="AE44">
        <v>445.96</v>
      </c>
      <c r="AF44">
        <v>0</v>
      </c>
      <c r="AG44">
        <v>0</v>
      </c>
      <c r="AH44">
        <v>0</v>
      </c>
      <c r="AI44">
        <v>1</v>
      </c>
      <c r="AJ44">
        <v>1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1</v>
      </c>
      <c r="AQ44">
        <v>0</v>
      </c>
      <c r="AR44">
        <v>0</v>
      </c>
      <c r="AS44" t="s">
        <v>3</v>
      </c>
      <c r="AT44">
        <v>0</v>
      </c>
      <c r="AU44" t="s">
        <v>3</v>
      </c>
      <c r="AV44">
        <v>0</v>
      </c>
      <c r="AW44">
        <v>1</v>
      </c>
      <c r="AX44">
        <v>-1</v>
      </c>
      <c r="AY44">
        <v>0</v>
      </c>
      <c r="AZ44">
        <v>0</v>
      </c>
      <c r="BA44" t="s">
        <v>3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CV44">
        <v>0</v>
      </c>
      <c r="CW44">
        <v>0</v>
      </c>
      <c r="CX44">
        <f>ROUND(Y44*Source!I73,7)</f>
        <v>0</v>
      </c>
      <c r="CY44">
        <f>AA44</f>
        <v>445.96</v>
      </c>
      <c r="CZ44">
        <f>AE44</f>
        <v>445.96</v>
      </c>
      <c r="DA44">
        <f>AI44</f>
        <v>1</v>
      </c>
      <c r="DB44">
        <f t="shared" si="19"/>
        <v>0</v>
      </c>
      <c r="DC44">
        <f t="shared" si="20"/>
        <v>0</v>
      </c>
      <c r="DD44" t="s">
        <v>3</v>
      </c>
      <c r="DE44" t="s">
        <v>3</v>
      </c>
      <c r="DF44">
        <f t="shared" si="21"/>
        <v>0</v>
      </c>
      <c r="DG44">
        <f t="shared" ref="DG44:DG49" si="22">ROUND(ROUND(AF44,2)*CX44,2)</f>
        <v>0</v>
      </c>
      <c r="DH44">
        <f t="shared" si="4"/>
        <v>0</v>
      </c>
      <c r="DI44">
        <f t="shared" si="5"/>
        <v>0</v>
      </c>
      <c r="DJ44">
        <f>DF44</f>
        <v>0</v>
      </c>
      <c r="DK44">
        <v>1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ROW(Source!A73)</f>
        <v>73</v>
      </c>
      <c r="B45">
        <v>74014550</v>
      </c>
      <c r="C45">
        <v>74016148</v>
      </c>
      <c r="D45">
        <v>72635017</v>
      </c>
      <c r="E45">
        <v>1</v>
      </c>
      <c r="F45">
        <v>1</v>
      </c>
      <c r="G45">
        <v>1</v>
      </c>
      <c r="H45">
        <v>3</v>
      </c>
      <c r="I45" t="s">
        <v>580</v>
      </c>
      <c r="J45" t="s">
        <v>581</v>
      </c>
      <c r="K45" t="s">
        <v>582</v>
      </c>
      <c r="L45">
        <v>1371</v>
      </c>
      <c r="N45">
        <v>1013</v>
      </c>
      <c r="O45" t="s">
        <v>130</v>
      </c>
      <c r="P45" t="s">
        <v>130</v>
      </c>
      <c r="Q45">
        <v>1</v>
      </c>
      <c r="W45">
        <v>0</v>
      </c>
      <c r="X45">
        <v>-1342207248</v>
      </c>
      <c r="Y45">
        <f t="shared" si="18"/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1</v>
      </c>
      <c r="AK45">
        <v>1</v>
      </c>
      <c r="AL45">
        <v>1</v>
      </c>
      <c r="AM45">
        <v>3</v>
      </c>
      <c r="AN45">
        <v>0</v>
      </c>
      <c r="AO45">
        <v>0</v>
      </c>
      <c r="AP45">
        <v>1</v>
      </c>
      <c r="AQ45">
        <v>1</v>
      </c>
      <c r="AR45">
        <v>0</v>
      </c>
      <c r="AS45" t="s">
        <v>3</v>
      </c>
      <c r="AT45">
        <v>0</v>
      </c>
      <c r="AU45" t="s">
        <v>3</v>
      </c>
      <c r="AV45">
        <v>0</v>
      </c>
      <c r="AW45">
        <v>2</v>
      </c>
      <c r="AX45">
        <v>74017797</v>
      </c>
      <c r="AY45">
        <v>2</v>
      </c>
      <c r="AZ45">
        <v>22528</v>
      </c>
      <c r="BA45">
        <v>47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CV45">
        <v>0</v>
      </c>
      <c r="CW45">
        <v>0</v>
      </c>
      <c r="CX45">
        <f>ROUND(Y45*Source!I73,7)</f>
        <v>0</v>
      </c>
      <c r="CY45">
        <f>AA45</f>
        <v>0</v>
      </c>
      <c r="CZ45">
        <f>AE45</f>
        <v>0</v>
      </c>
      <c r="DA45">
        <f>AI45</f>
        <v>1</v>
      </c>
      <c r="DB45">
        <f t="shared" si="19"/>
        <v>0</v>
      </c>
      <c r="DC45">
        <f t="shared" si="20"/>
        <v>0</v>
      </c>
      <c r="DD45" t="s">
        <v>3</v>
      </c>
      <c r="DE45" t="s">
        <v>3</v>
      </c>
      <c r="DF45">
        <f t="shared" si="21"/>
        <v>0</v>
      </c>
      <c r="DG45">
        <f t="shared" si="22"/>
        <v>0</v>
      </c>
      <c r="DH45">
        <f t="shared" si="4"/>
        <v>0</v>
      </c>
      <c r="DI45">
        <f t="shared" si="5"/>
        <v>0</v>
      </c>
      <c r="DJ45">
        <f>DF45</f>
        <v>0</v>
      </c>
      <c r="DK45">
        <v>2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ROW(Source!A77)</f>
        <v>77</v>
      </c>
      <c r="B46">
        <v>74014550</v>
      </c>
      <c r="C46">
        <v>74016160</v>
      </c>
      <c r="D46">
        <v>72518787</v>
      </c>
      <c r="E46">
        <v>119</v>
      </c>
      <c r="F46">
        <v>1</v>
      </c>
      <c r="G46">
        <v>1</v>
      </c>
      <c r="H46">
        <v>1</v>
      </c>
      <c r="I46" t="s">
        <v>583</v>
      </c>
      <c r="J46" t="s">
        <v>3</v>
      </c>
      <c r="K46" t="s">
        <v>584</v>
      </c>
      <c r="L46">
        <v>1369</v>
      </c>
      <c r="N46">
        <v>1013</v>
      </c>
      <c r="O46" t="s">
        <v>585</v>
      </c>
      <c r="P46" t="s">
        <v>585</v>
      </c>
      <c r="Q46">
        <v>1</v>
      </c>
      <c r="W46">
        <v>0</v>
      </c>
      <c r="X46">
        <v>-236928766</v>
      </c>
      <c r="Y46">
        <f t="shared" si="18"/>
        <v>0.1</v>
      </c>
      <c r="AA46">
        <v>0</v>
      </c>
      <c r="AB46">
        <v>0</v>
      </c>
      <c r="AC46">
        <v>0</v>
      </c>
      <c r="AD46">
        <v>325.57</v>
      </c>
      <c r="AE46">
        <v>0</v>
      </c>
      <c r="AF46">
        <v>0</v>
      </c>
      <c r="AG46">
        <v>0</v>
      </c>
      <c r="AH46">
        <v>325.57</v>
      </c>
      <c r="AI46">
        <v>1</v>
      </c>
      <c r="AJ46">
        <v>1</v>
      </c>
      <c r="AK46">
        <v>1</v>
      </c>
      <c r="AL46">
        <v>1</v>
      </c>
      <c r="AM46">
        <v>-2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0.1</v>
      </c>
      <c r="AU46" t="s">
        <v>3</v>
      </c>
      <c r="AV46">
        <v>1</v>
      </c>
      <c r="AW46">
        <v>2</v>
      </c>
      <c r="AX46">
        <v>74017821</v>
      </c>
      <c r="AY46">
        <v>1</v>
      </c>
      <c r="AZ46">
        <v>0</v>
      </c>
      <c r="BA46">
        <v>48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32.557000000000002</v>
      </c>
      <c r="BN46">
        <v>0.1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32.557000000000002</v>
      </c>
      <c r="BU46">
        <v>0.1</v>
      </c>
      <c r="BV46">
        <v>0</v>
      </c>
      <c r="BW46">
        <v>1</v>
      </c>
      <c r="CU46">
        <f>ROUND(AT46*Source!I77*AH46*AL46,2)</f>
        <v>3.26</v>
      </c>
      <c r="CV46">
        <f>ROUND(Y46*Source!I77,7)</f>
        <v>0.01</v>
      </c>
      <c r="CW46">
        <v>0</v>
      </c>
      <c r="CX46">
        <f>ROUND(Y46*Source!I77,7)</f>
        <v>0.01</v>
      </c>
      <c r="CY46">
        <f>AD46</f>
        <v>325.57</v>
      </c>
      <c r="CZ46">
        <f>AH46</f>
        <v>325.57</v>
      </c>
      <c r="DA46">
        <f>AL46</f>
        <v>1</v>
      </c>
      <c r="DB46">
        <f t="shared" si="19"/>
        <v>32.56</v>
      </c>
      <c r="DC46">
        <f t="shared" si="20"/>
        <v>0</v>
      </c>
      <c r="DD46" t="s">
        <v>3</v>
      </c>
      <c r="DE46" t="s">
        <v>3</v>
      </c>
      <c r="DF46">
        <f t="shared" si="21"/>
        <v>0</v>
      </c>
      <c r="DG46">
        <f t="shared" si="22"/>
        <v>0</v>
      </c>
      <c r="DH46">
        <f t="shared" si="4"/>
        <v>0</v>
      </c>
      <c r="DI46">
        <f t="shared" si="5"/>
        <v>3.26</v>
      </c>
      <c r="DJ46">
        <f>DI46</f>
        <v>3.26</v>
      </c>
      <c r="DK46">
        <v>1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ROW(Source!A77)</f>
        <v>77</v>
      </c>
      <c r="B47">
        <v>74014550</v>
      </c>
      <c r="C47">
        <v>74016160</v>
      </c>
      <c r="D47">
        <v>72518791</v>
      </c>
      <c r="E47">
        <v>119</v>
      </c>
      <c r="F47">
        <v>1</v>
      </c>
      <c r="G47">
        <v>1</v>
      </c>
      <c r="H47">
        <v>1</v>
      </c>
      <c r="I47" t="s">
        <v>586</v>
      </c>
      <c r="J47" t="s">
        <v>3</v>
      </c>
      <c r="K47" t="s">
        <v>587</v>
      </c>
      <c r="L47">
        <v>1369</v>
      </c>
      <c r="N47">
        <v>1013</v>
      </c>
      <c r="O47" t="s">
        <v>585</v>
      </c>
      <c r="P47" t="s">
        <v>585</v>
      </c>
      <c r="Q47">
        <v>1</v>
      </c>
      <c r="W47">
        <v>0</v>
      </c>
      <c r="X47">
        <v>-512803540</v>
      </c>
      <c r="Y47">
        <f t="shared" si="18"/>
        <v>69.83</v>
      </c>
      <c r="AA47">
        <v>0</v>
      </c>
      <c r="AB47">
        <v>0</v>
      </c>
      <c r="AC47">
        <v>0</v>
      </c>
      <c r="AD47">
        <v>400.24</v>
      </c>
      <c r="AE47">
        <v>0</v>
      </c>
      <c r="AF47">
        <v>0</v>
      </c>
      <c r="AG47">
        <v>0</v>
      </c>
      <c r="AH47">
        <v>400.24</v>
      </c>
      <c r="AI47">
        <v>1</v>
      </c>
      <c r="AJ47">
        <v>1</v>
      </c>
      <c r="AK47">
        <v>1</v>
      </c>
      <c r="AL47">
        <v>1</v>
      </c>
      <c r="AM47">
        <v>-2</v>
      </c>
      <c r="AN47">
        <v>0</v>
      </c>
      <c r="AO47">
        <v>0</v>
      </c>
      <c r="AP47">
        <v>1</v>
      </c>
      <c r="AQ47">
        <v>1</v>
      </c>
      <c r="AR47">
        <v>0</v>
      </c>
      <c r="AS47" t="s">
        <v>3</v>
      </c>
      <c r="AT47">
        <v>69.83</v>
      </c>
      <c r="AU47" t="s">
        <v>3</v>
      </c>
      <c r="AV47">
        <v>1</v>
      </c>
      <c r="AW47">
        <v>2</v>
      </c>
      <c r="AX47">
        <v>74017822</v>
      </c>
      <c r="AY47">
        <v>1</v>
      </c>
      <c r="AZ47">
        <v>0</v>
      </c>
      <c r="BA47">
        <v>49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27948.7592</v>
      </c>
      <c r="BN47">
        <v>69.83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27948.7592</v>
      </c>
      <c r="BU47">
        <v>69.83</v>
      </c>
      <c r="BV47">
        <v>0</v>
      </c>
      <c r="BW47">
        <v>1</v>
      </c>
      <c r="CU47">
        <f>ROUND(AT47*Source!I77*AH47*AL47,2)</f>
        <v>2794.88</v>
      </c>
      <c r="CV47">
        <f>ROUND(Y47*Source!I77,7)</f>
        <v>6.9829999999999997</v>
      </c>
      <c r="CW47">
        <v>0</v>
      </c>
      <c r="CX47">
        <f>ROUND(Y47*Source!I77,7)</f>
        <v>6.9829999999999997</v>
      </c>
      <c r="CY47">
        <f>AD47</f>
        <v>400.24</v>
      </c>
      <c r="CZ47">
        <f>AH47</f>
        <v>400.24</v>
      </c>
      <c r="DA47">
        <f>AL47</f>
        <v>1</v>
      </c>
      <c r="DB47">
        <f t="shared" si="19"/>
        <v>27948.76</v>
      </c>
      <c r="DC47">
        <f t="shared" si="20"/>
        <v>0</v>
      </c>
      <c r="DD47" t="s">
        <v>3</v>
      </c>
      <c r="DE47" t="s">
        <v>3</v>
      </c>
      <c r="DF47">
        <f t="shared" si="21"/>
        <v>0</v>
      </c>
      <c r="DG47">
        <f t="shared" si="22"/>
        <v>0</v>
      </c>
      <c r="DH47">
        <f t="shared" si="4"/>
        <v>0</v>
      </c>
      <c r="DI47">
        <f t="shared" si="5"/>
        <v>2794.88</v>
      </c>
      <c r="DJ47">
        <f>DI47</f>
        <v>2794.88</v>
      </c>
      <c r="DK47">
        <v>1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ROW(Source!A77)</f>
        <v>77</v>
      </c>
      <c r="B48">
        <v>74014550</v>
      </c>
      <c r="C48">
        <v>74016160</v>
      </c>
      <c r="D48">
        <v>72518826</v>
      </c>
      <c r="E48">
        <v>119</v>
      </c>
      <c r="F48">
        <v>1</v>
      </c>
      <c r="G48">
        <v>1</v>
      </c>
      <c r="H48">
        <v>1</v>
      </c>
      <c r="I48" t="s">
        <v>482</v>
      </c>
      <c r="J48" t="s">
        <v>3</v>
      </c>
      <c r="K48" t="s">
        <v>483</v>
      </c>
      <c r="L48">
        <v>1191</v>
      </c>
      <c r="N48">
        <v>1013</v>
      </c>
      <c r="O48" t="s">
        <v>484</v>
      </c>
      <c r="P48" t="s">
        <v>484</v>
      </c>
      <c r="Q48">
        <v>1</v>
      </c>
      <c r="W48">
        <v>0</v>
      </c>
      <c r="X48">
        <v>-1417349443</v>
      </c>
      <c r="Y48">
        <f t="shared" si="18"/>
        <v>0.09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1</v>
      </c>
      <c r="AK48">
        <v>1</v>
      </c>
      <c r="AL48">
        <v>1</v>
      </c>
      <c r="AM48">
        <v>-2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0.09</v>
      </c>
      <c r="AU48" t="s">
        <v>3</v>
      </c>
      <c r="AV48">
        <v>2</v>
      </c>
      <c r="AW48">
        <v>2</v>
      </c>
      <c r="AX48">
        <v>74017823</v>
      </c>
      <c r="AY48">
        <v>1</v>
      </c>
      <c r="AZ48">
        <v>0</v>
      </c>
      <c r="BA48">
        <v>50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CV48">
        <v>0</v>
      </c>
      <c r="CW48">
        <v>0</v>
      </c>
      <c r="CX48">
        <f>ROUND(Y48*Source!I77,7)</f>
        <v>8.9999999999999993E-3</v>
      </c>
      <c r="CY48">
        <f>AD48</f>
        <v>0</v>
      </c>
      <c r="CZ48">
        <f>AH48</f>
        <v>0</v>
      </c>
      <c r="DA48">
        <f>AL48</f>
        <v>1</v>
      </c>
      <c r="DB48">
        <f t="shared" si="19"/>
        <v>0</v>
      </c>
      <c r="DC48">
        <f t="shared" si="20"/>
        <v>0</v>
      </c>
      <c r="DD48" t="s">
        <v>3</v>
      </c>
      <c r="DE48" t="s">
        <v>3</v>
      </c>
      <c r="DF48">
        <f t="shared" si="21"/>
        <v>0</v>
      </c>
      <c r="DG48">
        <f t="shared" si="22"/>
        <v>0</v>
      </c>
      <c r="DH48">
        <f t="shared" si="4"/>
        <v>0</v>
      </c>
      <c r="DI48">
        <f t="shared" si="5"/>
        <v>0</v>
      </c>
      <c r="DJ48">
        <f>DI48</f>
        <v>0</v>
      </c>
      <c r="DK48">
        <v>0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ROW(Source!A77)</f>
        <v>77</v>
      </c>
      <c r="B49">
        <v>74014550</v>
      </c>
      <c r="C49">
        <v>74016160</v>
      </c>
      <c r="D49">
        <v>72646931</v>
      </c>
      <c r="E49">
        <v>1</v>
      </c>
      <c r="F49">
        <v>1</v>
      </c>
      <c r="G49">
        <v>1</v>
      </c>
      <c r="H49">
        <v>2</v>
      </c>
      <c r="I49" t="s">
        <v>545</v>
      </c>
      <c r="J49" t="s">
        <v>546</v>
      </c>
      <c r="K49" t="s">
        <v>547</v>
      </c>
      <c r="L49">
        <v>1368</v>
      </c>
      <c r="N49">
        <v>1011</v>
      </c>
      <c r="O49" t="s">
        <v>488</v>
      </c>
      <c r="P49" t="s">
        <v>488</v>
      </c>
      <c r="Q49">
        <v>1</v>
      </c>
      <c r="W49">
        <v>0</v>
      </c>
      <c r="X49">
        <v>4063365</v>
      </c>
      <c r="Y49">
        <f t="shared" si="18"/>
        <v>0.09</v>
      </c>
      <c r="AA49">
        <v>0</v>
      </c>
      <c r="AB49">
        <v>655.95</v>
      </c>
      <c r="AC49">
        <v>400.24</v>
      </c>
      <c r="AD49">
        <v>0</v>
      </c>
      <c r="AE49">
        <v>0</v>
      </c>
      <c r="AF49">
        <v>655.95</v>
      </c>
      <c r="AG49">
        <v>400.24</v>
      </c>
      <c r="AH49">
        <v>0</v>
      </c>
      <c r="AI49">
        <v>1</v>
      </c>
      <c r="AJ49">
        <v>1</v>
      </c>
      <c r="AK49">
        <v>1</v>
      </c>
      <c r="AL49">
        <v>1</v>
      </c>
      <c r="AM49">
        <v>-2</v>
      </c>
      <c r="AN49">
        <v>0</v>
      </c>
      <c r="AO49">
        <v>0</v>
      </c>
      <c r="AP49">
        <v>1</v>
      </c>
      <c r="AQ49">
        <v>1</v>
      </c>
      <c r="AR49">
        <v>0</v>
      </c>
      <c r="AS49" t="s">
        <v>3</v>
      </c>
      <c r="AT49">
        <v>0.09</v>
      </c>
      <c r="AU49" t="s">
        <v>3</v>
      </c>
      <c r="AV49">
        <v>1</v>
      </c>
      <c r="AW49">
        <v>2</v>
      </c>
      <c r="AX49">
        <v>74017824</v>
      </c>
      <c r="AY49">
        <v>1</v>
      </c>
      <c r="AZ49">
        <v>0</v>
      </c>
      <c r="BA49">
        <v>51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59.035499999999999</v>
      </c>
      <c r="BL49">
        <v>36.021599999999999</v>
      </c>
      <c r="BM49">
        <v>0</v>
      </c>
      <c r="BN49">
        <v>0</v>
      </c>
      <c r="BO49">
        <v>0.09</v>
      </c>
      <c r="BP49">
        <v>1</v>
      </c>
      <c r="BQ49">
        <v>0</v>
      </c>
      <c r="BR49">
        <v>59.035499999999999</v>
      </c>
      <c r="BS49">
        <v>36.021599999999999</v>
      </c>
      <c r="BT49">
        <v>0</v>
      </c>
      <c r="BU49">
        <v>0</v>
      </c>
      <c r="BV49">
        <v>0.09</v>
      </c>
      <c r="BW49">
        <v>1</v>
      </c>
      <c r="CV49">
        <v>0</v>
      </c>
      <c r="CW49">
        <f>ROUND(Y49*Source!I77*DO49,7)</f>
        <v>8.9999999999999993E-3</v>
      </c>
      <c r="CX49">
        <f>ROUND(Y49*Source!I77,7)</f>
        <v>8.9999999999999993E-3</v>
      </c>
      <c r="CY49">
        <f>AB49</f>
        <v>655.95</v>
      </c>
      <c r="CZ49">
        <f>AF49</f>
        <v>655.95</v>
      </c>
      <c r="DA49">
        <f>AJ49</f>
        <v>1</v>
      </c>
      <c r="DB49">
        <f t="shared" si="19"/>
        <v>59.04</v>
      </c>
      <c r="DC49">
        <f t="shared" si="20"/>
        <v>36.020000000000003</v>
      </c>
      <c r="DD49" t="s">
        <v>3</v>
      </c>
      <c r="DE49" t="s">
        <v>3</v>
      </c>
      <c r="DF49">
        <f t="shared" si="21"/>
        <v>0</v>
      </c>
      <c r="DG49">
        <f t="shared" si="22"/>
        <v>5.9</v>
      </c>
      <c r="DH49">
        <f t="shared" si="4"/>
        <v>3.6</v>
      </c>
      <c r="DI49">
        <f t="shared" si="5"/>
        <v>0</v>
      </c>
      <c r="DJ49">
        <f>DG49+DH49</f>
        <v>9.5</v>
      </c>
      <c r="DK49">
        <v>1</v>
      </c>
      <c r="DL49" t="s">
        <v>514</v>
      </c>
      <c r="DM49">
        <v>4</v>
      </c>
      <c r="DN49" t="s">
        <v>484</v>
      </c>
      <c r="DO49">
        <v>1</v>
      </c>
    </row>
    <row r="50" spans="1:119" x14ac:dyDescent="0.2">
      <c r="A50">
        <f>ROW(Source!A77)</f>
        <v>77</v>
      </c>
      <c r="B50">
        <v>74014550</v>
      </c>
      <c r="C50">
        <v>74016160</v>
      </c>
      <c r="D50">
        <v>72647089</v>
      </c>
      <c r="E50">
        <v>1</v>
      </c>
      <c r="F50">
        <v>1</v>
      </c>
      <c r="G50">
        <v>1</v>
      </c>
      <c r="H50">
        <v>2</v>
      </c>
      <c r="I50" t="s">
        <v>588</v>
      </c>
      <c r="J50" t="s">
        <v>589</v>
      </c>
      <c r="K50" t="s">
        <v>590</v>
      </c>
      <c r="L50">
        <v>1368</v>
      </c>
      <c r="N50">
        <v>1011</v>
      </c>
      <c r="O50" t="s">
        <v>488</v>
      </c>
      <c r="P50" t="s">
        <v>488</v>
      </c>
      <c r="Q50">
        <v>1</v>
      </c>
      <c r="W50">
        <v>0</v>
      </c>
      <c r="X50">
        <v>860887119</v>
      </c>
      <c r="Y50">
        <f t="shared" si="18"/>
        <v>0.6</v>
      </c>
      <c r="AA50">
        <v>0</v>
      </c>
      <c r="AB50">
        <v>13.81</v>
      </c>
      <c r="AC50">
        <v>0</v>
      </c>
      <c r="AD50">
        <v>0</v>
      </c>
      <c r="AE50">
        <v>0</v>
      </c>
      <c r="AF50">
        <v>8.6300000000000008</v>
      </c>
      <c r="AG50">
        <v>0</v>
      </c>
      <c r="AH50">
        <v>0</v>
      </c>
      <c r="AI50">
        <v>1</v>
      </c>
      <c r="AJ50">
        <v>1.6</v>
      </c>
      <c r="AK50">
        <v>1</v>
      </c>
      <c r="AL50">
        <v>1</v>
      </c>
      <c r="AM50">
        <v>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0.6</v>
      </c>
      <c r="AU50" t="s">
        <v>3</v>
      </c>
      <c r="AV50">
        <v>1</v>
      </c>
      <c r="AW50">
        <v>2</v>
      </c>
      <c r="AX50">
        <v>74017825</v>
      </c>
      <c r="AY50">
        <v>1</v>
      </c>
      <c r="AZ50">
        <v>0</v>
      </c>
      <c r="BA50">
        <v>52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5.1779999999999999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0</v>
      </c>
      <c r="BR50">
        <v>5.1779999999999999</v>
      </c>
      <c r="BS50">
        <v>0</v>
      </c>
      <c r="BT50">
        <v>0</v>
      </c>
      <c r="BU50">
        <v>0</v>
      </c>
      <c r="BV50">
        <v>0</v>
      </c>
      <c r="BW50">
        <v>1</v>
      </c>
      <c r="CV50">
        <v>0</v>
      </c>
      <c r="CW50">
        <f>ROUND(Y50*Source!I77*DO50,7)</f>
        <v>0</v>
      </c>
      <c r="CX50">
        <f>ROUND(Y50*Source!I77,7)</f>
        <v>0.06</v>
      </c>
      <c r="CY50">
        <f>AB50</f>
        <v>13.81</v>
      </c>
      <c r="CZ50">
        <f>AF50</f>
        <v>8.6300000000000008</v>
      </c>
      <c r="DA50">
        <f>AJ50</f>
        <v>1.6</v>
      </c>
      <c r="DB50">
        <f t="shared" si="19"/>
        <v>5.18</v>
      </c>
      <c r="DC50">
        <f t="shared" si="20"/>
        <v>0</v>
      </c>
      <c r="DD50" t="s">
        <v>3</v>
      </c>
      <c r="DE50" t="s">
        <v>3</v>
      </c>
      <c r="DF50">
        <f t="shared" si="21"/>
        <v>0</v>
      </c>
      <c r="DG50">
        <f>ROUND(ROUND(AF50*AJ50,2)*CX50,2)</f>
        <v>0.83</v>
      </c>
      <c r="DH50">
        <f t="shared" si="4"/>
        <v>0</v>
      </c>
      <c r="DI50">
        <f t="shared" si="5"/>
        <v>0</v>
      </c>
      <c r="DJ50">
        <f>DG50+DH50</f>
        <v>0.83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ROW(Source!A77)</f>
        <v>77</v>
      </c>
      <c r="B51">
        <v>74014550</v>
      </c>
      <c r="C51">
        <v>74016160</v>
      </c>
      <c r="D51">
        <v>72647111</v>
      </c>
      <c r="E51">
        <v>1</v>
      </c>
      <c r="F51">
        <v>1</v>
      </c>
      <c r="G51">
        <v>1</v>
      </c>
      <c r="H51">
        <v>2</v>
      </c>
      <c r="I51" t="s">
        <v>591</v>
      </c>
      <c r="J51" t="s">
        <v>592</v>
      </c>
      <c r="K51" t="s">
        <v>593</v>
      </c>
      <c r="L51">
        <v>1368</v>
      </c>
      <c r="N51">
        <v>1011</v>
      </c>
      <c r="O51" t="s">
        <v>488</v>
      </c>
      <c r="P51" t="s">
        <v>488</v>
      </c>
      <c r="Q51">
        <v>1</v>
      </c>
      <c r="W51">
        <v>0</v>
      </c>
      <c r="X51">
        <v>1391482573</v>
      </c>
      <c r="Y51">
        <f t="shared" si="18"/>
        <v>33.9</v>
      </c>
      <c r="AA51">
        <v>0</v>
      </c>
      <c r="AB51">
        <v>4.34</v>
      </c>
      <c r="AC51">
        <v>0</v>
      </c>
      <c r="AD51">
        <v>0</v>
      </c>
      <c r="AE51">
        <v>0</v>
      </c>
      <c r="AF51">
        <v>3.34</v>
      </c>
      <c r="AG51">
        <v>0</v>
      </c>
      <c r="AH51">
        <v>0</v>
      </c>
      <c r="AI51">
        <v>1</v>
      </c>
      <c r="AJ51">
        <v>1.3</v>
      </c>
      <c r="AK51">
        <v>1</v>
      </c>
      <c r="AL51">
        <v>1</v>
      </c>
      <c r="AM51">
        <v>2</v>
      </c>
      <c r="AN51">
        <v>0</v>
      </c>
      <c r="AO51">
        <v>0</v>
      </c>
      <c r="AP51">
        <v>1</v>
      </c>
      <c r="AQ51">
        <v>1</v>
      </c>
      <c r="AR51">
        <v>0</v>
      </c>
      <c r="AS51" t="s">
        <v>3</v>
      </c>
      <c r="AT51">
        <v>33.9</v>
      </c>
      <c r="AU51" t="s">
        <v>3</v>
      </c>
      <c r="AV51">
        <v>1</v>
      </c>
      <c r="AW51">
        <v>2</v>
      </c>
      <c r="AX51">
        <v>74017826</v>
      </c>
      <c r="AY51">
        <v>1</v>
      </c>
      <c r="AZ51">
        <v>0</v>
      </c>
      <c r="BA51">
        <v>53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113.22599999999998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113.22599999999998</v>
      </c>
      <c r="BS51">
        <v>0</v>
      </c>
      <c r="BT51">
        <v>0</v>
      </c>
      <c r="BU51">
        <v>0</v>
      </c>
      <c r="BV51">
        <v>0</v>
      </c>
      <c r="BW51">
        <v>1</v>
      </c>
      <c r="CV51">
        <v>0</v>
      </c>
      <c r="CW51">
        <f>ROUND(Y51*Source!I77*DO51,7)</f>
        <v>0</v>
      </c>
      <c r="CX51">
        <f>ROUND(Y51*Source!I77,7)</f>
        <v>3.39</v>
      </c>
      <c r="CY51">
        <f>AB51</f>
        <v>4.34</v>
      </c>
      <c r="CZ51">
        <f>AF51</f>
        <v>3.34</v>
      </c>
      <c r="DA51">
        <f>AJ51</f>
        <v>1.3</v>
      </c>
      <c r="DB51">
        <f t="shared" si="19"/>
        <v>113.23</v>
      </c>
      <c r="DC51">
        <f t="shared" si="20"/>
        <v>0</v>
      </c>
      <c r="DD51" t="s">
        <v>3</v>
      </c>
      <c r="DE51" t="s">
        <v>3</v>
      </c>
      <c r="DF51">
        <f t="shared" si="21"/>
        <v>0</v>
      </c>
      <c r="DG51">
        <f>ROUND(ROUND(AF51*AJ51,2)*CX51,2)</f>
        <v>14.71</v>
      </c>
      <c r="DH51">
        <f t="shared" si="4"/>
        <v>0</v>
      </c>
      <c r="DI51">
        <f t="shared" si="5"/>
        <v>0</v>
      </c>
      <c r="DJ51">
        <f>DG51+DH51</f>
        <v>14.71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ROW(Source!A77)</f>
        <v>77</v>
      </c>
      <c r="B52">
        <v>74014550</v>
      </c>
      <c r="C52">
        <v>74016160</v>
      </c>
      <c r="D52">
        <v>72647129</v>
      </c>
      <c r="E52">
        <v>1</v>
      </c>
      <c r="F52">
        <v>1</v>
      </c>
      <c r="G52">
        <v>1</v>
      </c>
      <c r="H52">
        <v>2</v>
      </c>
      <c r="I52" t="s">
        <v>508</v>
      </c>
      <c r="J52" t="s">
        <v>509</v>
      </c>
      <c r="K52" t="s">
        <v>510</v>
      </c>
      <c r="L52">
        <v>1368</v>
      </c>
      <c r="N52">
        <v>1011</v>
      </c>
      <c r="O52" t="s">
        <v>488</v>
      </c>
      <c r="P52" t="s">
        <v>488</v>
      </c>
      <c r="Q52">
        <v>1</v>
      </c>
      <c r="W52">
        <v>0</v>
      </c>
      <c r="X52">
        <v>1678177714</v>
      </c>
      <c r="Y52">
        <f t="shared" si="18"/>
        <v>2.1</v>
      </c>
      <c r="AA52">
        <v>0</v>
      </c>
      <c r="AB52">
        <v>43.87</v>
      </c>
      <c r="AC52">
        <v>0</v>
      </c>
      <c r="AD52">
        <v>0</v>
      </c>
      <c r="AE52">
        <v>0</v>
      </c>
      <c r="AF52">
        <v>43.87</v>
      </c>
      <c r="AG52">
        <v>0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-2</v>
      </c>
      <c r="AN52">
        <v>0</v>
      </c>
      <c r="AO52">
        <v>0</v>
      </c>
      <c r="AP52">
        <v>1</v>
      </c>
      <c r="AQ52">
        <v>1</v>
      </c>
      <c r="AR52">
        <v>0</v>
      </c>
      <c r="AS52" t="s">
        <v>3</v>
      </c>
      <c r="AT52">
        <v>2.1</v>
      </c>
      <c r="AU52" t="s">
        <v>3</v>
      </c>
      <c r="AV52">
        <v>1</v>
      </c>
      <c r="AW52">
        <v>2</v>
      </c>
      <c r="AX52">
        <v>74017827</v>
      </c>
      <c r="AY52">
        <v>1</v>
      </c>
      <c r="AZ52">
        <v>0</v>
      </c>
      <c r="BA52">
        <v>54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92.126999999999995</v>
      </c>
      <c r="BL52">
        <v>0</v>
      </c>
      <c r="BM52">
        <v>0</v>
      </c>
      <c r="BN52">
        <v>0</v>
      </c>
      <c r="BO52">
        <v>0</v>
      </c>
      <c r="BP52">
        <v>1</v>
      </c>
      <c r="BQ52">
        <v>0</v>
      </c>
      <c r="BR52">
        <v>92.126999999999995</v>
      </c>
      <c r="BS52">
        <v>0</v>
      </c>
      <c r="BT52">
        <v>0</v>
      </c>
      <c r="BU52">
        <v>0</v>
      </c>
      <c r="BV52">
        <v>0</v>
      </c>
      <c r="BW52">
        <v>1</v>
      </c>
      <c r="CV52">
        <v>0</v>
      </c>
      <c r="CW52">
        <f>ROUND(Y52*Source!I77*DO52,7)</f>
        <v>0</v>
      </c>
      <c r="CX52">
        <f>ROUND(Y52*Source!I77,7)</f>
        <v>0.21</v>
      </c>
      <c r="CY52">
        <f>AB52</f>
        <v>43.87</v>
      </c>
      <c r="CZ52">
        <f>AF52</f>
        <v>43.87</v>
      </c>
      <c r="DA52">
        <f>AJ52</f>
        <v>1</v>
      </c>
      <c r="DB52">
        <f t="shared" si="19"/>
        <v>92.13</v>
      </c>
      <c r="DC52">
        <f t="shared" si="20"/>
        <v>0</v>
      </c>
      <c r="DD52" t="s">
        <v>3</v>
      </c>
      <c r="DE52" t="s">
        <v>3</v>
      </c>
      <c r="DF52">
        <f t="shared" si="21"/>
        <v>0</v>
      </c>
      <c r="DG52">
        <f>ROUND(ROUND(AF52,2)*CX52,2)</f>
        <v>9.2100000000000009</v>
      </c>
      <c r="DH52">
        <f t="shared" si="4"/>
        <v>0</v>
      </c>
      <c r="DI52">
        <f t="shared" si="5"/>
        <v>0</v>
      </c>
      <c r="DJ52">
        <f>DG52+DH52</f>
        <v>9.2100000000000009</v>
      </c>
      <c r="DK52">
        <v>1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ROW(Source!A77)</f>
        <v>77</v>
      </c>
      <c r="B53">
        <v>74014550</v>
      </c>
      <c r="C53">
        <v>74016160</v>
      </c>
      <c r="D53">
        <v>72592092</v>
      </c>
      <c r="E53">
        <v>1</v>
      </c>
      <c r="F53">
        <v>1</v>
      </c>
      <c r="G53">
        <v>1</v>
      </c>
      <c r="H53">
        <v>3</v>
      </c>
      <c r="I53" t="s">
        <v>522</v>
      </c>
      <c r="J53" t="s">
        <v>523</v>
      </c>
      <c r="K53" t="s">
        <v>524</v>
      </c>
      <c r="L53">
        <v>1346</v>
      </c>
      <c r="N53">
        <v>1009</v>
      </c>
      <c r="O53" t="s">
        <v>314</v>
      </c>
      <c r="P53" t="s">
        <v>314</v>
      </c>
      <c r="Q53">
        <v>1</v>
      </c>
      <c r="W53">
        <v>0</v>
      </c>
      <c r="X53">
        <v>743240341</v>
      </c>
      <c r="Y53">
        <f t="shared" si="18"/>
        <v>0.33</v>
      </c>
      <c r="AA53">
        <v>131.85</v>
      </c>
      <c r="AB53">
        <v>0</v>
      </c>
      <c r="AC53">
        <v>0</v>
      </c>
      <c r="AD53">
        <v>0</v>
      </c>
      <c r="AE53">
        <v>131.85</v>
      </c>
      <c r="AF53">
        <v>0</v>
      </c>
      <c r="AG53">
        <v>0</v>
      </c>
      <c r="AH53">
        <v>0</v>
      </c>
      <c r="AI53">
        <v>1</v>
      </c>
      <c r="AJ53">
        <v>1</v>
      </c>
      <c r="AK53">
        <v>1</v>
      </c>
      <c r="AL53">
        <v>1</v>
      </c>
      <c r="AM53">
        <v>-2</v>
      </c>
      <c r="AN53">
        <v>0</v>
      </c>
      <c r="AO53">
        <v>0</v>
      </c>
      <c r="AP53">
        <v>1</v>
      </c>
      <c r="AQ53">
        <v>1</v>
      </c>
      <c r="AR53">
        <v>0</v>
      </c>
      <c r="AS53" t="s">
        <v>3</v>
      </c>
      <c r="AT53">
        <v>0.33</v>
      </c>
      <c r="AU53" t="s">
        <v>3</v>
      </c>
      <c r="AV53">
        <v>0</v>
      </c>
      <c r="AW53">
        <v>2</v>
      </c>
      <c r="AX53">
        <v>74017828</v>
      </c>
      <c r="AY53">
        <v>1</v>
      </c>
      <c r="AZ53">
        <v>0</v>
      </c>
      <c r="BA53">
        <v>55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43.5105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1</v>
      </c>
      <c r="BQ53">
        <v>43.5105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CV53">
        <v>0</v>
      </c>
      <c r="CW53">
        <v>0</v>
      </c>
      <c r="CX53">
        <f>ROUND(Y53*Source!I77,7)</f>
        <v>3.3000000000000002E-2</v>
      </c>
      <c r="CY53">
        <f>AA53</f>
        <v>131.85</v>
      </c>
      <c r="CZ53">
        <f>AE53</f>
        <v>131.85</v>
      </c>
      <c r="DA53">
        <f>AI53</f>
        <v>1</v>
      </c>
      <c r="DB53">
        <f t="shared" si="19"/>
        <v>43.51</v>
      </c>
      <c r="DC53">
        <f t="shared" si="20"/>
        <v>0</v>
      </c>
      <c r="DD53" t="s">
        <v>3</v>
      </c>
      <c r="DE53" t="s">
        <v>3</v>
      </c>
      <c r="DF53">
        <f t="shared" si="21"/>
        <v>4.3499999999999996</v>
      </c>
      <c r="DG53">
        <f>ROUND(ROUND(AF53,2)*CX53,2)</f>
        <v>0</v>
      </c>
      <c r="DH53">
        <f t="shared" si="4"/>
        <v>0</v>
      </c>
      <c r="DI53">
        <f t="shared" si="5"/>
        <v>0</v>
      </c>
      <c r="DJ53">
        <f>DF53</f>
        <v>4.3499999999999996</v>
      </c>
      <c r="DK53">
        <v>1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ROW(Source!A77)</f>
        <v>77</v>
      </c>
      <c r="B54">
        <v>74014550</v>
      </c>
      <c r="C54">
        <v>74016160</v>
      </c>
      <c r="D54">
        <v>72594025</v>
      </c>
      <c r="E54">
        <v>1</v>
      </c>
      <c r="F54">
        <v>1</v>
      </c>
      <c r="G54">
        <v>1</v>
      </c>
      <c r="H54">
        <v>3</v>
      </c>
      <c r="I54" t="s">
        <v>594</v>
      </c>
      <c r="J54" t="s">
        <v>595</v>
      </c>
      <c r="K54" t="s">
        <v>596</v>
      </c>
      <c r="L54">
        <v>1346</v>
      </c>
      <c r="N54">
        <v>1009</v>
      </c>
      <c r="O54" t="s">
        <v>314</v>
      </c>
      <c r="P54" t="s">
        <v>314</v>
      </c>
      <c r="Q54">
        <v>1</v>
      </c>
      <c r="W54">
        <v>0</v>
      </c>
      <c r="X54">
        <v>-1493600273</v>
      </c>
      <c r="Y54">
        <f t="shared" si="18"/>
        <v>0.02</v>
      </c>
      <c r="AA54">
        <v>91.46</v>
      </c>
      <c r="AB54">
        <v>0</v>
      </c>
      <c r="AC54">
        <v>0</v>
      </c>
      <c r="AD54">
        <v>0</v>
      </c>
      <c r="AE54">
        <v>56.11</v>
      </c>
      <c r="AF54">
        <v>0</v>
      </c>
      <c r="AG54">
        <v>0</v>
      </c>
      <c r="AH54">
        <v>0</v>
      </c>
      <c r="AI54">
        <v>1.63</v>
      </c>
      <c r="AJ54">
        <v>1</v>
      </c>
      <c r="AK54">
        <v>1</v>
      </c>
      <c r="AL54">
        <v>1</v>
      </c>
      <c r="AM54">
        <v>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0.02</v>
      </c>
      <c r="AU54" t="s">
        <v>3</v>
      </c>
      <c r="AV54">
        <v>0</v>
      </c>
      <c r="AW54">
        <v>2</v>
      </c>
      <c r="AX54">
        <v>74017829</v>
      </c>
      <c r="AY54">
        <v>1</v>
      </c>
      <c r="AZ54">
        <v>0</v>
      </c>
      <c r="BA54">
        <v>56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1.1222000000000001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1.1222000000000001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CV54">
        <v>0</v>
      </c>
      <c r="CW54">
        <v>0</v>
      </c>
      <c r="CX54">
        <f>ROUND(Y54*Source!I77,7)</f>
        <v>2E-3</v>
      </c>
      <c r="CY54">
        <f>AA54</f>
        <v>91.46</v>
      </c>
      <c r="CZ54">
        <f>AE54</f>
        <v>56.11</v>
      </c>
      <c r="DA54">
        <f>AI54</f>
        <v>1.63</v>
      </c>
      <c r="DB54">
        <f t="shared" si="19"/>
        <v>1.1200000000000001</v>
      </c>
      <c r="DC54">
        <f t="shared" si="20"/>
        <v>0</v>
      </c>
      <c r="DD54" t="s">
        <v>3</v>
      </c>
      <c r="DE54" t="s">
        <v>3</v>
      </c>
      <c r="DF54">
        <f>ROUND(ROUND(AE54*AI54,2)*CX54,2)</f>
        <v>0.18</v>
      </c>
      <c r="DG54">
        <f>ROUND(ROUND(AF54,2)*CX54,2)</f>
        <v>0</v>
      </c>
      <c r="DH54">
        <f t="shared" si="4"/>
        <v>0</v>
      </c>
      <c r="DI54">
        <f t="shared" si="5"/>
        <v>0</v>
      </c>
      <c r="DJ54">
        <f>DF54</f>
        <v>0.18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ROW(Source!A77)</f>
        <v>77</v>
      </c>
      <c r="B55">
        <v>74014550</v>
      </c>
      <c r="C55">
        <v>74016160</v>
      </c>
      <c r="D55">
        <v>72610957</v>
      </c>
      <c r="E55">
        <v>1</v>
      </c>
      <c r="F55">
        <v>1</v>
      </c>
      <c r="G55">
        <v>1</v>
      </c>
      <c r="H55">
        <v>3</v>
      </c>
      <c r="I55" t="s">
        <v>597</v>
      </c>
      <c r="J55" t="s">
        <v>598</v>
      </c>
      <c r="K55" t="s">
        <v>599</v>
      </c>
      <c r="L55">
        <v>1346</v>
      </c>
      <c r="N55">
        <v>1009</v>
      </c>
      <c r="O55" t="s">
        <v>314</v>
      </c>
      <c r="P55" t="s">
        <v>314</v>
      </c>
      <c r="Q55">
        <v>1</v>
      </c>
      <c r="W55">
        <v>0</v>
      </c>
      <c r="X55">
        <v>-1727201070</v>
      </c>
      <c r="Y55">
        <f t="shared" si="18"/>
        <v>0.1</v>
      </c>
      <c r="AA55">
        <v>101.81</v>
      </c>
      <c r="AB55">
        <v>0</v>
      </c>
      <c r="AC55">
        <v>0</v>
      </c>
      <c r="AD55">
        <v>0</v>
      </c>
      <c r="AE55">
        <v>60.6</v>
      </c>
      <c r="AF55">
        <v>0</v>
      </c>
      <c r="AG55">
        <v>0</v>
      </c>
      <c r="AH55">
        <v>0</v>
      </c>
      <c r="AI55">
        <v>1.68</v>
      </c>
      <c r="AJ55">
        <v>1</v>
      </c>
      <c r="AK55">
        <v>1</v>
      </c>
      <c r="AL55">
        <v>1</v>
      </c>
      <c r="AM55">
        <v>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0.1</v>
      </c>
      <c r="AU55" t="s">
        <v>3</v>
      </c>
      <c r="AV55">
        <v>0</v>
      </c>
      <c r="AW55">
        <v>2</v>
      </c>
      <c r="AX55">
        <v>74017830</v>
      </c>
      <c r="AY55">
        <v>1</v>
      </c>
      <c r="AZ55">
        <v>0</v>
      </c>
      <c r="BA55">
        <v>57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6.0600000000000005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6.0600000000000005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CV55">
        <v>0</v>
      </c>
      <c r="CW55">
        <v>0</v>
      </c>
      <c r="CX55">
        <f>ROUND(Y55*Source!I77,7)</f>
        <v>0.01</v>
      </c>
      <c r="CY55">
        <f>AA55</f>
        <v>101.81</v>
      </c>
      <c r="CZ55">
        <f>AE55</f>
        <v>60.6</v>
      </c>
      <c r="DA55">
        <f>AI55</f>
        <v>1.68</v>
      </c>
      <c r="DB55">
        <f t="shared" si="19"/>
        <v>6.06</v>
      </c>
      <c r="DC55">
        <f t="shared" si="20"/>
        <v>0</v>
      </c>
      <c r="DD55" t="s">
        <v>3</v>
      </c>
      <c r="DE55" t="s">
        <v>3</v>
      </c>
      <c r="DF55">
        <f>ROUND(ROUND(AE55*AI55,2)*CX55,2)</f>
        <v>1.02</v>
      </c>
      <c r="DG55">
        <f>ROUND(ROUND(AF55,2)*CX55,2)</f>
        <v>0</v>
      </c>
      <c r="DH55">
        <f t="shared" si="4"/>
        <v>0</v>
      </c>
      <c r="DI55">
        <f t="shared" si="5"/>
        <v>0</v>
      </c>
      <c r="DJ55">
        <f>DF55</f>
        <v>1.02</v>
      </c>
      <c r="DK55">
        <v>0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ROW(Source!A79)</f>
        <v>79</v>
      </c>
      <c r="B56">
        <v>74014550</v>
      </c>
      <c r="C56">
        <v>74016200</v>
      </c>
      <c r="D56">
        <v>72518646</v>
      </c>
      <c r="E56">
        <v>119</v>
      </c>
      <c r="F56">
        <v>1</v>
      </c>
      <c r="G56">
        <v>1</v>
      </c>
      <c r="H56">
        <v>1</v>
      </c>
      <c r="I56" t="s">
        <v>600</v>
      </c>
      <c r="J56" t="s">
        <v>3</v>
      </c>
      <c r="K56" t="s">
        <v>601</v>
      </c>
      <c r="L56">
        <v>1191</v>
      </c>
      <c r="N56">
        <v>1013</v>
      </c>
      <c r="O56" t="s">
        <v>484</v>
      </c>
      <c r="P56" t="s">
        <v>484</v>
      </c>
      <c r="Q56">
        <v>1</v>
      </c>
      <c r="W56">
        <v>0</v>
      </c>
      <c r="X56">
        <v>-1105933552</v>
      </c>
      <c r="Y56">
        <f t="shared" si="18"/>
        <v>0.32</v>
      </c>
      <c r="AA56">
        <v>0</v>
      </c>
      <c r="AB56">
        <v>0</v>
      </c>
      <c r="AC56">
        <v>0</v>
      </c>
      <c r="AD56">
        <v>386.8</v>
      </c>
      <c r="AE56">
        <v>0</v>
      </c>
      <c r="AF56">
        <v>0</v>
      </c>
      <c r="AG56">
        <v>0</v>
      </c>
      <c r="AH56">
        <v>386.8</v>
      </c>
      <c r="AI56">
        <v>1</v>
      </c>
      <c r="AJ56">
        <v>1</v>
      </c>
      <c r="AK56">
        <v>1</v>
      </c>
      <c r="AL56">
        <v>1</v>
      </c>
      <c r="AM56">
        <v>-2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0.32</v>
      </c>
      <c r="AU56" t="s">
        <v>3</v>
      </c>
      <c r="AV56">
        <v>1</v>
      </c>
      <c r="AW56">
        <v>2</v>
      </c>
      <c r="AX56">
        <v>74017844</v>
      </c>
      <c r="AY56">
        <v>1</v>
      </c>
      <c r="AZ56">
        <v>0</v>
      </c>
      <c r="BA56">
        <v>64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123.77600000000001</v>
      </c>
      <c r="BN56">
        <v>0.32</v>
      </c>
      <c r="BO56">
        <v>0</v>
      </c>
      <c r="BP56">
        <v>1</v>
      </c>
      <c r="BQ56">
        <v>0</v>
      </c>
      <c r="BR56">
        <v>0</v>
      </c>
      <c r="BS56">
        <v>0</v>
      </c>
      <c r="BT56">
        <v>123.77600000000001</v>
      </c>
      <c r="BU56">
        <v>0.32</v>
      </c>
      <c r="BV56">
        <v>0</v>
      </c>
      <c r="BW56">
        <v>1</v>
      </c>
      <c r="CU56">
        <f>ROUND(AT56*Source!I79*AH56*AL56,2)</f>
        <v>123.78</v>
      </c>
      <c r="CV56">
        <f>ROUND(Y56*Source!I79,7)</f>
        <v>0.32</v>
      </c>
      <c r="CW56">
        <v>0</v>
      </c>
      <c r="CX56">
        <f>ROUND(Y56*Source!I79,7)</f>
        <v>0.32</v>
      </c>
      <c r="CY56">
        <f>AD56</f>
        <v>386.8</v>
      </c>
      <c r="CZ56">
        <f>AH56</f>
        <v>386.8</v>
      </c>
      <c r="DA56">
        <f>AL56</f>
        <v>1</v>
      </c>
      <c r="DB56">
        <f t="shared" si="19"/>
        <v>123.78</v>
      </c>
      <c r="DC56">
        <f t="shared" si="20"/>
        <v>0</v>
      </c>
      <c r="DD56" t="s">
        <v>3</v>
      </c>
      <c r="DE56" t="s">
        <v>3</v>
      </c>
      <c r="DF56">
        <f>ROUND(ROUND(AE56,2)*CX56,2)</f>
        <v>0</v>
      </c>
      <c r="DG56">
        <f>ROUND(ROUND(AF56,2)*CX56,2)</f>
        <v>0</v>
      </c>
      <c r="DH56">
        <f t="shared" si="4"/>
        <v>0</v>
      </c>
      <c r="DI56">
        <f t="shared" si="5"/>
        <v>123.78</v>
      </c>
      <c r="DJ56">
        <f>DI56</f>
        <v>123.78</v>
      </c>
      <c r="DK56">
        <v>1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ROW(Source!A79)</f>
        <v>79</v>
      </c>
      <c r="B57">
        <v>74014550</v>
      </c>
      <c r="C57">
        <v>74016200</v>
      </c>
      <c r="D57">
        <v>72647089</v>
      </c>
      <c r="E57">
        <v>1</v>
      </c>
      <c r="F57">
        <v>1</v>
      </c>
      <c r="G57">
        <v>1</v>
      </c>
      <c r="H57">
        <v>2</v>
      </c>
      <c r="I57" t="s">
        <v>588</v>
      </c>
      <c r="J57" t="s">
        <v>589</v>
      </c>
      <c r="K57" t="s">
        <v>590</v>
      </c>
      <c r="L57">
        <v>1368</v>
      </c>
      <c r="N57">
        <v>1011</v>
      </c>
      <c r="O57" t="s">
        <v>488</v>
      </c>
      <c r="P57" t="s">
        <v>488</v>
      </c>
      <c r="Q57">
        <v>1</v>
      </c>
      <c r="W57">
        <v>0</v>
      </c>
      <c r="X57">
        <v>860887119</v>
      </c>
      <c r="Y57">
        <f t="shared" si="18"/>
        <v>0.19</v>
      </c>
      <c r="AA57">
        <v>0</v>
      </c>
      <c r="AB57">
        <v>13.81</v>
      </c>
      <c r="AC57">
        <v>0</v>
      </c>
      <c r="AD57">
        <v>0</v>
      </c>
      <c r="AE57">
        <v>0</v>
      </c>
      <c r="AF57">
        <v>8.6300000000000008</v>
      </c>
      <c r="AG57">
        <v>0</v>
      </c>
      <c r="AH57">
        <v>0</v>
      </c>
      <c r="AI57">
        <v>1</v>
      </c>
      <c r="AJ57">
        <v>1.6</v>
      </c>
      <c r="AK57">
        <v>1</v>
      </c>
      <c r="AL57">
        <v>1</v>
      </c>
      <c r="AM57">
        <v>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0.19</v>
      </c>
      <c r="AU57" t="s">
        <v>3</v>
      </c>
      <c r="AV57">
        <v>1</v>
      </c>
      <c r="AW57">
        <v>2</v>
      </c>
      <c r="AX57">
        <v>74017845</v>
      </c>
      <c r="AY57">
        <v>1</v>
      </c>
      <c r="AZ57">
        <v>0</v>
      </c>
      <c r="BA57">
        <v>65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1.6397000000000002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1.6397000000000002</v>
      </c>
      <c r="BS57">
        <v>0</v>
      </c>
      <c r="BT57">
        <v>0</v>
      </c>
      <c r="BU57">
        <v>0</v>
      </c>
      <c r="BV57">
        <v>0</v>
      </c>
      <c r="BW57">
        <v>1</v>
      </c>
      <c r="CV57">
        <v>0</v>
      </c>
      <c r="CW57">
        <f>ROUND(Y57*Source!I79*DO57,7)</f>
        <v>0</v>
      </c>
      <c r="CX57">
        <f>ROUND(Y57*Source!I79,7)</f>
        <v>0.19</v>
      </c>
      <c r="CY57">
        <f>AB57</f>
        <v>13.81</v>
      </c>
      <c r="CZ57">
        <f>AF57</f>
        <v>8.6300000000000008</v>
      </c>
      <c r="DA57">
        <f>AJ57</f>
        <v>1.6</v>
      </c>
      <c r="DB57">
        <f t="shared" si="19"/>
        <v>1.64</v>
      </c>
      <c r="DC57">
        <f t="shared" si="20"/>
        <v>0</v>
      </c>
      <c r="DD57" t="s">
        <v>3</v>
      </c>
      <c r="DE57" t="s">
        <v>3</v>
      </c>
      <c r="DF57">
        <f>ROUND(ROUND(AE57,2)*CX57,2)</f>
        <v>0</v>
      </c>
      <c r="DG57">
        <f>ROUND(ROUND(AF57*AJ57,2)*CX57,2)</f>
        <v>2.62</v>
      </c>
      <c r="DH57">
        <f t="shared" si="4"/>
        <v>0</v>
      </c>
      <c r="DI57">
        <f t="shared" si="5"/>
        <v>0</v>
      </c>
      <c r="DJ57">
        <f>DG57+DH57</f>
        <v>2.62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ROW(Source!A79)</f>
        <v>79</v>
      </c>
      <c r="B58">
        <v>74014550</v>
      </c>
      <c r="C58">
        <v>74016200</v>
      </c>
      <c r="D58">
        <v>72647111</v>
      </c>
      <c r="E58">
        <v>1</v>
      </c>
      <c r="F58">
        <v>1</v>
      </c>
      <c r="G58">
        <v>1</v>
      </c>
      <c r="H58">
        <v>2</v>
      </c>
      <c r="I58" t="s">
        <v>591</v>
      </c>
      <c r="J58" t="s">
        <v>592</v>
      </c>
      <c r="K58" t="s">
        <v>593</v>
      </c>
      <c r="L58">
        <v>1368</v>
      </c>
      <c r="N58">
        <v>1011</v>
      </c>
      <c r="O58" t="s">
        <v>488</v>
      </c>
      <c r="P58" t="s">
        <v>488</v>
      </c>
      <c r="Q58">
        <v>1</v>
      </c>
      <c r="W58">
        <v>0</v>
      </c>
      <c r="X58">
        <v>1391482573</v>
      </c>
      <c r="Y58">
        <f t="shared" si="18"/>
        <v>0.33</v>
      </c>
      <c r="AA58">
        <v>0</v>
      </c>
      <c r="AB58">
        <v>4.34</v>
      </c>
      <c r="AC58">
        <v>0</v>
      </c>
      <c r="AD58">
        <v>0</v>
      </c>
      <c r="AE58">
        <v>0</v>
      </c>
      <c r="AF58">
        <v>3.34</v>
      </c>
      <c r="AG58">
        <v>0</v>
      </c>
      <c r="AH58">
        <v>0</v>
      </c>
      <c r="AI58">
        <v>1</v>
      </c>
      <c r="AJ58">
        <v>1.3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0.33</v>
      </c>
      <c r="AU58" t="s">
        <v>3</v>
      </c>
      <c r="AV58">
        <v>1</v>
      </c>
      <c r="AW58">
        <v>2</v>
      </c>
      <c r="AX58">
        <v>74017846</v>
      </c>
      <c r="AY58">
        <v>1</v>
      </c>
      <c r="AZ58">
        <v>0</v>
      </c>
      <c r="BA58">
        <v>66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1.1022000000000001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0</v>
      </c>
      <c r="BR58">
        <v>1.1022000000000001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f>ROUND(Y58*Source!I79*DO58,7)</f>
        <v>0</v>
      </c>
      <c r="CX58">
        <f>ROUND(Y58*Source!I79,7)</f>
        <v>0.33</v>
      </c>
      <c r="CY58">
        <f>AB58</f>
        <v>4.34</v>
      </c>
      <c r="CZ58">
        <f>AF58</f>
        <v>3.34</v>
      </c>
      <c r="DA58">
        <f>AJ58</f>
        <v>1.3</v>
      </c>
      <c r="DB58">
        <f t="shared" si="19"/>
        <v>1.1000000000000001</v>
      </c>
      <c r="DC58">
        <f t="shared" si="20"/>
        <v>0</v>
      </c>
      <c r="DD58" t="s">
        <v>3</v>
      </c>
      <c r="DE58" t="s">
        <v>3</v>
      </c>
      <c r="DF58">
        <f>ROUND(ROUND(AE58,2)*CX58,2)</f>
        <v>0</v>
      </c>
      <c r="DG58">
        <f>ROUND(ROUND(AF58*AJ58,2)*CX58,2)</f>
        <v>1.43</v>
      </c>
      <c r="DH58">
        <f t="shared" si="4"/>
        <v>0</v>
      </c>
      <c r="DI58">
        <f t="shared" si="5"/>
        <v>0</v>
      </c>
      <c r="DJ58">
        <f>DG58+DH58</f>
        <v>1.43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ROW(Source!A79)</f>
        <v>79</v>
      </c>
      <c r="B59">
        <v>74014550</v>
      </c>
      <c r="C59">
        <v>74016200</v>
      </c>
      <c r="D59">
        <v>72589277</v>
      </c>
      <c r="E59">
        <v>1</v>
      </c>
      <c r="F59">
        <v>1</v>
      </c>
      <c r="G59">
        <v>1</v>
      </c>
      <c r="H59">
        <v>3</v>
      </c>
      <c r="I59" t="s">
        <v>602</v>
      </c>
      <c r="J59" t="s">
        <v>603</v>
      </c>
      <c r="K59" t="s">
        <v>604</v>
      </c>
      <c r="L59">
        <v>1346</v>
      </c>
      <c r="N59">
        <v>1009</v>
      </c>
      <c r="O59" t="s">
        <v>314</v>
      </c>
      <c r="P59" t="s">
        <v>314</v>
      </c>
      <c r="Q59">
        <v>1</v>
      </c>
      <c r="W59">
        <v>0</v>
      </c>
      <c r="X59">
        <v>478489546</v>
      </c>
      <c r="Y59">
        <f t="shared" si="18"/>
        <v>0.02</v>
      </c>
      <c r="AA59">
        <v>1002.64</v>
      </c>
      <c r="AB59">
        <v>0</v>
      </c>
      <c r="AC59">
        <v>0</v>
      </c>
      <c r="AD59">
        <v>0</v>
      </c>
      <c r="AE59">
        <v>596.80999999999995</v>
      </c>
      <c r="AF59">
        <v>0</v>
      </c>
      <c r="AG59">
        <v>0</v>
      </c>
      <c r="AH59">
        <v>0</v>
      </c>
      <c r="AI59">
        <v>1.68</v>
      </c>
      <c r="AJ59">
        <v>1</v>
      </c>
      <c r="AK59">
        <v>1</v>
      </c>
      <c r="AL59">
        <v>1</v>
      </c>
      <c r="AM59">
        <v>2</v>
      </c>
      <c r="AN59">
        <v>0</v>
      </c>
      <c r="AO59">
        <v>0</v>
      </c>
      <c r="AP59">
        <v>1</v>
      </c>
      <c r="AQ59">
        <v>1</v>
      </c>
      <c r="AR59">
        <v>0</v>
      </c>
      <c r="AS59" t="s">
        <v>3</v>
      </c>
      <c r="AT59">
        <v>0.02</v>
      </c>
      <c r="AU59" t="s">
        <v>3</v>
      </c>
      <c r="AV59">
        <v>0</v>
      </c>
      <c r="AW59">
        <v>2</v>
      </c>
      <c r="AX59">
        <v>74017847</v>
      </c>
      <c r="AY59">
        <v>1</v>
      </c>
      <c r="AZ59">
        <v>0</v>
      </c>
      <c r="BA59">
        <v>67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11.936199999999999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11.936199999999999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v>0</v>
      </c>
      <c r="CX59">
        <f>ROUND(Y59*Source!I79,7)</f>
        <v>0.02</v>
      </c>
      <c r="CY59">
        <f>AA59</f>
        <v>1002.64</v>
      </c>
      <c r="CZ59">
        <f>AE59</f>
        <v>596.80999999999995</v>
      </c>
      <c r="DA59">
        <f>AI59</f>
        <v>1.68</v>
      </c>
      <c r="DB59">
        <f t="shared" si="19"/>
        <v>11.94</v>
      </c>
      <c r="DC59">
        <f t="shared" si="20"/>
        <v>0</v>
      </c>
      <c r="DD59" t="s">
        <v>3</v>
      </c>
      <c r="DE59" t="s">
        <v>3</v>
      </c>
      <c r="DF59">
        <f>ROUND(ROUND(AE59*AI59,2)*CX59,2)</f>
        <v>20.05</v>
      </c>
      <c r="DG59">
        <f>ROUND(ROUND(AF59,2)*CX59,2)</f>
        <v>0</v>
      </c>
      <c r="DH59">
        <f t="shared" si="4"/>
        <v>0</v>
      </c>
      <c r="DI59">
        <f t="shared" si="5"/>
        <v>0</v>
      </c>
      <c r="DJ59">
        <f>DF59</f>
        <v>20.05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ROW(Source!A79)</f>
        <v>79</v>
      </c>
      <c r="B60">
        <v>74014550</v>
      </c>
      <c r="C60">
        <v>74016200</v>
      </c>
      <c r="D60">
        <v>72594025</v>
      </c>
      <c r="E60">
        <v>1</v>
      </c>
      <c r="F60">
        <v>1</v>
      </c>
      <c r="G60">
        <v>1</v>
      </c>
      <c r="H60">
        <v>3</v>
      </c>
      <c r="I60" t="s">
        <v>594</v>
      </c>
      <c r="J60" t="s">
        <v>595</v>
      </c>
      <c r="K60" t="s">
        <v>596</v>
      </c>
      <c r="L60">
        <v>1346</v>
      </c>
      <c r="N60">
        <v>1009</v>
      </c>
      <c r="O60" t="s">
        <v>314</v>
      </c>
      <c r="P60" t="s">
        <v>314</v>
      </c>
      <c r="Q60">
        <v>1</v>
      </c>
      <c r="W60">
        <v>0</v>
      </c>
      <c r="X60">
        <v>-1493600273</v>
      </c>
      <c r="Y60">
        <f t="shared" si="18"/>
        <v>2E-3</v>
      </c>
      <c r="AA60">
        <v>91.46</v>
      </c>
      <c r="AB60">
        <v>0</v>
      </c>
      <c r="AC60">
        <v>0</v>
      </c>
      <c r="AD60">
        <v>0</v>
      </c>
      <c r="AE60">
        <v>56.11</v>
      </c>
      <c r="AF60">
        <v>0</v>
      </c>
      <c r="AG60">
        <v>0</v>
      </c>
      <c r="AH60">
        <v>0</v>
      </c>
      <c r="AI60">
        <v>1.63</v>
      </c>
      <c r="AJ60">
        <v>1</v>
      </c>
      <c r="AK60">
        <v>1</v>
      </c>
      <c r="AL60">
        <v>1</v>
      </c>
      <c r="AM60">
        <v>2</v>
      </c>
      <c r="AN60">
        <v>0</v>
      </c>
      <c r="AO60">
        <v>0</v>
      </c>
      <c r="AP60">
        <v>1</v>
      </c>
      <c r="AQ60">
        <v>1</v>
      </c>
      <c r="AR60">
        <v>0</v>
      </c>
      <c r="AS60" t="s">
        <v>3</v>
      </c>
      <c r="AT60">
        <v>2E-3</v>
      </c>
      <c r="AU60" t="s">
        <v>3</v>
      </c>
      <c r="AV60">
        <v>0</v>
      </c>
      <c r="AW60">
        <v>2</v>
      </c>
      <c r="AX60">
        <v>74017848</v>
      </c>
      <c r="AY60">
        <v>1</v>
      </c>
      <c r="AZ60">
        <v>0</v>
      </c>
      <c r="BA60">
        <v>68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0.11222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0.11222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CV60">
        <v>0</v>
      </c>
      <c r="CW60">
        <v>0</v>
      </c>
      <c r="CX60">
        <f>ROUND(Y60*Source!I79,7)</f>
        <v>2E-3</v>
      </c>
      <c r="CY60">
        <f>AA60</f>
        <v>91.46</v>
      </c>
      <c r="CZ60">
        <f>AE60</f>
        <v>56.11</v>
      </c>
      <c r="DA60">
        <f>AI60</f>
        <v>1.63</v>
      </c>
      <c r="DB60">
        <f t="shared" si="19"/>
        <v>0.11</v>
      </c>
      <c r="DC60">
        <f t="shared" si="20"/>
        <v>0</v>
      </c>
      <c r="DD60" t="s">
        <v>3</v>
      </c>
      <c r="DE60" t="s">
        <v>3</v>
      </c>
      <c r="DF60">
        <f>ROUND(ROUND(AE60*AI60,2)*CX60,2)</f>
        <v>0.18</v>
      </c>
      <c r="DG60">
        <f>ROUND(ROUND(AF60,2)*CX60,2)</f>
        <v>0</v>
      </c>
      <c r="DH60">
        <f t="shared" si="4"/>
        <v>0</v>
      </c>
      <c r="DI60">
        <f t="shared" si="5"/>
        <v>0</v>
      </c>
      <c r="DJ60">
        <f>DF60</f>
        <v>0.18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ROW(Source!A79)</f>
        <v>79</v>
      </c>
      <c r="B61">
        <v>74014550</v>
      </c>
      <c r="C61">
        <v>74016200</v>
      </c>
      <c r="D61">
        <v>72635290</v>
      </c>
      <c r="E61">
        <v>1</v>
      </c>
      <c r="F61">
        <v>1</v>
      </c>
      <c r="G61">
        <v>1</v>
      </c>
      <c r="H61">
        <v>3</v>
      </c>
      <c r="I61" t="s">
        <v>166</v>
      </c>
      <c r="J61" t="s">
        <v>168</v>
      </c>
      <c r="K61" t="s">
        <v>167</v>
      </c>
      <c r="L61">
        <v>1371</v>
      </c>
      <c r="N61">
        <v>1013</v>
      </c>
      <c r="O61" t="s">
        <v>130</v>
      </c>
      <c r="P61" t="s">
        <v>130</v>
      </c>
      <c r="Q61">
        <v>1</v>
      </c>
      <c r="W61">
        <v>0</v>
      </c>
      <c r="X61">
        <v>-669902663</v>
      </c>
      <c r="Y61">
        <f t="shared" si="18"/>
        <v>1</v>
      </c>
      <c r="AA61">
        <v>262.69</v>
      </c>
      <c r="AB61">
        <v>0</v>
      </c>
      <c r="AC61">
        <v>0</v>
      </c>
      <c r="AD61">
        <v>0</v>
      </c>
      <c r="AE61">
        <v>206.84</v>
      </c>
      <c r="AF61">
        <v>0</v>
      </c>
      <c r="AG61">
        <v>0</v>
      </c>
      <c r="AH61">
        <v>0</v>
      </c>
      <c r="AI61">
        <v>1.27</v>
      </c>
      <c r="AJ61">
        <v>1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1</v>
      </c>
      <c r="AQ61">
        <v>0</v>
      </c>
      <c r="AR61">
        <v>0</v>
      </c>
      <c r="AS61" t="s">
        <v>3</v>
      </c>
      <c r="AT61">
        <v>1</v>
      </c>
      <c r="AU61" t="s">
        <v>3</v>
      </c>
      <c r="AV61">
        <v>0</v>
      </c>
      <c r="AW61">
        <v>1</v>
      </c>
      <c r="AX61">
        <v>-1</v>
      </c>
      <c r="AY61">
        <v>0</v>
      </c>
      <c r="AZ61">
        <v>0</v>
      </c>
      <c r="BA61" t="s">
        <v>3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CV61">
        <v>0</v>
      </c>
      <c r="CW61">
        <v>0</v>
      </c>
      <c r="CX61">
        <f>ROUND(Y61*Source!I79,7)</f>
        <v>1</v>
      </c>
      <c r="CY61">
        <f>AA61</f>
        <v>262.69</v>
      </c>
      <c r="CZ61">
        <f>AE61</f>
        <v>206.84</v>
      </c>
      <c r="DA61">
        <f>AI61</f>
        <v>1.27</v>
      </c>
      <c r="DB61">
        <f t="shared" si="19"/>
        <v>206.84</v>
      </c>
      <c r="DC61">
        <f t="shared" si="20"/>
        <v>0</v>
      </c>
      <c r="DD61" t="s">
        <v>3</v>
      </c>
      <c r="DE61" t="s">
        <v>3</v>
      </c>
      <c r="DF61">
        <f>ROUND(ROUND(AE61*AI61,2)*CX61,2)</f>
        <v>262.69</v>
      </c>
      <c r="DG61">
        <f>ROUND(ROUND(AF61,2)*CX61,2)</f>
        <v>0</v>
      </c>
      <c r="DH61">
        <f t="shared" si="4"/>
        <v>0</v>
      </c>
      <c r="DI61">
        <f t="shared" si="5"/>
        <v>0</v>
      </c>
      <c r="DJ61">
        <f>DF61</f>
        <v>262.69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ROW(Source!A81)</f>
        <v>81</v>
      </c>
      <c r="B62">
        <v>74014550</v>
      </c>
      <c r="C62">
        <v>74016215</v>
      </c>
      <c r="D62">
        <v>72518646</v>
      </c>
      <c r="E62">
        <v>119</v>
      </c>
      <c r="F62">
        <v>1</v>
      </c>
      <c r="G62">
        <v>1</v>
      </c>
      <c r="H62">
        <v>1</v>
      </c>
      <c r="I62" t="s">
        <v>600</v>
      </c>
      <c r="J62" t="s">
        <v>3</v>
      </c>
      <c r="K62" t="s">
        <v>601</v>
      </c>
      <c r="L62">
        <v>1191</v>
      </c>
      <c r="N62">
        <v>1013</v>
      </c>
      <c r="O62" t="s">
        <v>484</v>
      </c>
      <c r="P62" t="s">
        <v>484</v>
      </c>
      <c r="Q62">
        <v>1</v>
      </c>
      <c r="W62">
        <v>0</v>
      </c>
      <c r="X62">
        <v>-1105933552</v>
      </c>
      <c r="Y62">
        <f t="shared" si="18"/>
        <v>0.63</v>
      </c>
      <c r="AA62">
        <v>0</v>
      </c>
      <c r="AB62">
        <v>0</v>
      </c>
      <c r="AC62">
        <v>0</v>
      </c>
      <c r="AD62">
        <v>386.8</v>
      </c>
      <c r="AE62">
        <v>0</v>
      </c>
      <c r="AF62">
        <v>0</v>
      </c>
      <c r="AG62">
        <v>0</v>
      </c>
      <c r="AH62">
        <v>386.8</v>
      </c>
      <c r="AI62">
        <v>1</v>
      </c>
      <c r="AJ62">
        <v>1</v>
      </c>
      <c r="AK62">
        <v>1</v>
      </c>
      <c r="AL62">
        <v>1</v>
      </c>
      <c r="AM62">
        <v>-2</v>
      </c>
      <c r="AN62">
        <v>0</v>
      </c>
      <c r="AO62">
        <v>0</v>
      </c>
      <c r="AP62">
        <v>1</v>
      </c>
      <c r="AQ62">
        <v>1</v>
      </c>
      <c r="AR62">
        <v>0</v>
      </c>
      <c r="AS62" t="s">
        <v>3</v>
      </c>
      <c r="AT62">
        <v>0.63</v>
      </c>
      <c r="AU62" t="s">
        <v>3</v>
      </c>
      <c r="AV62">
        <v>1</v>
      </c>
      <c r="AW62">
        <v>2</v>
      </c>
      <c r="AX62">
        <v>74017851</v>
      </c>
      <c r="AY62">
        <v>1</v>
      </c>
      <c r="AZ62">
        <v>0</v>
      </c>
      <c r="BA62">
        <v>70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243.684</v>
      </c>
      <c r="BN62">
        <v>0.63</v>
      </c>
      <c r="BO62">
        <v>0</v>
      </c>
      <c r="BP62">
        <v>1</v>
      </c>
      <c r="BQ62">
        <v>0</v>
      </c>
      <c r="BR62">
        <v>0</v>
      </c>
      <c r="BS62">
        <v>0</v>
      </c>
      <c r="BT62">
        <v>243.684</v>
      </c>
      <c r="BU62">
        <v>0.63</v>
      </c>
      <c r="BV62">
        <v>0</v>
      </c>
      <c r="BW62">
        <v>1</v>
      </c>
      <c r="CU62">
        <f>ROUND(AT62*Source!I81*AH62*AL62,2)</f>
        <v>731.05</v>
      </c>
      <c r="CV62">
        <f>ROUND(Y62*Source!I81,7)</f>
        <v>1.89</v>
      </c>
      <c r="CW62">
        <v>0</v>
      </c>
      <c r="CX62">
        <f>ROUND(Y62*Source!I81,7)</f>
        <v>1.89</v>
      </c>
      <c r="CY62">
        <f>AD62</f>
        <v>386.8</v>
      </c>
      <c r="CZ62">
        <f>AH62</f>
        <v>386.8</v>
      </c>
      <c r="DA62">
        <f>AL62</f>
        <v>1</v>
      </c>
      <c r="DB62">
        <f t="shared" si="19"/>
        <v>243.68</v>
      </c>
      <c r="DC62">
        <f t="shared" si="20"/>
        <v>0</v>
      </c>
      <c r="DD62" t="s">
        <v>3</v>
      </c>
      <c r="DE62" t="s">
        <v>3</v>
      </c>
      <c r="DF62">
        <f>ROUND(ROUND(AE62,2)*CX62,2)</f>
        <v>0</v>
      </c>
      <c r="DG62">
        <f>ROUND(ROUND(AF62,2)*CX62,2)</f>
        <v>0</v>
      </c>
      <c r="DH62">
        <f t="shared" si="4"/>
        <v>0</v>
      </c>
      <c r="DI62">
        <f t="shared" si="5"/>
        <v>731.05</v>
      </c>
      <c r="DJ62">
        <f>DI62</f>
        <v>731.05</v>
      </c>
      <c r="DK62">
        <v>1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ROW(Source!A81)</f>
        <v>81</v>
      </c>
      <c r="B63">
        <v>74014550</v>
      </c>
      <c r="C63">
        <v>74016215</v>
      </c>
      <c r="D63">
        <v>72647089</v>
      </c>
      <c r="E63">
        <v>1</v>
      </c>
      <c r="F63">
        <v>1</v>
      </c>
      <c r="G63">
        <v>1</v>
      </c>
      <c r="H63">
        <v>2</v>
      </c>
      <c r="I63" t="s">
        <v>588</v>
      </c>
      <c r="J63" t="s">
        <v>589</v>
      </c>
      <c r="K63" t="s">
        <v>590</v>
      </c>
      <c r="L63">
        <v>1368</v>
      </c>
      <c r="N63">
        <v>1011</v>
      </c>
      <c r="O63" t="s">
        <v>488</v>
      </c>
      <c r="P63" t="s">
        <v>488</v>
      </c>
      <c r="Q63">
        <v>1</v>
      </c>
      <c r="W63">
        <v>0</v>
      </c>
      <c r="X63">
        <v>860887119</v>
      </c>
      <c r="Y63">
        <f t="shared" si="18"/>
        <v>0.38</v>
      </c>
      <c r="AA63">
        <v>0</v>
      </c>
      <c r="AB63">
        <v>13.81</v>
      </c>
      <c r="AC63">
        <v>0</v>
      </c>
      <c r="AD63">
        <v>0</v>
      </c>
      <c r="AE63">
        <v>0</v>
      </c>
      <c r="AF63">
        <v>8.6300000000000008</v>
      </c>
      <c r="AG63">
        <v>0</v>
      </c>
      <c r="AH63">
        <v>0</v>
      </c>
      <c r="AI63">
        <v>1</v>
      </c>
      <c r="AJ63">
        <v>1.6</v>
      </c>
      <c r="AK63">
        <v>1</v>
      </c>
      <c r="AL63">
        <v>1</v>
      </c>
      <c r="AM63">
        <v>2</v>
      </c>
      <c r="AN63">
        <v>0</v>
      </c>
      <c r="AO63">
        <v>0</v>
      </c>
      <c r="AP63">
        <v>1</v>
      </c>
      <c r="AQ63">
        <v>1</v>
      </c>
      <c r="AR63">
        <v>0</v>
      </c>
      <c r="AS63" t="s">
        <v>3</v>
      </c>
      <c r="AT63">
        <v>0.38</v>
      </c>
      <c r="AU63" t="s">
        <v>3</v>
      </c>
      <c r="AV63">
        <v>1</v>
      </c>
      <c r="AW63">
        <v>2</v>
      </c>
      <c r="AX63">
        <v>74017852</v>
      </c>
      <c r="AY63">
        <v>1</v>
      </c>
      <c r="AZ63">
        <v>0</v>
      </c>
      <c r="BA63">
        <v>71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3.2794000000000003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3.2794000000000003</v>
      </c>
      <c r="BS63">
        <v>0</v>
      </c>
      <c r="BT63">
        <v>0</v>
      </c>
      <c r="BU63">
        <v>0</v>
      </c>
      <c r="BV63">
        <v>0</v>
      </c>
      <c r="BW63">
        <v>1</v>
      </c>
      <c r="CV63">
        <v>0</v>
      </c>
      <c r="CW63">
        <f>ROUND(Y63*Source!I81*DO63,7)</f>
        <v>0</v>
      </c>
      <c r="CX63">
        <f>ROUND(Y63*Source!I81,7)</f>
        <v>1.1399999999999999</v>
      </c>
      <c r="CY63">
        <f>AB63</f>
        <v>13.81</v>
      </c>
      <c r="CZ63">
        <f>AF63</f>
        <v>8.6300000000000008</v>
      </c>
      <c r="DA63">
        <f>AJ63</f>
        <v>1.6</v>
      </c>
      <c r="DB63">
        <f t="shared" si="19"/>
        <v>3.28</v>
      </c>
      <c r="DC63">
        <f t="shared" si="20"/>
        <v>0</v>
      </c>
      <c r="DD63" t="s">
        <v>3</v>
      </c>
      <c r="DE63" t="s">
        <v>3</v>
      </c>
      <c r="DF63">
        <f>ROUND(ROUND(AE63,2)*CX63,2)</f>
        <v>0</v>
      </c>
      <c r="DG63">
        <f>ROUND(ROUND(AF63*AJ63,2)*CX63,2)</f>
        <v>15.74</v>
      </c>
      <c r="DH63">
        <f t="shared" si="4"/>
        <v>0</v>
      </c>
      <c r="DI63">
        <f t="shared" si="5"/>
        <v>0</v>
      </c>
      <c r="DJ63">
        <f>DG63+DH63</f>
        <v>15.74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ROW(Source!A81)</f>
        <v>81</v>
      </c>
      <c r="B64">
        <v>74014550</v>
      </c>
      <c r="C64">
        <v>74016215</v>
      </c>
      <c r="D64">
        <v>72647111</v>
      </c>
      <c r="E64">
        <v>1</v>
      </c>
      <c r="F64">
        <v>1</v>
      </c>
      <c r="G64">
        <v>1</v>
      </c>
      <c r="H64">
        <v>2</v>
      </c>
      <c r="I64" t="s">
        <v>591</v>
      </c>
      <c r="J64" t="s">
        <v>592</v>
      </c>
      <c r="K64" t="s">
        <v>593</v>
      </c>
      <c r="L64">
        <v>1368</v>
      </c>
      <c r="N64">
        <v>1011</v>
      </c>
      <c r="O64" t="s">
        <v>488</v>
      </c>
      <c r="P64" t="s">
        <v>488</v>
      </c>
      <c r="Q64">
        <v>1</v>
      </c>
      <c r="W64">
        <v>0</v>
      </c>
      <c r="X64">
        <v>1391482573</v>
      </c>
      <c r="Y64">
        <f t="shared" si="18"/>
        <v>0.63</v>
      </c>
      <c r="AA64">
        <v>0</v>
      </c>
      <c r="AB64">
        <v>4.34</v>
      </c>
      <c r="AC64">
        <v>0</v>
      </c>
      <c r="AD64">
        <v>0</v>
      </c>
      <c r="AE64">
        <v>0</v>
      </c>
      <c r="AF64">
        <v>3.34</v>
      </c>
      <c r="AG64">
        <v>0</v>
      </c>
      <c r="AH64">
        <v>0</v>
      </c>
      <c r="AI64">
        <v>1</v>
      </c>
      <c r="AJ64">
        <v>1.3</v>
      </c>
      <c r="AK64">
        <v>1</v>
      </c>
      <c r="AL64">
        <v>1</v>
      </c>
      <c r="AM64">
        <v>2</v>
      </c>
      <c r="AN64">
        <v>0</v>
      </c>
      <c r="AO64">
        <v>0</v>
      </c>
      <c r="AP64">
        <v>1</v>
      </c>
      <c r="AQ64">
        <v>1</v>
      </c>
      <c r="AR64">
        <v>0</v>
      </c>
      <c r="AS64" t="s">
        <v>3</v>
      </c>
      <c r="AT64">
        <v>0.63</v>
      </c>
      <c r="AU64" t="s">
        <v>3</v>
      </c>
      <c r="AV64">
        <v>1</v>
      </c>
      <c r="AW64">
        <v>2</v>
      </c>
      <c r="AX64">
        <v>74017853</v>
      </c>
      <c r="AY64">
        <v>1</v>
      </c>
      <c r="AZ64">
        <v>0</v>
      </c>
      <c r="BA64">
        <v>72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2.1042000000000001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2.1042000000000001</v>
      </c>
      <c r="BS64">
        <v>0</v>
      </c>
      <c r="BT64">
        <v>0</v>
      </c>
      <c r="BU64">
        <v>0</v>
      </c>
      <c r="BV64">
        <v>0</v>
      </c>
      <c r="BW64">
        <v>1</v>
      </c>
      <c r="CV64">
        <v>0</v>
      </c>
      <c r="CW64">
        <f>ROUND(Y64*Source!I81*DO64,7)</f>
        <v>0</v>
      </c>
      <c r="CX64">
        <f>ROUND(Y64*Source!I81,7)</f>
        <v>1.89</v>
      </c>
      <c r="CY64">
        <f>AB64</f>
        <v>4.34</v>
      </c>
      <c r="CZ64">
        <f>AF64</f>
        <v>3.34</v>
      </c>
      <c r="DA64">
        <f>AJ64</f>
        <v>1.3</v>
      </c>
      <c r="DB64">
        <f t="shared" si="19"/>
        <v>2.1</v>
      </c>
      <c r="DC64">
        <f t="shared" si="20"/>
        <v>0</v>
      </c>
      <c r="DD64" t="s">
        <v>3</v>
      </c>
      <c r="DE64" t="s">
        <v>3</v>
      </c>
      <c r="DF64">
        <f>ROUND(ROUND(AE64,2)*CX64,2)</f>
        <v>0</v>
      </c>
      <c r="DG64">
        <f>ROUND(ROUND(AF64*AJ64,2)*CX64,2)</f>
        <v>8.1999999999999993</v>
      </c>
      <c r="DH64">
        <f t="shared" si="4"/>
        <v>0</v>
      </c>
      <c r="DI64">
        <f t="shared" si="5"/>
        <v>0</v>
      </c>
      <c r="DJ64">
        <f>DG64+DH64</f>
        <v>8.1999999999999993</v>
      </c>
      <c r="DK64">
        <v>0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ROW(Source!A81)</f>
        <v>81</v>
      </c>
      <c r="B65">
        <v>74014550</v>
      </c>
      <c r="C65">
        <v>74016215</v>
      </c>
      <c r="D65">
        <v>72589277</v>
      </c>
      <c r="E65">
        <v>1</v>
      </c>
      <c r="F65">
        <v>1</v>
      </c>
      <c r="G65">
        <v>1</v>
      </c>
      <c r="H65">
        <v>3</v>
      </c>
      <c r="I65" t="s">
        <v>602</v>
      </c>
      <c r="J65" t="s">
        <v>603</v>
      </c>
      <c r="K65" t="s">
        <v>604</v>
      </c>
      <c r="L65">
        <v>1346</v>
      </c>
      <c r="N65">
        <v>1009</v>
      </c>
      <c r="O65" t="s">
        <v>314</v>
      </c>
      <c r="P65" t="s">
        <v>314</v>
      </c>
      <c r="Q65">
        <v>1</v>
      </c>
      <c r="W65">
        <v>0</v>
      </c>
      <c r="X65">
        <v>478489546</v>
      </c>
      <c r="Y65">
        <f t="shared" ref="Y65:Y96" si="23">AT65</f>
        <v>0.04</v>
      </c>
      <c r="AA65">
        <v>1002.64</v>
      </c>
      <c r="AB65">
        <v>0</v>
      </c>
      <c r="AC65">
        <v>0</v>
      </c>
      <c r="AD65">
        <v>0</v>
      </c>
      <c r="AE65">
        <v>596.80999999999995</v>
      </c>
      <c r="AF65">
        <v>0</v>
      </c>
      <c r="AG65">
        <v>0</v>
      </c>
      <c r="AH65">
        <v>0</v>
      </c>
      <c r="AI65">
        <v>1.68</v>
      </c>
      <c r="AJ65">
        <v>1</v>
      </c>
      <c r="AK65">
        <v>1</v>
      </c>
      <c r="AL65">
        <v>1</v>
      </c>
      <c r="AM65">
        <v>2</v>
      </c>
      <c r="AN65">
        <v>0</v>
      </c>
      <c r="AO65">
        <v>0</v>
      </c>
      <c r="AP65">
        <v>1</v>
      </c>
      <c r="AQ65">
        <v>1</v>
      </c>
      <c r="AR65">
        <v>0</v>
      </c>
      <c r="AS65" t="s">
        <v>3</v>
      </c>
      <c r="AT65">
        <v>0.04</v>
      </c>
      <c r="AU65" t="s">
        <v>3</v>
      </c>
      <c r="AV65">
        <v>0</v>
      </c>
      <c r="AW65">
        <v>2</v>
      </c>
      <c r="AX65">
        <v>74017854</v>
      </c>
      <c r="AY65">
        <v>1</v>
      </c>
      <c r="AZ65">
        <v>0</v>
      </c>
      <c r="BA65">
        <v>73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23.872399999999999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1</v>
      </c>
      <c r="BQ65">
        <v>23.872399999999999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CV65">
        <v>0</v>
      </c>
      <c r="CW65">
        <v>0</v>
      </c>
      <c r="CX65">
        <f>ROUND(Y65*Source!I81,7)</f>
        <v>0.12</v>
      </c>
      <c r="CY65">
        <f>AA65</f>
        <v>1002.64</v>
      </c>
      <c r="CZ65">
        <f>AE65</f>
        <v>596.80999999999995</v>
      </c>
      <c r="DA65">
        <f>AI65</f>
        <v>1.68</v>
      </c>
      <c r="DB65">
        <f t="shared" ref="DB65:DB96" si="24">ROUND(ROUND(AT65*CZ65,2),6)</f>
        <v>23.87</v>
      </c>
      <c r="DC65">
        <f t="shared" ref="DC65:DC96" si="25">ROUND(ROUND(AT65*AG65,2),6)</f>
        <v>0</v>
      </c>
      <c r="DD65" t="s">
        <v>3</v>
      </c>
      <c r="DE65" t="s">
        <v>3</v>
      </c>
      <c r="DF65">
        <f>ROUND(ROUND(AE65*AI65,2)*CX65,2)</f>
        <v>120.32</v>
      </c>
      <c r="DG65">
        <f>ROUND(ROUND(AF65,2)*CX65,2)</f>
        <v>0</v>
      </c>
      <c r="DH65">
        <f t="shared" ref="DH65:DH128" si="26">ROUND(ROUND(AG65,2)*CX65,2)</f>
        <v>0</v>
      </c>
      <c r="DI65">
        <f t="shared" ref="DI65:DI128" si="27">ROUND(ROUND(AH65,2)*CX65,2)</f>
        <v>0</v>
      </c>
      <c r="DJ65">
        <f>DF65</f>
        <v>120.32</v>
      </c>
      <c r="DK65">
        <v>0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ROW(Source!A81)</f>
        <v>81</v>
      </c>
      <c r="B66">
        <v>74014550</v>
      </c>
      <c r="C66">
        <v>74016215</v>
      </c>
      <c r="D66">
        <v>72594025</v>
      </c>
      <c r="E66">
        <v>1</v>
      </c>
      <c r="F66">
        <v>1</v>
      </c>
      <c r="G66">
        <v>1</v>
      </c>
      <c r="H66">
        <v>3</v>
      </c>
      <c r="I66" t="s">
        <v>594</v>
      </c>
      <c r="J66" t="s">
        <v>595</v>
      </c>
      <c r="K66" t="s">
        <v>596</v>
      </c>
      <c r="L66">
        <v>1346</v>
      </c>
      <c r="N66">
        <v>1009</v>
      </c>
      <c r="O66" t="s">
        <v>314</v>
      </c>
      <c r="P66" t="s">
        <v>314</v>
      </c>
      <c r="Q66">
        <v>1</v>
      </c>
      <c r="W66">
        <v>0</v>
      </c>
      <c r="X66">
        <v>-1493600273</v>
      </c>
      <c r="Y66">
        <f t="shared" si="23"/>
        <v>4.0000000000000001E-3</v>
      </c>
      <c r="AA66">
        <v>91.46</v>
      </c>
      <c r="AB66">
        <v>0</v>
      </c>
      <c r="AC66">
        <v>0</v>
      </c>
      <c r="AD66">
        <v>0</v>
      </c>
      <c r="AE66">
        <v>56.11</v>
      </c>
      <c r="AF66">
        <v>0</v>
      </c>
      <c r="AG66">
        <v>0</v>
      </c>
      <c r="AH66">
        <v>0</v>
      </c>
      <c r="AI66">
        <v>1.63</v>
      </c>
      <c r="AJ66">
        <v>1</v>
      </c>
      <c r="AK66">
        <v>1</v>
      </c>
      <c r="AL66">
        <v>1</v>
      </c>
      <c r="AM66">
        <v>2</v>
      </c>
      <c r="AN66">
        <v>0</v>
      </c>
      <c r="AO66">
        <v>0</v>
      </c>
      <c r="AP66">
        <v>1</v>
      </c>
      <c r="AQ66">
        <v>1</v>
      </c>
      <c r="AR66">
        <v>0</v>
      </c>
      <c r="AS66" t="s">
        <v>3</v>
      </c>
      <c r="AT66">
        <v>4.0000000000000001E-3</v>
      </c>
      <c r="AU66" t="s">
        <v>3</v>
      </c>
      <c r="AV66">
        <v>0</v>
      </c>
      <c r="AW66">
        <v>2</v>
      </c>
      <c r="AX66">
        <v>74017855</v>
      </c>
      <c r="AY66">
        <v>1</v>
      </c>
      <c r="AZ66">
        <v>0</v>
      </c>
      <c r="BA66">
        <v>74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0.22444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0.22444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v>0</v>
      </c>
      <c r="CX66">
        <f>ROUND(Y66*Source!I81,7)</f>
        <v>1.2E-2</v>
      </c>
      <c r="CY66">
        <f>AA66</f>
        <v>91.46</v>
      </c>
      <c r="CZ66">
        <f>AE66</f>
        <v>56.11</v>
      </c>
      <c r="DA66">
        <f>AI66</f>
        <v>1.63</v>
      </c>
      <c r="DB66">
        <f t="shared" si="24"/>
        <v>0.22</v>
      </c>
      <c r="DC66">
        <f t="shared" si="25"/>
        <v>0</v>
      </c>
      <c r="DD66" t="s">
        <v>3</v>
      </c>
      <c r="DE66" t="s">
        <v>3</v>
      </c>
      <c r="DF66">
        <f>ROUND(ROUND(AE66*AI66,2)*CX66,2)</f>
        <v>1.1000000000000001</v>
      </c>
      <c r="DG66">
        <f>ROUND(ROUND(AF66,2)*CX66,2)</f>
        <v>0</v>
      </c>
      <c r="DH66">
        <f t="shared" si="26"/>
        <v>0</v>
      </c>
      <c r="DI66">
        <f t="shared" si="27"/>
        <v>0</v>
      </c>
      <c r="DJ66">
        <f>DF66</f>
        <v>1.1000000000000001</v>
      </c>
      <c r="DK66">
        <v>0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ROW(Source!A84)</f>
        <v>84</v>
      </c>
      <c r="B67">
        <v>74014550</v>
      </c>
      <c r="C67">
        <v>74016233</v>
      </c>
      <c r="D67">
        <v>20049167</v>
      </c>
      <c r="E67">
        <v>119</v>
      </c>
      <c r="F67">
        <v>1</v>
      </c>
      <c r="G67">
        <v>1</v>
      </c>
      <c r="H67">
        <v>1</v>
      </c>
      <c r="I67" t="s">
        <v>605</v>
      </c>
      <c r="J67" t="s">
        <v>3</v>
      </c>
      <c r="K67" t="s">
        <v>606</v>
      </c>
      <c r="L67">
        <v>1191</v>
      </c>
      <c r="N67">
        <v>1013</v>
      </c>
      <c r="O67" t="s">
        <v>484</v>
      </c>
      <c r="P67" t="s">
        <v>484</v>
      </c>
      <c r="Q67">
        <v>1</v>
      </c>
      <c r="W67">
        <v>0</v>
      </c>
      <c r="X67">
        <v>-715079457</v>
      </c>
      <c r="Y67">
        <f t="shared" si="23"/>
        <v>27</v>
      </c>
      <c r="AA67">
        <v>0</v>
      </c>
      <c r="AB67">
        <v>0</v>
      </c>
      <c r="AC67">
        <v>0</v>
      </c>
      <c r="AD67">
        <v>377.84</v>
      </c>
      <c r="AE67">
        <v>0</v>
      </c>
      <c r="AF67">
        <v>0</v>
      </c>
      <c r="AG67">
        <v>0</v>
      </c>
      <c r="AH67">
        <v>377.84</v>
      </c>
      <c r="AI67">
        <v>1</v>
      </c>
      <c r="AJ67">
        <v>1</v>
      </c>
      <c r="AK67">
        <v>1</v>
      </c>
      <c r="AL67">
        <v>1</v>
      </c>
      <c r="AM67">
        <v>-2</v>
      </c>
      <c r="AN67">
        <v>0</v>
      </c>
      <c r="AO67">
        <v>0</v>
      </c>
      <c r="AP67">
        <v>1</v>
      </c>
      <c r="AQ67">
        <v>1</v>
      </c>
      <c r="AR67">
        <v>0</v>
      </c>
      <c r="AS67" t="s">
        <v>3</v>
      </c>
      <c r="AT67">
        <v>27</v>
      </c>
      <c r="AU67" t="s">
        <v>3</v>
      </c>
      <c r="AV67">
        <v>1</v>
      </c>
      <c r="AW67">
        <v>2</v>
      </c>
      <c r="AX67">
        <v>74016239</v>
      </c>
      <c r="AY67">
        <v>1</v>
      </c>
      <c r="AZ67">
        <v>0</v>
      </c>
      <c r="BA67">
        <v>77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10201.679999999998</v>
      </c>
      <c r="BN67">
        <v>27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10201.679999999998</v>
      </c>
      <c r="BU67">
        <v>27</v>
      </c>
      <c r="BV67">
        <v>0</v>
      </c>
      <c r="BW67">
        <v>1</v>
      </c>
      <c r="CU67">
        <f>ROUND(AT67*Source!I84*AH67*AL67,2)</f>
        <v>826.34</v>
      </c>
      <c r="CV67">
        <f>ROUND(Y67*Source!I84,7)</f>
        <v>2.1869999999999998</v>
      </c>
      <c r="CW67">
        <v>0</v>
      </c>
      <c r="CX67">
        <f>ROUND(Y67*Source!I84,7)</f>
        <v>2.1869999999999998</v>
      </c>
      <c r="CY67">
        <f>AD67</f>
        <v>377.84</v>
      </c>
      <c r="CZ67">
        <f>AH67</f>
        <v>377.84</v>
      </c>
      <c r="DA67">
        <f>AL67</f>
        <v>1</v>
      </c>
      <c r="DB67">
        <f t="shared" si="24"/>
        <v>10201.68</v>
      </c>
      <c r="DC67">
        <f t="shared" si="25"/>
        <v>0</v>
      </c>
      <c r="DD67" t="s">
        <v>3</v>
      </c>
      <c r="DE67" t="s">
        <v>3</v>
      </c>
      <c r="DF67">
        <f t="shared" ref="DF67:DF85" si="28">ROUND(ROUND(AE67,2)*CX67,2)</f>
        <v>0</v>
      </c>
      <c r="DG67">
        <f>ROUND(ROUND(AF67,2)*CX67,2)</f>
        <v>0</v>
      </c>
      <c r="DH67">
        <f t="shared" si="26"/>
        <v>0</v>
      </c>
      <c r="DI67">
        <f t="shared" si="27"/>
        <v>826.34</v>
      </c>
      <c r="DJ67">
        <f>DI67</f>
        <v>826.34</v>
      </c>
      <c r="DK67">
        <v>1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ROW(Source!A84)</f>
        <v>84</v>
      </c>
      <c r="B68">
        <v>74014550</v>
      </c>
      <c r="C68">
        <v>74016233</v>
      </c>
      <c r="D68">
        <v>20049115</v>
      </c>
      <c r="E68">
        <v>119</v>
      </c>
      <c r="F68">
        <v>1</v>
      </c>
      <c r="G68">
        <v>1</v>
      </c>
      <c r="H68">
        <v>1</v>
      </c>
      <c r="I68" t="s">
        <v>482</v>
      </c>
      <c r="J68" t="s">
        <v>3</v>
      </c>
      <c r="K68" t="s">
        <v>483</v>
      </c>
      <c r="L68">
        <v>1191</v>
      </c>
      <c r="N68">
        <v>1013</v>
      </c>
      <c r="O68" t="s">
        <v>484</v>
      </c>
      <c r="P68" t="s">
        <v>484</v>
      </c>
      <c r="Q68">
        <v>1</v>
      </c>
      <c r="W68">
        <v>0</v>
      </c>
      <c r="X68">
        <v>-1417349443</v>
      </c>
      <c r="Y68">
        <f t="shared" si="23"/>
        <v>7.42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1</v>
      </c>
      <c r="AK68">
        <v>1</v>
      </c>
      <c r="AL68">
        <v>1</v>
      </c>
      <c r="AM68">
        <v>-2</v>
      </c>
      <c r="AN68">
        <v>0</v>
      </c>
      <c r="AO68">
        <v>0</v>
      </c>
      <c r="AP68">
        <v>1</v>
      </c>
      <c r="AQ68">
        <v>1</v>
      </c>
      <c r="AR68">
        <v>0</v>
      </c>
      <c r="AS68" t="s">
        <v>3</v>
      </c>
      <c r="AT68">
        <v>7.42</v>
      </c>
      <c r="AU68" t="s">
        <v>3</v>
      </c>
      <c r="AV68">
        <v>2</v>
      </c>
      <c r="AW68">
        <v>2</v>
      </c>
      <c r="AX68">
        <v>74016240</v>
      </c>
      <c r="AY68">
        <v>1</v>
      </c>
      <c r="AZ68">
        <v>0</v>
      </c>
      <c r="BA68">
        <v>78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CV68">
        <v>0</v>
      </c>
      <c r="CW68">
        <v>0</v>
      </c>
      <c r="CX68">
        <f>ROUND(Y68*Source!I84,7)</f>
        <v>0.60102</v>
      </c>
      <c r="CY68">
        <f>AD68</f>
        <v>0</v>
      </c>
      <c r="CZ68">
        <f>AH68</f>
        <v>0</v>
      </c>
      <c r="DA68">
        <f>AL68</f>
        <v>1</v>
      </c>
      <c r="DB68">
        <f t="shared" si="24"/>
        <v>0</v>
      </c>
      <c r="DC68">
        <f t="shared" si="25"/>
        <v>0</v>
      </c>
      <c r="DD68" t="s">
        <v>3</v>
      </c>
      <c r="DE68" t="s">
        <v>3</v>
      </c>
      <c r="DF68">
        <f t="shared" si="28"/>
        <v>0</v>
      </c>
      <c r="DG68">
        <f>ROUND(ROUND(AF68,2)*CX68,2)</f>
        <v>0</v>
      </c>
      <c r="DH68">
        <f t="shared" si="26"/>
        <v>0</v>
      </c>
      <c r="DI68">
        <f t="shared" si="27"/>
        <v>0</v>
      </c>
      <c r="DJ68">
        <f>DI68</f>
        <v>0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ROW(Source!A84)</f>
        <v>84</v>
      </c>
      <c r="B69">
        <v>74014550</v>
      </c>
      <c r="C69">
        <v>74016233</v>
      </c>
      <c r="D69">
        <v>72646779</v>
      </c>
      <c r="E69">
        <v>1</v>
      </c>
      <c r="F69">
        <v>1</v>
      </c>
      <c r="G69">
        <v>1</v>
      </c>
      <c r="H69">
        <v>2</v>
      </c>
      <c r="I69" t="s">
        <v>607</v>
      </c>
      <c r="J69" t="s">
        <v>608</v>
      </c>
      <c r="K69" t="s">
        <v>609</v>
      </c>
      <c r="L69">
        <v>1368</v>
      </c>
      <c r="N69">
        <v>1011</v>
      </c>
      <c r="O69" t="s">
        <v>488</v>
      </c>
      <c r="P69" t="s">
        <v>488</v>
      </c>
      <c r="Q69">
        <v>1</v>
      </c>
      <c r="W69">
        <v>0</v>
      </c>
      <c r="X69">
        <v>-1026261040</v>
      </c>
      <c r="Y69">
        <f t="shared" si="23"/>
        <v>7.42</v>
      </c>
      <c r="AA69">
        <v>0</v>
      </c>
      <c r="AB69">
        <v>1343.94</v>
      </c>
      <c r="AC69">
        <v>459.98</v>
      </c>
      <c r="AD69">
        <v>0</v>
      </c>
      <c r="AE69">
        <v>0</v>
      </c>
      <c r="AF69">
        <v>995.51</v>
      </c>
      <c r="AG69">
        <v>459.98</v>
      </c>
      <c r="AH69">
        <v>0</v>
      </c>
      <c r="AI69">
        <v>1</v>
      </c>
      <c r="AJ69">
        <v>1.35</v>
      </c>
      <c r="AK69">
        <v>1</v>
      </c>
      <c r="AL69">
        <v>1</v>
      </c>
      <c r="AM69">
        <v>2</v>
      </c>
      <c r="AN69">
        <v>0</v>
      </c>
      <c r="AO69">
        <v>0</v>
      </c>
      <c r="AP69">
        <v>1</v>
      </c>
      <c r="AQ69">
        <v>1</v>
      </c>
      <c r="AR69">
        <v>0</v>
      </c>
      <c r="AS69" t="s">
        <v>3</v>
      </c>
      <c r="AT69">
        <v>7.42</v>
      </c>
      <c r="AU69" t="s">
        <v>3</v>
      </c>
      <c r="AV69">
        <v>1</v>
      </c>
      <c r="AW69">
        <v>2</v>
      </c>
      <c r="AX69">
        <v>74016241</v>
      </c>
      <c r="AY69">
        <v>1</v>
      </c>
      <c r="AZ69">
        <v>0</v>
      </c>
      <c r="BA69">
        <v>79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7386.6841999999997</v>
      </c>
      <c r="BL69">
        <v>3413.0516000000002</v>
      </c>
      <c r="BM69">
        <v>0</v>
      </c>
      <c r="BN69">
        <v>0</v>
      </c>
      <c r="BO69">
        <v>7.42</v>
      </c>
      <c r="BP69">
        <v>1</v>
      </c>
      <c r="BQ69">
        <v>0</v>
      </c>
      <c r="BR69">
        <v>7386.6841999999997</v>
      </c>
      <c r="BS69">
        <v>3413.0516000000002</v>
      </c>
      <c r="BT69">
        <v>0</v>
      </c>
      <c r="BU69">
        <v>0</v>
      </c>
      <c r="BV69">
        <v>7.42</v>
      </c>
      <c r="BW69">
        <v>1</v>
      </c>
      <c r="CV69">
        <v>0</v>
      </c>
      <c r="CW69">
        <f>ROUND(Y69*Source!I84*DO69,7)</f>
        <v>0.60102</v>
      </c>
      <c r="CX69">
        <f>ROUND(Y69*Source!I84,7)</f>
        <v>0.60102</v>
      </c>
      <c r="CY69">
        <f>AB69</f>
        <v>1343.94</v>
      </c>
      <c r="CZ69">
        <f>AF69</f>
        <v>995.51</v>
      </c>
      <c r="DA69">
        <f>AJ69</f>
        <v>1.35</v>
      </c>
      <c r="DB69">
        <f t="shared" si="24"/>
        <v>7386.68</v>
      </c>
      <c r="DC69">
        <f t="shared" si="25"/>
        <v>3413.05</v>
      </c>
      <c r="DD69" t="s">
        <v>3</v>
      </c>
      <c r="DE69" t="s">
        <v>3</v>
      </c>
      <c r="DF69">
        <f t="shared" si="28"/>
        <v>0</v>
      </c>
      <c r="DG69">
        <f>ROUND(ROUND(AF69*AJ69,2)*CX69,2)</f>
        <v>807.73</v>
      </c>
      <c r="DH69">
        <f t="shared" si="26"/>
        <v>276.45999999999998</v>
      </c>
      <c r="DI69">
        <f t="shared" si="27"/>
        <v>0</v>
      </c>
      <c r="DJ69">
        <f>DG69+DH69</f>
        <v>1084.19</v>
      </c>
      <c r="DK69">
        <v>0</v>
      </c>
      <c r="DL69" t="s">
        <v>497</v>
      </c>
      <c r="DM69">
        <v>5</v>
      </c>
      <c r="DN69" t="s">
        <v>484</v>
      </c>
      <c r="DO69">
        <v>1</v>
      </c>
    </row>
    <row r="70" spans="1:119" x14ac:dyDescent="0.2">
      <c r="A70">
        <f>ROW(Source!A84)</f>
        <v>84</v>
      </c>
      <c r="B70">
        <v>74014550</v>
      </c>
      <c r="C70">
        <v>74016233</v>
      </c>
      <c r="D70">
        <v>72646972</v>
      </c>
      <c r="E70">
        <v>1</v>
      </c>
      <c r="F70">
        <v>1</v>
      </c>
      <c r="G70">
        <v>1</v>
      </c>
      <c r="H70">
        <v>2</v>
      </c>
      <c r="I70" t="s">
        <v>610</v>
      </c>
      <c r="J70" t="s">
        <v>611</v>
      </c>
      <c r="K70" t="s">
        <v>612</v>
      </c>
      <c r="L70">
        <v>1368</v>
      </c>
      <c r="N70">
        <v>1011</v>
      </c>
      <c r="O70" t="s">
        <v>488</v>
      </c>
      <c r="P70" t="s">
        <v>488</v>
      </c>
      <c r="Q70">
        <v>1</v>
      </c>
      <c r="W70">
        <v>0</v>
      </c>
      <c r="X70">
        <v>559791142</v>
      </c>
      <c r="Y70">
        <f t="shared" si="23"/>
        <v>7.42</v>
      </c>
      <c r="AA70">
        <v>0</v>
      </c>
      <c r="AB70">
        <v>60.91</v>
      </c>
      <c r="AC70">
        <v>0</v>
      </c>
      <c r="AD70">
        <v>0</v>
      </c>
      <c r="AE70">
        <v>0</v>
      </c>
      <c r="AF70">
        <v>34.409999999999997</v>
      </c>
      <c r="AG70">
        <v>0</v>
      </c>
      <c r="AH70">
        <v>0</v>
      </c>
      <c r="AI70">
        <v>1</v>
      </c>
      <c r="AJ70">
        <v>1.77</v>
      </c>
      <c r="AK70">
        <v>1</v>
      </c>
      <c r="AL70">
        <v>1</v>
      </c>
      <c r="AM70">
        <v>2</v>
      </c>
      <c r="AN70">
        <v>0</v>
      </c>
      <c r="AO70">
        <v>0</v>
      </c>
      <c r="AP70">
        <v>1</v>
      </c>
      <c r="AQ70">
        <v>1</v>
      </c>
      <c r="AR70">
        <v>0</v>
      </c>
      <c r="AS70" t="s">
        <v>3</v>
      </c>
      <c r="AT70">
        <v>7.42</v>
      </c>
      <c r="AU70" t="s">
        <v>3</v>
      </c>
      <c r="AV70">
        <v>1</v>
      </c>
      <c r="AW70">
        <v>2</v>
      </c>
      <c r="AX70">
        <v>74016242</v>
      </c>
      <c r="AY70">
        <v>1</v>
      </c>
      <c r="AZ70">
        <v>0</v>
      </c>
      <c r="BA70">
        <v>80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255.32219999999998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255.32219999999998</v>
      </c>
      <c r="BS70">
        <v>0</v>
      </c>
      <c r="BT70">
        <v>0</v>
      </c>
      <c r="BU70">
        <v>0</v>
      </c>
      <c r="BV70">
        <v>0</v>
      </c>
      <c r="BW70">
        <v>1</v>
      </c>
      <c r="CV70">
        <v>0</v>
      </c>
      <c r="CW70">
        <f>ROUND(Y70*Source!I84*DO70,7)</f>
        <v>0</v>
      </c>
      <c r="CX70">
        <f>ROUND(Y70*Source!I84,7)</f>
        <v>0.60102</v>
      </c>
      <c r="CY70">
        <f>AB70</f>
        <v>60.91</v>
      </c>
      <c r="CZ70">
        <f>AF70</f>
        <v>34.409999999999997</v>
      </c>
      <c r="DA70">
        <f>AJ70</f>
        <v>1.77</v>
      </c>
      <c r="DB70">
        <f t="shared" si="24"/>
        <v>255.32</v>
      </c>
      <c r="DC70">
        <f t="shared" si="25"/>
        <v>0</v>
      </c>
      <c r="DD70" t="s">
        <v>3</v>
      </c>
      <c r="DE70" t="s">
        <v>3</v>
      </c>
      <c r="DF70">
        <f t="shared" si="28"/>
        <v>0</v>
      </c>
      <c r="DG70">
        <f>ROUND(ROUND(AF70*AJ70,2)*CX70,2)</f>
        <v>36.61</v>
      </c>
      <c r="DH70">
        <f t="shared" si="26"/>
        <v>0</v>
      </c>
      <c r="DI70">
        <f t="shared" si="27"/>
        <v>0</v>
      </c>
      <c r="DJ70">
        <f>DG70+DH70</f>
        <v>36.61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ROW(Source!A84)</f>
        <v>84</v>
      </c>
      <c r="B71">
        <v>74014550</v>
      </c>
      <c r="C71">
        <v>74016233</v>
      </c>
      <c r="D71">
        <v>72524853</v>
      </c>
      <c r="E71">
        <v>119</v>
      </c>
      <c r="F71">
        <v>1</v>
      </c>
      <c r="G71">
        <v>1</v>
      </c>
      <c r="H71">
        <v>3</v>
      </c>
      <c r="I71" t="s">
        <v>192</v>
      </c>
      <c r="J71" t="s">
        <v>3</v>
      </c>
      <c r="K71" t="s">
        <v>193</v>
      </c>
      <c r="L71">
        <v>3277935</v>
      </c>
      <c r="N71">
        <v>1013</v>
      </c>
      <c r="O71" t="s">
        <v>194</v>
      </c>
      <c r="P71" t="s">
        <v>194</v>
      </c>
      <c r="Q71">
        <v>1</v>
      </c>
      <c r="W71">
        <v>0</v>
      </c>
      <c r="X71">
        <v>274903907</v>
      </c>
      <c r="Y71">
        <f t="shared" si="23"/>
        <v>2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1</v>
      </c>
      <c r="AK71">
        <v>1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 t="s">
        <v>3</v>
      </c>
      <c r="AT71">
        <v>2</v>
      </c>
      <c r="AU71" t="s">
        <v>3</v>
      </c>
      <c r="AV71">
        <v>0</v>
      </c>
      <c r="AW71">
        <v>2</v>
      </c>
      <c r="AX71">
        <v>74016243</v>
      </c>
      <c r="AY71">
        <v>1</v>
      </c>
      <c r="AZ71">
        <v>0</v>
      </c>
      <c r="BA71">
        <v>81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CV71">
        <v>0</v>
      </c>
      <c r="CW71">
        <v>0</v>
      </c>
      <c r="CX71">
        <f>ROUND(Y71*Source!I84,7)</f>
        <v>0.16200000000000001</v>
      </c>
      <c r="CY71">
        <f>AA71</f>
        <v>0</v>
      </c>
      <c r="CZ71">
        <f>AE71</f>
        <v>0</v>
      </c>
      <c r="DA71">
        <f>AI71</f>
        <v>1</v>
      </c>
      <c r="DB71">
        <f t="shared" si="24"/>
        <v>0</v>
      </c>
      <c r="DC71">
        <f t="shared" si="25"/>
        <v>0</v>
      </c>
      <c r="DD71" t="s">
        <v>3</v>
      </c>
      <c r="DE71" t="s">
        <v>3</v>
      </c>
      <c r="DF71">
        <f t="shared" si="28"/>
        <v>0</v>
      </c>
      <c r="DG71">
        <f>ROUND(ROUND(AF71,2)*CX71,2)</f>
        <v>0</v>
      </c>
      <c r="DH71">
        <f t="shared" si="26"/>
        <v>0</v>
      </c>
      <c r="DI71">
        <f t="shared" si="27"/>
        <v>0</v>
      </c>
      <c r="DJ71">
        <f>DF71</f>
        <v>0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ROW(Source!A87)</f>
        <v>87</v>
      </c>
      <c r="B72">
        <v>74014550</v>
      </c>
      <c r="C72">
        <v>74016246</v>
      </c>
      <c r="D72">
        <v>20049167</v>
      </c>
      <c r="E72">
        <v>119</v>
      </c>
      <c r="F72">
        <v>1</v>
      </c>
      <c r="G72">
        <v>1</v>
      </c>
      <c r="H72">
        <v>1</v>
      </c>
      <c r="I72" t="s">
        <v>605</v>
      </c>
      <c r="J72" t="s">
        <v>3</v>
      </c>
      <c r="K72" t="s">
        <v>606</v>
      </c>
      <c r="L72">
        <v>1191</v>
      </c>
      <c r="N72">
        <v>1013</v>
      </c>
      <c r="O72" t="s">
        <v>484</v>
      </c>
      <c r="P72" t="s">
        <v>484</v>
      </c>
      <c r="Q72">
        <v>1</v>
      </c>
      <c r="W72">
        <v>0</v>
      </c>
      <c r="X72">
        <v>-715079457</v>
      </c>
      <c r="Y72">
        <f t="shared" si="23"/>
        <v>27</v>
      </c>
      <c r="AA72">
        <v>0</v>
      </c>
      <c r="AB72">
        <v>0</v>
      </c>
      <c r="AC72">
        <v>0</v>
      </c>
      <c r="AD72">
        <v>377.84</v>
      </c>
      <c r="AE72">
        <v>0</v>
      </c>
      <c r="AF72">
        <v>0</v>
      </c>
      <c r="AG72">
        <v>0</v>
      </c>
      <c r="AH72">
        <v>377.84</v>
      </c>
      <c r="AI72">
        <v>1</v>
      </c>
      <c r="AJ72">
        <v>1</v>
      </c>
      <c r="AK72">
        <v>1</v>
      </c>
      <c r="AL72">
        <v>1</v>
      </c>
      <c r="AM72">
        <v>-2</v>
      </c>
      <c r="AN72">
        <v>0</v>
      </c>
      <c r="AO72">
        <v>0</v>
      </c>
      <c r="AP72">
        <v>1</v>
      </c>
      <c r="AQ72">
        <v>1</v>
      </c>
      <c r="AR72">
        <v>0</v>
      </c>
      <c r="AS72" t="s">
        <v>3</v>
      </c>
      <c r="AT72">
        <v>27</v>
      </c>
      <c r="AU72" t="s">
        <v>3</v>
      </c>
      <c r="AV72">
        <v>1</v>
      </c>
      <c r="AW72">
        <v>2</v>
      </c>
      <c r="AX72">
        <v>74016252</v>
      </c>
      <c r="AY72">
        <v>1</v>
      </c>
      <c r="AZ72">
        <v>0</v>
      </c>
      <c r="BA72">
        <v>82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10201.679999999998</v>
      </c>
      <c r="BN72">
        <v>27</v>
      </c>
      <c r="BO72">
        <v>0</v>
      </c>
      <c r="BP72">
        <v>1</v>
      </c>
      <c r="BQ72">
        <v>0</v>
      </c>
      <c r="BR72">
        <v>0</v>
      </c>
      <c r="BS72">
        <v>0</v>
      </c>
      <c r="BT72">
        <v>10201.679999999998</v>
      </c>
      <c r="BU72">
        <v>27</v>
      </c>
      <c r="BV72">
        <v>0</v>
      </c>
      <c r="BW72">
        <v>1</v>
      </c>
      <c r="CU72">
        <f>ROUND(AT72*Source!I87*AH72*AL72,2)</f>
        <v>918.15</v>
      </c>
      <c r="CV72">
        <f>ROUND(Y72*Source!I87,7)</f>
        <v>2.4300000000000002</v>
      </c>
      <c r="CW72">
        <v>0</v>
      </c>
      <c r="CX72">
        <f>ROUND(Y72*Source!I87,7)</f>
        <v>2.4300000000000002</v>
      </c>
      <c r="CY72">
        <f>AD72</f>
        <v>377.84</v>
      </c>
      <c r="CZ72">
        <f>AH72</f>
        <v>377.84</v>
      </c>
      <c r="DA72">
        <f>AL72</f>
        <v>1</v>
      </c>
      <c r="DB72">
        <f t="shared" si="24"/>
        <v>10201.68</v>
      </c>
      <c r="DC72">
        <f t="shared" si="25"/>
        <v>0</v>
      </c>
      <c r="DD72" t="s">
        <v>3</v>
      </c>
      <c r="DE72" t="s">
        <v>3</v>
      </c>
      <c r="DF72">
        <f t="shared" si="28"/>
        <v>0</v>
      </c>
      <c r="DG72">
        <f>ROUND(ROUND(AF72,2)*CX72,2)</f>
        <v>0</v>
      </c>
      <c r="DH72">
        <f t="shared" si="26"/>
        <v>0</v>
      </c>
      <c r="DI72">
        <f t="shared" si="27"/>
        <v>918.15</v>
      </c>
      <c r="DJ72">
        <f>DI72</f>
        <v>918.15</v>
      </c>
      <c r="DK72">
        <v>1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ROW(Source!A87)</f>
        <v>87</v>
      </c>
      <c r="B73">
        <v>74014550</v>
      </c>
      <c r="C73">
        <v>74016246</v>
      </c>
      <c r="D73">
        <v>20049115</v>
      </c>
      <c r="E73">
        <v>119</v>
      </c>
      <c r="F73">
        <v>1</v>
      </c>
      <c r="G73">
        <v>1</v>
      </c>
      <c r="H73">
        <v>1</v>
      </c>
      <c r="I73" t="s">
        <v>482</v>
      </c>
      <c r="J73" t="s">
        <v>3</v>
      </c>
      <c r="K73" t="s">
        <v>483</v>
      </c>
      <c r="L73">
        <v>1191</v>
      </c>
      <c r="N73">
        <v>1013</v>
      </c>
      <c r="O73" t="s">
        <v>484</v>
      </c>
      <c r="P73" t="s">
        <v>484</v>
      </c>
      <c r="Q73">
        <v>1</v>
      </c>
      <c r="W73">
        <v>0</v>
      </c>
      <c r="X73">
        <v>-1417349443</v>
      </c>
      <c r="Y73">
        <f t="shared" si="23"/>
        <v>7.42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1</v>
      </c>
      <c r="AK73">
        <v>1</v>
      </c>
      <c r="AL73">
        <v>1</v>
      </c>
      <c r="AM73">
        <v>-2</v>
      </c>
      <c r="AN73">
        <v>0</v>
      </c>
      <c r="AO73">
        <v>0</v>
      </c>
      <c r="AP73">
        <v>1</v>
      </c>
      <c r="AQ73">
        <v>1</v>
      </c>
      <c r="AR73">
        <v>0</v>
      </c>
      <c r="AS73" t="s">
        <v>3</v>
      </c>
      <c r="AT73">
        <v>7.42</v>
      </c>
      <c r="AU73" t="s">
        <v>3</v>
      </c>
      <c r="AV73">
        <v>2</v>
      </c>
      <c r="AW73">
        <v>2</v>
      </c>
      <c r="AX73">
        <v>74016253</v>
      </c>
      <c r="AY73">
        <v>1</v>
      </c>
      <c r="AZ73">
        <v>0</v>
      </c>
      <c r="BA73">
        <v>83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CV73">
        <v>0</v>
      </c>
      <c r="CW73">
        <v>0</v>
      </c>
      <c r="CX73">
        <f>ROUND(Y73*Source!I87,7)</f>
        <v>0.66779999999999995</v>
      </c>
      <c r="CY73">
        <f>AD73</f>
        <v>0</v>
      </c>
      <c r="CZ73">
        <f>AH73</f>
        <v>0</v>
      </c>
      <c r="DA73">
        <f>AL73</f>
        <v>1</v>
      </c>
      <c r="DB73">
        <f t="shared" si="24"/>
        <v>0</v>
      </c>
      <c r="DC73">
        <f t="shared" si="25"/>
        <v>0</v>
      </c>
      <c r="DD73" t="s">
        <v>3</v>
      </c>
      <c r="DE73" t="s">
        <v>3</v>
      </c>
      <c r="DF73">
        <f t="shared" si="28"/>
        <v>0</v>
      </c>
      <c r="DG73">
        <f>ROUND(ROUND(AF73,2)*CX73,2)</f>
        <v>0</v>
      </c>
      <c r="DH73">
        <f t="shared" si="26"/>
        <v>0</v>
      </c>
      <c r="DI73">
        <f t="shared" si="27"/>
        <v>0</v>
      </c>
      <c r="DJ73">
        <f>DI73</f>
        <v>0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ROW(Source!A87)</f>
        <v>87</v>
      </c>
      <c r="B74">
        <v>74014550</v>
      </c>
      <c r="C74">
        <v>74016246</v>
      </c>
      <c r="D74">
        <v>72646779</v>
      </c>
      <c r="E74">
        <v>1</v>
      </c>
      <c r="F74">
        <v>1</v>
      </c>
      <c r="G74">
        <v>1</v>
      </c>
      <c r="H74">
        <v>2</v>
      </c>
      <c r="I74" t="s">
        <v>607</v>
      </c>
      <c r="J74" t="s">
        <v>608</v>
      </c>
      <c r="K74" t="s">
        <v>609</v>
      </c>
      <c r="L74">
        <v>1368</v>
      </c>
      <c r="N74">
        <v>1011</v>
      </c>
      <c r="O74" t="s">
        <v>488</v>
      </c>
      <c r="P74" t="s">
        <v>488</v>
      </c>
      <c r="Q74">
        <v>1</v>
      </c>
      <c r="W74">
        <v>0</v>
      </c>
      <c r="X74">
        <v>-1026261040</v>
      </c>
      <c r="Y74">
        <f t="shared" si="23"/>
        <v>7.42</v>
      </c>
      <c r="AA74">
        <v>0</v>
      </c>
      <c r="AB74">
        <v>1343.94</v>
      </c>
      <c r="AC74">
        <v>459.98</v>
      </c>
      <c r="AD74">
        <v>0</v>
      </c>
      <c r="AE74">
        <v>0</v>
      </c>
      <c r="AF74">
        <v>995.51</v>
      </c>
      <c r="AG74">
        <v>459.98</v>
      </c>
      <c r="AH74">
        <v>0</v>
      </c>
      <c r="AI74">
        <v>1</v>
      </c>
      <c r="AJ74">
        <v>1.35</v>
      </c>
      <c r="AK74">
        <v>1</v>
      </c>
      <c r="AL74">
        <v>1</v>
      </c>
      <c r="AM74">
        <v>2</v>
      </c>
      <c r="AN74">
        <v>0</v>
      </c>
      <c r="AO74">
        <v>0</v>
      </c>
      <c r="AP74">
        <v>1</v>
      </c>
      <c r="AQ74">
        <v>1</v>
      </c>
      <c r="AR74">
        <v>0</v>
      </c>
      <c r="AS74" t="s">
        <v>3</v>
      </c>
      <c r="AT74">
        <v>7.42</v>
      </c>
      <c r="AU74" t="s">
        <v>3</v>
      </c>
      <c r="AV74">
        <v>1</v>
      </c>
      <c r="AW74">
        <v>2</v>
      </c>
      <c r="AX74">
        <v>74016254</v>
      </c>
      <c r="AY74">
        <v>1</v>
      </c>
      <c r="AZ74">
        <v>0</v>
      </c>
      <c r="BA74">
        <v>84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7386.6841999999997</v>
      </c>
      <c r="BL74">
        <v>3413.0516000000002</v>
      </c>
      <c r="BM74">
        <v>0</v>
      </c>
      <c r="BN74">
        <v>0</v>
      </c>
      <c r="BO74">
        <v>7.42</v>
      </c>
      <c r="BP74">
        <v>1</v>
      </c>
      <c r="BQ74">
        <v>0</v>
      </c>
      <c r="BR74">
        <v>7386.6841999999997</v>
      </c>
      <c r="BS74">
        <v>3413.0516000000002</v>
      </c>
      <c r="BT74">
        <v>0</v>
      </c>
      <c r="BU74">
        <v>0</v>
      </c>
      <c r="BV74">
        <v>7.42</v>
      </c>
      <c r="BW74">
        <v>1</v>
      </c>
      <c r="CV74">
        <v>0</v>
      </c>
      <c r="CW74">
        <f>ROUND(Y74*Source!I87*DO74,7)</f>
        <v>0.66779999999999995</v>
      </c>
      <c r="CX74">
        <f>ROUND(Y74*Source!I87,7)</f>
        <v>0.66779999999999995</v>
      </c>
      <c r="CY74">
        <f>AB74</f>
        <v>1343.94</v>
      </c>
      <c r="CZ74">
        <f>AF74</f>
        <v>995.51</v>
      </c>
      <c r="DA74">
        <f>AJ74</f>
        <v>1.35</v>
      </c>
      <c r="DB74">
        <f t="shared" si="24"/>
        <v>7386.68</v>
      </c>
      <c r="DC74">
        <f t="shared" si="25"/>
        <v>3413.05</v>
      </c>
      <c r="DD74" t="s">
        <v>3</v>
      </c>
      <c r="DE74" t="s">
        <v>3</v>
      </c>
      <c r="DF74">
        <f t="shared" si="28"/>
        <v>0</v>
      </c>
      <c r="DG74">
        <f>ROUND(ROUND(AF74*AJ74,2)*CX74,2)</f>
        <v>897.48</v>
      </c>
      <c r="DH74">
        <f t="shared" si="26"/>
        <v>307.17</v>
      </c>
      <c r="DI74">
        <f t="shared" si="27"/>
        <v>0</v>
      </c>
      <c r="DJ74">
        <f>DG74+DH74</f>
        <v>1204.6500000000001</v>
      </c>
      <c r="DK74">
        <v>0</v>
      </c>
      <c r="DL74" t="s">
        <v>497</v>
      </c>
      <c r="DM74">
        <v>5</v>
      </c>
      <c r="DN74" t="s">
        <v>484</v>
      </c>
      <c r="DO74">
        <v>1</v>
      </c>
    </row>
    <row r="75" spans="1:119" x14ac:dyDescent="0.2">
      <c r="A75">
        <f>ROW(Source!A87)</f>
        <v>87</v>
      </c>
      <c r="B75">
        <v>74014550</v>
      </c>
      <c r="C75">
        <v>74016246</v>
      </c>
      <c r="D75">
        <v>72646972</v>
      </c>
      <c r="E75">
        <v>1</v>
      </c>
      <c r="F75">
        <v>1</v>
      </c>
      <c r="G75">
        <v>1</v>
      </c>
      <c r="H75">
        <v>2</v>
      </c>
      <c r="I75" t="s">
        <v>610</v>
      </c>
      <c r="J75" t="s">
        <v>611</v>
      </c>
      <c r="K75" t="s">
        <v>612</v>
      </c>
      <c r="L75">
        <v>1368</v>
      </c>
      <c r="N75">
        <v>1011</v>
      </c>
      <c r="O75" t="s">
        <v>488</v>
      </c>
      <c r="P75" t="s">
        <v>488</v>
      </c>
      <c r="Q75">
        <v>1</v>
      </c>
      <c r="W75">
        <v>0</v>
      </c>
      <c r="X75">
        <v>559791142</v>
      </c>
      <c r="Y75">
        <f t="shared" si="23"/>
        <v>7.42</v>
      </c>
      <c r="AA75">
        <v>0</v>
      </c>
      <c r="AB75">
        <v>60.91</v>
      </c>
      <c r="AC75">
        <v>0</v>
      </c>
      <c r="AD75">
        <v>0</v>
      </c>
      <c r="AE75">
        <v>0</v>
      </c>
      <c r="AF75">
        <v>34.409999999999997</v>
      </c>
      <c r="AG75">
        <v>0</v>
      </c>
      <c r="AH75">
        <v>0</v>
      </c>
      <c r="AI75">
        <v>1</v>
      </c>
      <c r="AJ75">
        <v>1.77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1</v>
      </c>
      <c r="AQ75">
        <v>1</v>
      </c>
      <c r="AR75">
        <v>0</v>
      </c>
      <c r="AS75" t="s">
        <v>3</v>
      </c>
      <c r="AT75">
        <v>7.42</v>
      </c>
      <c r="AU75" t="s">
        <v>3</v>
      </c>
      <c r="AV75">
        <v>1</v>
      </c>
      <c r="AW75">
        <v>2</v>
      </c>
      <c r="AX75">
        <v>74016255</v>
      </c>
      <c r="AY75">
        <v>1</v>
      </c>
      <c r="AZ75">
        <v>0</v>
      </c>
      <c r="BA75">
        <v>85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255.32219999999998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0</v>
      </c>
      <c r="BR75">
        <v>255.32219999999998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f>ROUND(Y75*Source!I87*DO75,7)</f>
        <v>0</v>
      </c>
      <c r="CX75">
        <f>ROUND(Y75*Source!I87,7)</f>
        <v>0.66779999999999995</v>
      </c>
      <c r="CY75">
        <f>AB75</f>
        <v>60.91</v>
      </c>
      <c r="CZ75">
        <f>AF75</f>
        <v>34.409999999999997</v>
      </c>
      <c r="DA75">
        <f>AJ75</f>
        <v>1.77</v>
      </c>
      <c r="DB75">
        <f t="shared" si="24"/>
        <v>255.32</v>
      </c>
      <c r="DC75">
        <f t="shared" si="25"/>
        <v>0</v>
      </c>
      <c r="DD75" t="s">
        <v>3</v>
      </c>
      <c r="DE75" t="s">
        <v>3</v>
      </c>
      <c r="DF75">
        <f t="shared" si="28"/>
        <v>0</v>
      </c>
      <c r="DG75">
        <f>ROUND(ROUND(AF75*AJ75,2)*CX75,2)</f>
        <v>40.68</v>
      </c>
      <c r="DH75">
        <f t="shared" si="26"/>
        <v>0</v>
      </c>
      <c r="DI75">
        <f t="shared" si="27"/>
        <v>0</v>
      </c>
      <c r="DJ75">
        <f>DG75+DH75</f>
        <v>40.68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ROW(Source!A87)</f>
        <v>87</v>
      </c>
      <c r="B76">
        <v>74014550</v>
      </c>
      <c r="C76">
        <v>74016246</v>
      </c>
      <c r="D76">
        <v>72524853</v>
      </c>
      <c r="E76">
        <v>119</v>
      </c>
      <c r="F76">
        <v>1</v>
      </c>
      <c r="G76">
        <v>1</v>
      </c>
      <c r="H76">
        <v>3</v>
      </c>
      <c r="I76" t="s">
        <v>192</v>
      </c>
      <c r="J76" t="s">
        <v>3</v>
      </c>
      <c r="K76" t="s">
        <v>193</v>
      </c>
      <c r="L76">
        <v>3277935</v>
      </c>
      <c r="N76">
        <v>1013</v>
      </c>
      <c r="O76" t="s">
        <v>194</v>
      </c>
      <c r="P76" t="s">
        <v>194</v>
      </c>
      <c r="Q76">
        <v>1</v>
      </c>
      <c r="W76">
        <v>0</v>
      </c>
      <c r="X76">
        <v>274903907</v>
      </c>
      <c r="Y76">
        <f t="shared" si="23"/>
        <v>2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1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 t="s">
        <v>3</v>
      </c>
      <c r="AT76">
        <v>2</v>
      </c>
      <c r="AU76" t="s">
        <v>3</v>
      </c>
      <c r="AV76">
        <v>0</v>
      </c>
      <c r="AW76">
        <v>2</v>
      </c>
      <c r="AX76">
        <v>74016256</v>
      </c>
      <c r="AY76">
        <v>1</v>
      </c>
      <c r="AZ76">
        <v>0</v>
      </c>
      <c r="BA76">
        <v>86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V76">
        <v>0</v>
      </c>
      <c r="CW76">
        <v>0</v>
      </c>
      <c r="CX76">
        <f>ROUND(Y76*Source!I87,7)</f>
        <v>0.18</v>
      </c>
      <c r="CY76">
        <f>AA76</f>
        <v>0</v>
      </c>
      <c r="CZ76">
        <f>AE76</f>
        <v>0</v>
      </c>
      <c r="DA76">
        <f>AI76</f>
        <v>1</v>
      </c>
      <c r="DB76">
        <f t="shared" si="24"/>
        <v>0</v>
      </c>
      <c r="DC76">
        <f t="shared" si="25"/>
        <v>0</v>
      </c>
      <c r="DD76" t="s">
        <v>3</v>
      </c>
      <c r="DE76" t="s">
        <v>3</v>
      </c>
      <c r="DF76">
        <f t="shared" si="28"/>
        <v>0</v>
      </c>
      <c r="DG76">
        <f>ROUND(ROUND(AF76,2)*CX76,2)</f>
        <v>0</v>
      </c>
      <c r="DH76">
        <f t="shared" si="26"/>
        <v>0</v>
      </c>
      <c r="DI76">
        <f t="shared" si="27"/>
        <v>0</v>
      </c>
      <c r="DJ76">
        <f>DF76</f>
        <v>0</v>
      </c>
      <c r="DK76">
        <v>0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ROW(Source!A90)</f>
        <v>90</v>
      </c>
      <c r="B77">
        <v>74014550</v>
      </c>
      <c r="C77">
        <v>74016259</v>
      </c>
      <c r="D77">
        <v>20052388</v>
      </c>
      <c r="E77">
        <v>119</v>
      </c>
      <c r="F77">
        <v>1</v>
      </c>
      <c r="G77">
        <v>1</v>
      </c>
      <c r="H77">
        <v>1</v>
      </c>
      <c r="I77" t="s">
        <v>613</v>
      </c>
      <c r="J77" t="s">
        <v>3</v>
      </c>
      <c r="K77" t="s">
        <v>614</v>
      </c>
      <c r="L77">
        <v>1191</v>
      </c>
      <c r="N77">
        <v>1013</v>
      </c>
      <c r="O77" t="s">
        <v>484</v>
      </c>
      <c r="P77" t="s">
        <v>484</v>
      </c>
      <c r="Q77">
        <v>1</v>
      </c>
      <c r="W77">
        <v>0</v>
      </c>
      <c r="X77">
        <v>-1483035894</v>
      </c>
      <c r="Y77">
        <f t="shared" si="23"/>
        <v>11.35</v>
      </c>
      <c r="AA77">
        <v>0</v>
      </c>
      <c r="AB77">
        <v>0</v>
      </c>
      <c r="AC77">
        <v>0</v>
      </c>
      <c r="AD77">
        <v>337.52</v>
      </c>
      <c r="AE77">
        <v>0</v>
      </c>
      <c r="AF77">
        <v>0</v>
      </c>
      <c r="AG77">
        <v>0</v>
      </c>
      <c r="AH77">
        <v>337.52</v>
      </c>
      <c r="AI77">
        <v>1</v>
      </c>
      <c r="AJ77">
        <v>1</v>
      </c>
      <c r="AK77">
        <v>1</v>
      </c>
      <c r="AL77">
        <v>1</v>
      </c>
      <c r="AM77">
        <v>-2</v>
      </c>
      <c r="AN77">
        <v>0</v>
      </c>
      <c r="AO77">
        <v>0</v>
      </c>
      <c r="AP77">
        <v>1</v>
      </c>
      <c r="AQ77">
        <v>1</v>
      </c>
      <c r="AR77">
        <v>0</v>
      </c>
      <c r="AS77" t="s">
        <v>3</v>
      </c>
      <c r="AT77">
        <v>11.35</v>
      </c>
      <c r="AU77" t="s">
        <v>3</v>
      </c>
      <c r="AV77">
        <v>1</v>
      </c>
      <c r="AW77">
        <v>2</v>
      </c>
      <c r="AX77">
        <v>74016264</v>
      </c>
      <c r="AY77">
        <v>1</v>
      </c>
      <c r="AZ77">
        <v>0</v>
      </c>
      <c r="BA77">
        <v>87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3830.8519999999999</v>
      </c>
      <c r="BN77">
        <v>11.35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3830.8519999999999</v>
      </c>
      <c r="BU77">
        <v>11.35</v>
      </c>
      <c r="BV77">
        <v>0</v>
      </c>
      <c r="BW77">
        <v>1</v>
      </c>
      <c r="CU77">
        <f>ROUND(AT77*Source!I90*AH77*AL77,2)</f>
        <v>76.62</v>
      </c>
      <c r="CV77">
        <f>ROUND(Y77*Source!I90,7)</f>
        <v>0.22700000000000001</v>
      </c>
      <c r="CW77">
        <v>0</v>
      </c>
      <c r="CX77">
        <f>ROUND(Y77*Source!I90,7)</f>
        <v>0.22700000000000001</v>
      </c>
      <c r="CY77">
        <f>AD77</f>
        <v>337.52</v>
      </c>
      <c r="CZ77">
        <f>AH77</f>
        <v>337.52</v>
      </c>
      <c r="DA77">
        <f>AL77</f>
        <v>1</v>
      </c>
      <c r="DB77">
        <f t="shared" si="24"/>
        <v>3830.85</v>
      </c>
      <c r="DC77">
        <f t="shared" si="25"/>
        <v>0</v>
      </c>
      <c r="DD77" t="s">
        <v>3</v>
      </c>
      <c r="DE77" t="s">
        <v>3</v>
      </c>
      <c r="DF77">
        <f t="shared" si="28"/>
        <v>0</v>
      </c>
      <c r="DG77">
        <f>ROUND(ROUND(AF77,2)*CX77,2)</f>
        <v>0</v>
      </c>
      <c r="DH77">
        <f t="shared" si="26"/>
        <v>0</v>
      </c>
      <c r="DI77">
        <f t="shared" si="27"/>
        <v>76.62</v>
      </c>
      <c r="DJ77">
        <f>DI77</f>
        <v>76.62</v>
      </c>
      <c r="DK77">
        <v>1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ROW(Source!A90)</f>
        <v>90</v>
      </c>
      <c r="B78">
        <v>74014550</v>
      </c>
      <c r="C78">
        <v>74016259</v>
      </c>
      <c r="D78">
        <v>20049115</v>
      </c>
      <c r="E78">
        <v>119</v>
      </c>
      <c r="F78">
        <v>1</v>
      </c>
      <c r="G78">
        <v>1</v>
      </c>
      <c r="H78">
        <v>1</v>
      </c>
      <c r="I78" t="s">
        <v>482</v>
      </c>
      <c r="J78" t="s">
        <v>3</v>
      </c>
      <c r="K78" t="s">
        <v>483</v>
      </c>
      <c r="L78">
        <v>1191</v>
      </c>
      <c r="N78">
        <v>1013</v>
      </c>
      <c r="O78" t="s">
        <v>484</v>
      </c>
      <c r="P78" t="s">
        <v>484</v>
      </c>
      <c r="Q78">
        <v>1</v>
      </c>
      <c r="W78">
        <v>0</v>
      </c>
      <c r="X78">
        <v>-1417349443</v>
      </c>
      <c r="Y78">
        <f t="shared" si="23"/>
        <v>0.94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1</v>
      </c>
      <c r="AM78">
        <v>-2</v>
      </c>
      <c r="AN78">
        <v>0</v>
      </c>
      <c r="AO78">
        <v>0</v>
      </c>
      <c r="AP78">
        <v>1</v>
      </c>
      <c r="AQ78">
        <v>1</v>
      </c>
      <c r="AR78">
        <v>0</v>
      </c>
      <c r="AS78" t="s">
        <v>3</v>
      </c>
      <c r="AT78">
        <v>0.94</v>
      </c>
      <c r="AU78" t="s">
        <v>3</v>
      </c>
      <c r="AV78">
        <v>2</v>
      </c>
      <c r="AW78">
        <v>2</v>
      </c>
      <c r="AX78">
        <v>74016265</v>
      </c>
      <c r="AY78">
        <v>1</v>
      </c>
      <c r="AZ78">
        <v>0</v>
      </c>
      <c r="BA78">
        <v>88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V78">
        <v>0</v>
      </c>
      <c r="CW78">
        <v>0</v>
      </c>
      <c r="CX78">
        <f>ROUND(Y78*Source!I90,7)</f>
        <v>1.8800000000000001E-2</v>
      </c>
      <c r="CY78">
        <f>AD78</f>
        <v>0</v>
      </c>
      <c r="CZ78">
        <f>AH78</f>
        <v>0</v>
      </c>
      <c r="DA78">
        <f>AL78</f>
        <v>1</v>
      </c>
      <c r="DB78">
        <f t="shared" si="24"/>
        <v>0</v>
      </c>
      <c r="DC78">
        <f t="shared" si="25"/>
        <v>0</v>
      </c>
      <c r="DD78" t="s">
        <v>3</v>
      </c>
      <c r="DE78" t="s">
        <v>3</v>
      </c>
      <c r="DF78">
        <f t="shared" si="28"/>
        <v>0</v>
      </c>
      <c r="DG78">
        <f>ROUND(ROUND(AF78,2)*CX78,2)</f>
        <v>0</v>
      </c>
      <c r="DH78">
        <f t="shared" si="26"/>
        <v>0</v>
      </c>
      <c r="DI78">
        <f t="shared" si="27"/>
        <v>0</v>
      </c>
      <c r="DJ78">
        <f>DI78</f>
        <v>0</v>
      </c>
      <c r="DK78">
        <v>0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ROW(Source!A90)</f>
        <v>90</v>
      </c>
      <c r="B79">
        <v>74014550</v>
      </c>
      <c r="C79">
        <v>74016259</v>
      </c>
      <c r="D79">
        <v>72646876</v>
      </c>
      <c r="E79">
        <v>1</v>
      </c>
      <c r="F79">
        <v>1</v>
      </c>
      <c r="G79">
        <v>1</v>
      </c>
      <c r="H79">
        <v>2</v>
      </c>
      <c r="I79" t="s">
        <v>615</v>
      </c>
      <c r="J79" t="s">
        <v>616</v>
      </c>
      <c r="K79" t="s">
        <v>617</v>
      </c>
      <c r="L79">
        <v>1368</v>
      </c>
      <c r="N79">
        <v>1011</v>
      </c>
      <c r="O79" t="s">
        <v>488</v>
      </c>
      <c r="P79" t="s">
        <v>488</v>
      </c>
      <c r="Q79">
        <v>1</v>
      </c>
      <c r="W79">
        <v>0</v>
      </c>
      <c r="X79">
        <v>1085378362</v>
      </c>
      <c r="Y79">
        <f t="shared" si="23"/>
        <v>0.94</v>
      </c>
      <c r="AA79">
        <v>0</v>
      </c>
      <c r="AB79">
        <v>1202.99</v>
      </c>
      <c r="AC79">
        <v>400.24</v>
      </c>
      <c r="AD79">
        <v>0</v>
      </c>
      <c r="AE79">
        <v>0</v>
      </c>
      <c r="AF79">
        <v>865.46</v>
      </c>
      <c r="AG79">
        <v>400.24</v>
      </c>
      <c r="AH79">
        <v>0</v>
      </c>
      <c r="AI79">
        <v>1</v>
      </c>
      <c r="AJ79">
        <v>1.39</v>
      </c>
      <c r="AK79">
        <v>1</v>
      </c>
      <c r="AL79">
        <v>1</v>
      </c>
      <c r="AM79">
        <v>2</v>
      </c>
      <c r="AN79">
        <v>0</v>
      </c>
      <c r="AO79">
        <v>0</v>
      </c>
      <c r="AP79">
        <v>1</v>
      </c>
      <c r="AQ79">
        <v>1</v>
      </c>
      <c r="AR79">
        <v>0</v>
      </c>
      <c r="AS79" t="s">
        <v>3</v>
      </c>
      <c r="AT79">
        <v>0.94</v>
      </c>
      <c r="AU79" t="s">
        <v>3</v>
      </c>
      <c r="AV79">
        <v>1</v>
      </c>
      <c r="AW79">
        <v>2</v>
      </c>
      <c r="AX79">
        <v>74016266</v>
      </c>
      <c r="AY79">
        <v>1</v>
      </c>
      <c r="AZ79">
        <v>0</v>
      </c>
      <c r="BA79">
        <v>89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813.53239999999994</v>
      </c>
      <c r="BL79">
        <v>376.22559999999999</v>
      </c>
      <c r="BM79">
        <v>0</v>
      </c>
      <c r="BN79">
        <v>0</v>
      </c>
      <c r="BO79">
        <v>0.94</v>
      </c>
      <c r="BP79">
        <v>1</v>
      </c>
      <c r="BQ79">
        <v>0</v>
      </c>
      <c r="BR79">
        <v>813.53239999999994</v>
      </c>
      <c r="BS79">
        <v>376.22559999999999</v>
      </c>
      <c r="BT79">
        <v>0</v>
      </c>
      <c r="BU79">
        <v>0</v>
      </c>
      <c r="BV79">
        <v>0.94</v>
      </c>
      <c r="BW79">
        <v>1</v>
      </c>
      <c r="CV79">
        <v>0</v>
      </c>
      <c r="CW79">
        <f>ROUND(Y79*Source!I90*DO79,7)</f>
        <v>1.8800000000000001E-2</v>
      </c>
      <c r="CX79">
        <f>ROUND(Y79*Source!I90,7)</f>
        <v>1.8800000000000001E-2</v>
      </c>
      <c r="CY79">
        <f>AB79</f>
        <v>1202.99</v>
      </c>
      <c r="CZ79">
        <f>AF79</f>
        <v>865.46</v>
      </c>
      <c r="DA79">
        <f>AJ79</f>
        <v>1.39</v>
      </c>
      <c r="DB79">
        <f t="shared" si="24"/>
        <v>813.53</v>
      </c>
      <c r="DC79">
        <f t="shared" si="25"/>
        <v>376.23</v>
      </c>
      <c r="DD79" t="s">
        <v>3</v>
      </c>
      <c r="DE79" t="s">
        <v>3</v>
      </c>
      <c r="DF79">
        <f t="shared" si="28"/>
        <v>0</v>
      </c>
      <c r="DG79">
        <f>ROUND(ROUND(AF79*AJ79,2)*CX79,2)</f>
        <v>22.62</v>
      </c>
      <c r="DH79">
        <f t="shared" si="26"/>
        <v>7.52</v>
      </c>
      <c r="DI79">
        <f t="shared" si="27"/>
        <v>0</v>
      </c>
      <c r="DJ79">
        <f>DG79+DH79</f>
        <v>30.14</v>
      </c>
      <c r="DK79">
        <v>0</v>
      </c>
      <c r="DL79" t="s">
        <v>514</v>
      </c>
      <c r="DM79">
        <v>4</v>
      </c>
      <c r="DN79" t="s">
        <v>484</v>
      </c>
      <c r="DO79">
        <v>1</v>
      </c>
    </row>
    <row r="80" spans="1:119" x14ac:dyDescent="0.2">
      <c r="A80">
        <f>ROW(Source!A90)</f>
        <v>90</v>
      </c>
      <c r="B80">
        <v>74014550</v>
      </c>
      <c r="C80">
        <v>74016259</v>
      </c>
      <c r="D80">
        <v>72647549</v>
      </c>
      <c r="E80">
        <v>1</v>
      </c>
      <c r="F80">
        <v>1</v>
      </c>
      <c r="G80">
        <v>1</v>
      </c>
      <c r="H80">
        <v>2</v>
      </c>
      <c r="I80" t="s">
        <v>618</v>
      </c>
      <c r="J80" t="s">
        <v>619</v>
      </c>
      <c r="K80" t="s">
        <v>620</v>
      </c>
      <c r="L80">
        <v>1368</v>
      </c>
      <c r="N80">
        <v>1011</v>
      </c>
      <c r="O80" t="s">
        <v>488</v>
      </c>
      <c r="P80" t="s">
        <v>488</v>
      </c>
      <c r="Q80">
        <v>1</v>
      </c>
      <c r="W80">
        <v>0</v>
      </c>
      <c r="X80">
        <v>2139248268</v>
      </c>
      <c r="Y80">
        <f t="shared" si="23"/>
        <v>4.24</v>
      </c>
      <c r="AA80">
        <v>0</v>
      </c>
      <c r="AB80">
        <v>30.37</v>
      </c>
      <c r="AC80">
        <v>0</v>
      </c>
      <c r="AD80">
        <v>0</v>
      </c>
      <c r="AE80">
        <v>0</v>
      </c>
      <c r="AF80">
        <v>30.37</v>
      </c>
      <c r="AG80">
        <v>0</v>
      </c>
      <c r="AH80">
        <v>0</v>
      </c>
      <c r="AI80">
        <v>1</v>
      </c>
      <c r="AJ80">
        <v>1</v>
      </c>
      <c r="AK80">
        <v>1</v>
      </c>
      <c r="AL80">
        <v>1</v>
      </c>
      <c r="AM80">
        <v>-2</v>
      </c>
      <c r="AN80">
        <v>0</v>
      </c>
      <c r="AO80">
        <v>0</v>
      </c>
      <c r="AP80">
        <v>1</v>
      </c>
      <c r="AQ80">
        <v>1</v>
      </c>
      <c r="AR80">
        <v>0</v>
      </c>
      <c r="AS80" t="s">
        <v>3</v>
      </c>
      <c r="AT80">
        <v>4.24</v>
      </c>
      <c r="AU80" t="s">
        <v>3</v>
      </c>
      <c r="AV80">
        <v>1</v>
      </c>
      <c r="AW80">
        <v>2</v>
      </c>
      <c r="AX80">
        <v>74016267</v>
      </c>
      <c r="AY80">
        <v>1</v>
      </c>
      <c r="AZ80">
        <v>0</v>
      </c>
      <c r="BA80">
        <v>90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128.7688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0</v>
      </c>
      <c r="BR80">
        <v>128.7688</v>
      </c>
      <c r="BS80">
        <v>0</v>
      </c>
      <c r="BT80">
        <v>0</v>
      </c>
      <c r="BU80">
        <v>0</v>
      </c>
      <c r="BV80">
        <v>0</v>
      </c>
      <c r="BW80">
        <v>1</v>
      </c>
      <c r="CV80">
        <v>0</v>
      </c>
      <c r="CW80">
        <f>ROUND(Y80*Source!I90*DO80,7)</f>
        <v>0</v>
      </c>
      <c r="CX80">
        <f>ROUND(Y80*Source!I90,7)</f>
        <v>8.48E-2</v>
      </c>
      <c r="CY80">
        <f>AB80</f>
        <v>30.37</v>
      </c>
      <c r="CZ80">
        <f>AF80</f>
        <v>30.37</v>
      </c>
      <c r="DA80">
        <f>AJ80</f>
        <v>1</v>
      </c>
      <c r="DB80">
        <f t="shared" si="24"/>
        <v>128.77000000000001</v>
      </c>
      <c r="DC80">
        <f t="shared" si="25"/>
        <v>0</v>
      </c>
      <c r="DD80" t="s">
        <v>3</v>
      </c>
      <c r="DE80" t="s">
        <v>3</v>
      </c>
      <c r="DF80">
        <f t="shared" si="28"/>
        <v>0</v>
      </c>
      <c r="DG80">
        <f>ROUND(ROUND(AF80,2)*CX80,2)</f>
        <v>2.58</v>
      </c>
      <c r="DH80">
        <f t="shared" si="26"/>
        <v>0</v>
      </c>
      <c r="DI80">
        <f t="shared" si="27"/>
        <v>0</v>
      </c>
      <c r="DJ80">
        <f>DG80+DH80</f>
        <v>2.58</v>
      </c>
      <c r="DK80">
        <v>1</v>
      </c>
      <c r="DL80" t="s">
        <v>3</v>
      </c>
      <c r="DM80">
        <v>0</v>
      </c>
      <c r="DN80" t="s">
        <v>3</v>
      </c>
      <c r="DO80">
        <v>0</v>
      </c>
    </row>
    <row r="81" spans="1:119" x14ac:dyDescent="0.2">
      <c r="A81">
        <f>ROW(Source!A93)</f>
        <v>93</v>
      </c>
      <c r="B81">
        <v>74014550</v>
      </c>
      <c r="C81">
        <v>74016271</v>
      </c>
      <c r="D81">
        <v>20049237</v>
      </c>
      <c r="E81">
        <v>119</v>
      </c>
      <c r="F81">
        <v>1</v>
      </c>
      <c r="G81">
        <v>1</v>
      </c>
      <c r="H81">
        <v>1</v>
      </c>
      <c r="I81" t="s">
        <v>490</v>
      </c>
      <c r="J81" t="s">
        <v>3</v>
      </c>
      <c r="K81" t="s">
        <v>491</v>
      </c>
      <c r="L81">
        <v>1191</v>
      </c>
      <c r="N81">
        <v>1013</v>
      </c>
      <c r="O81" t="s">
        <v>484</v>
      </c>
      <c r="P81" t="s">
        <v>484</v>
      </c>
      <c r="Q81">
        <v>1</v>
      </c>
      <c r="W81">
        <v>0</v>
      </c>
      <c r="X81">
        <v>370475345</v>
      </c>
      <c r="Y81">
        <f t="shared" si="23"/>
        <v>135</v>
      </c>
      <c r="AA81">
        <v>0</v>
      </c>
      <c r="AB81">
        <v>0</v>
      </c>
      <c r="AC81">
        <v>0</v>
      </c>
      <c r="AD81">
        <v>325.57</v>
      </c>
      <c r="AE81">
        <v>0</v>
      </c>
      <c r="AF81">
        <v>0</v>
      </c>
      <c r="AG81">
        <v>0</v>
      </c>
      <c r="AH81">
        <v>325.57</v>
      </c>
      <c r="AI81">
        <v>1</v>
      </c>
      <c r="AJ81">
        <v>1</v>
      </c>
      <c r="AK81">
        <v>1</v>
      </c>
      <c r="AL81">
        <v>1</v>
      </c>
      <c r="AM81">
        <v>-2</v>
      </c>
      <c r="AN81">
        <v>0</v>
      </c>
      <c r="AO81">
        <v>0</v>
      </c>
      <c r="AP81">
        <v>1</v>
      </c>
      <c r="AQ81">
        <v>1</v>
      </c>
      <c r="AR81">
        <v>0</v>
      </c>
      <c r="AS81" t="s">
        <v>3</v>
      </c>
      <c r="AT81">
        <v>135</v>
      </c>
      <c r="AU81" t="s">
        <v>3</v>
      </c>
      <c r="AV81">
        <v>1</v>
      </c>
      <c r="AW81">
        <v>2</v>
      </c>
      <c r="AX81">
        <v>74016280</v>
      </c>
      <c r="AY81">
        <v>1</v>
      </c>
      <c r="AZ81">
        <v>0</v>
      </c>
      <c r="BA81">
        <v>92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43951.95</v>
      </c>
      <c r="BN81">
        <v>135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43951.95</v>
      </c>
      <c r="BU81">
        <v>135</v>
      </c>
      <c r="BV81">
        <v>0</v>
      </c>
      <c r="BW81">
        <v>1</v>
      </c>
      <c r="CU81">
        <f>ROUND(AT81*Source!I93*AH81*AL81,2)</f>
        <v>239.98</v>
      </c>
      <c r="CV81">
        <f>ROUND(Y81*Source!I93,7)</f>
        <v>0.73709999999999998</v>
      </c>
      <c r="CW81">
        <v>0</v>
      </c>
      <c r="CX81">
        <f>ROUND(Y81*Source!I93,7)</f>
        <v>0.73709999999999998</v>
      </c>
      <c r="CY81">
        <f>AD81</f>
        <v>325.57</v>
      </c>
      <c r="CZ81">
        <f>AH81</f>
        <v>325.57</v>
      </c>
      <c r="DA81">
        <f>AL81</f>
        <v>1</v>
      </c>
      <c r="DB81">
        <f t="shared" si="24"/>
        <v>43951.95</v>
      </c>
      <c r="DC81">
        <f t="shared" si="25"/>
        <v>0</v>
      </c>
      <c r="DD81" t="s">
        <v>3</v>
      </c>
      <c r="DE81" t="s">
        <v>3</v>
      </c>
      <c r="DF81">
        <f t="shared" si="28"/>
        <v>0</v>
      </c>
      <c r="DG81">
        <f>ROUND(ROUND(AF81,2)*CX81,2)</f>
        <v>0</v>
      </c>
      <c r="DH81">
        <f t="shared" si="26"/>
        <v>0</v>
      </c>
      <c r="DI81">
        <f t="shared" si="27"/>
        <v>239.98</v>
      </c>
      <c r="DJ81">
        <f>DI81</f>
        <v>239.98</v>
      </c>
      <c r="DK81">
        <v>1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ROW(Source!A93)</f>
        <v>93</v>
      </c>
      <c r="B82">
        <v>74014550</v>
      </c>
      <c r="C82">
        <v>74016271</v>
      </c>
      <c r="D82">
        <v>20049115</v>
      </c>
      <c r="E82">
        <v>119</v>
      </c>
      <c r="F82">
        <v>1</v>
      </c>
      <c r="G82">
        <v>1</v>
      </c>
      <c r="H82">
        <v>1</v>
      </c>
      <c r="I82" t="s">
        <v>482</v>
      </c>
      <c r="J82" t="s">
        <v>3</v>
      </c>
      <c r="K82" t="s">
        <v>483</v>
      </c>
      <c r="L82">
        <v>1191</v>
      </c>
      <c r="N82">
        <v>1013</v>
      </c>
      <c r="O82" t="s">
        <v>484</v>
      </c>
      <c r="P82" t="s">
        <v>484</v>
      </c>
      <c r="Q82">
        <v>1</v>
      </c>
      <c r="W82">
        <v>0</v>
      </c>
      <c r="X82">
        <v>-1417349443</v>
      </c>
      <c r="Y82">
        <f t="shared" si="23"/>
        <v>18.12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1</v>
      </c>
      <c r="AK82">
        <v>1</v>
      </c>
      <c r="AL82">
        <v>1</v>
      </c>
      <c r="AM82">
        <v>-2</v>
      </c>
      <c r="AN82">
        <v>0</v>
      </c>
      <c r="AO82">
        <v>0</v>
      </c>
      <c r="AP82">
        <v>1</v>
      </c>
      <c r="AQ82">
        <v>1</v>
      </c>
      <c r="AR82">
        <v>0</v>
      </c>
      <c r="AS82" t="s">
        <v>3</v>
      </c>
      <c r="AT82">
        <v>18.12</v>
      </c>
      <c r="AU82" t="s">
        <v>3</v>
      </c>
      <c r="AV82">
        <v>2</v>
      </c>
      <c r="AW82">
        <v>2</v>
      </c>
      <c r="AX82">
        <v>74016281</v>
      </c>
      <c r="AY82">
        <v>1</v>
      </c>
      <c r="AZ82">
        <v>0</v>
      </c>
      <c r="BA82">
        <v>93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CV82">
        <v>0</v>
      </c>
      <c r="CW82">
        <v>0</v>
      </c>
      <c r="CX82">
        <f>ROUND(Y82*Source!I93,7)</f>
        <v>9.8935200000000001E-2</v>
      </c>
      <c r="CY82">
        <f>AD82</f>
        <v>0</v>
      </c>
      <c r="CZ82">
        <f>AH82</f>
        <v>0</v>
      </c>
      <c r="DA82">
        <f>AL82</f>
        <v>1</v>
      </c>
      <c r="DB82">
        <f t="shared" si="24"/>
        <v>0</v>
      </c>
      <c r="DC82">
        <f t="shared" si="25"/>
        <v>0</v>
      </c>
      <c r="DD82" t="s">
        <v>3</v>
      </c>
      <c r="DE82" t="s">
        <v>3</v>
      </c>
      <c r="DF82">
        <f t="shared" si="28"/>
        <v>0</v>
      </c>
      <c r="DG82">
        <f>ROUND(ROUND(AF82,2)*CX82,2)</f>
        <v>0</v>
      </c>
      <c r="DH82">
        <f t="shared" si="26"/>
        <v>0</v>
      </c>
      <c r="DI82">
        <f t="shared" si="27"/>
        <v>0</v>
      </c>
      <c r="DJ82">
        <f>DI82</f>
        <v>0</v>
      </c>
      <c r="DK82">
        <v>0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ROW(Source!A93)</f>
        <v>93</v>
      </c>
      <c r="B83">
        <v>74014550</v>
      </c>
      <c r="C83">
        <v>74016271</v>
      </c>
      <c r="D83">
        <v>72645984</v>
      </c>
      <c r="E83">
        <v>1</v>
      </c>
      <c r="F83">
        <v>1</v>
      </c>
      <c r="G83">
        <v>1</v>
      </c>
      <c r="H83">
        <v>2</v>
      </c>
      <c r="I83" t="s">
        <v>621</v>
      </c>
      <c r="J83" t="s">
        <v>622</v>
      </c>
      <c r="K83" t="s">
        <v>623</v>
      </c>
      <c r="L83">
        <v>1368</v>
      </c>
      <c r="N83">
        <v>1011</v>
      </c>
      <c r="O83" t="s">
        <v>488</v>
      </c>
      <c r="P83" t="s">
        <v>488</v>
      </c>
      <c r="Q83">
        <v>1</v>
      </c>
      <c r="W83">
        <v>0</v>
      </c>
      <c r="X83">
        <v>-2007910459</v>
      </c>
      <c r="Y83">
        <f t="shared" si="23"/>
        <v>18</v>
      </c>
      <c r="AA83">
        <v>0</v>
      </c>
      <c r="AB83">
        <v>996.19</v>
      </c>
      <c r="AC83">
        <v>537.64</v>
      </c>
      <c r="AD83">
        <v>0</v>
      </c>
      <c r="AE83">
        <v>0</v>
      </c>
      <c r="AF83">
        <v>622.62</v>
      </c>
      <c r="AG83">
        <v>537.64</v>
      </c>
      <c r="AH83">
        <v>0</v>
      </c>
      <c r="AI83">
        <v>1</v>
      </c>
      <c r="AJ83">
        <v>1.6</v>
      </c>
      <c r="AK83">
        <v>1</v>
      </c>
      <c r="AL83">
        <v>1</v>
      </c>
      <c r="AM83">
        <v>2</v>
      </c>
      <c r="AN83">
        <v>0</v>
      </c>
      <c r="AO83">
        <v>0</v>
      </c>
      <c r="AP83">
        <v>1</v>
      </c>
      <c r="AQ83">
        <v>1</v>
      </c>
      <c r="AR83">
        <v>0</v>
      </c>
      <c r="AS83" t="s">
        <v>3</v>
      </c>
      <c r="AT83">
        <v>18</v>
      </c>
      <c r="AU83" t="s">
        <v>3</v>
      </c>
      <c r="AV83">
        <v>1</v>
      </c>
      <c r="AW83">
        <v>2</v>
      </c>
      <c r="AX83">
        <v>74016282</v>
      </c>
      <c r="AY83">
        <v>1</v>
      </c>
      <c r="AZ83">
        <v>0</v>
      </c>
      <c r="BA83">
        <v>94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11207.16</v>
      </c>
      <c r="BL83">
        <v>9677.52</v>
      </c>
      <c r="BM83">
        <v>0</v>
      </c>
      <c r="BN83">
        <v>0</v>
      </c>
      <c r="BO83">
        <v>18</v>
      </c>
      <c r="BP83">
        <v>1</v>
      </c>
      <c r="BQ83">
        <v>0</v>
      </c>
      <c r="BR83">
        <v>11207.16</v>
      </c>
      <c r="BS83">
        <v>9677.52</v>
      </c>
      <c r="BT83">
        <v>0</v>
      </c>
      <c r="BU83">
        <v>0</v>
      </c>
      <c r="BV83">
        <v>18</v>
      </c>
      <c r="BW83">
        <v>1</v>
      </c>
      <c r="CV83">
        <v>0</v>
      </c>
      <c r="CW83">
        <f>ROUND(Y83*Source!I93*DO83,7)</f>
        <v>9.8280000000000006E-2</v>
      </c>
      <c r="CX83">
        <f>ROUND(Y83*Source!I93,7)</f>
        <v>9.8280000000000006E-2</v>
      </c>
      <c r="CY83">
        <f>AB83</f>
        <v>996.19</v>
      </c>
      <c r="CZ83">
        <f>AF83</f>
        <v>622.62</v>
      </c>
      <c r="DA83">
        <f>AJ83</f>
        <v>1.6</v>
      </c>
      <c r="DB83">
        <f t="shared" si="24"/>
        <v>11207.16</v>
      </c>
      <c r="DC83">
        <f t="shared" si="25"/>
        <v>9677.52</v>
      </c>
      <c r="DD83" t="s">
        <v>3</v>
      </c>
      <c r="DE83" t="s">
        <v>3</v>
      </c>
      <c r="DF83">
        <f t="shared" si="28"/>
        <v>0</v>
      </c>
      <c r="DG83">
        <f>ROUND(ROUND(AF83*AJ83,2)*CX83,2)</f>
        <v>97.91</v>
      </c>
      <c r="DH83">
        <f t="shared" si="26"/>
        <v>52.84</v>
      </c>
      <c r="DI83">
        <f t="shared" si="27"/>
        <v>0</v>
      </c>
      <c r="DJ83">
        <f>DG83+DH83</f>
        <v>150.75</v>
      </c>
      <c r="DK83">
        <v>0</v>
      </c>
      <c r="DL83" t="s">
        <v>489</v>
      </c>
      <c r="DM83">
        <v>6</v>
      </c>
      <c r="DN83" t="s">
        <v>484</v>
      </c>
      <c r="DO83">
        <v>1</v>
      </c>
    </row>
    <row r="84" spans="1:119" x14ac:dyDescent="0.2">
      <c r="A84">
        <f>ROW(Source!A93)</f>
        <v>93</v>
      </c>
      <c r="B84">
        <v>74014550</v>
      </c>
      <c r="C84">
        <v>74016271</v>
      </c>
      <c r="D84">
        <v>72646294</v>
      </c>
      <c r="E84">
        <v>1</v>
      </c>
      <c r="F84">
        <v>1</v>
      </c>
      <c r="G84">
        <v>1</v>
      </c>
      <c r="H84">
        <v>2</v>
      </c>
      <c r="I84" t="s">
        <v>624</v>
      </c>
      <c r="J84" t="s">
        <v>625</v>
      </c>
      <c r="K84" t="s">
        <v>626</v>
      </c>
      <c r="L84">
        <v>1368</v>
      </c>
      <c r="N84">
        <v>1011</v>
      </c>
      <c r="O84" t="s">
        <v>488</v>
      </c>
      <c r="P84" t="s">
        <v>488</v>
      </c>
      <c r="Q84">
        <v>1</v>
      </c>
      <c r="W84">
        <v>0</v>
      </c>
      <c r="X84">
        <v>-952997434</v>
      </c>
      <c r="Y84">
        <f t="shared" si="23"/>
        <v>5.93</v>
      </c>
      <c r="AA84">
        <v>0</v>
      </c>
      <c r="AB84">
        <v>16.309999999999999</v>
      </c>
      <c r="AC84">
        <v>0</v>
      </c>
      <c r="AD84">
        <v>0</v>
      </c>
      <c r="AE84">
        <v>0</v>
      </c>
      <c r="AF84">
        <v>8.5399999999999991</v>
      </c>
      <c r="AG84">
        <v>0</v>
      </c>
      <c r="AH84">
        <v>0</v>
      </c>
      <c r="AI84">
        <v>1</v>
      </c>
      <c r="AJ84">
        <v>1.91</v>
      </c>
      <c r="AK84">
        <v>1</v>
      </c>
      <c r="AL84">
        <v>1</v>
      </c>
      <c r="AM84">
        <v>2</v>
      </c>
      <c r="AN84">
        <v>0</v>
      </c>
      <c r="AO84">
        <v>0</v>
      </c>
      <c r="AP84">
        <v>1</v>
      </c>
      <c r="AQ84">
        <v>1</v>
      </c>
      <c r="AR84">
        <v>0</v>
      </c>
      <c r="AS84" t="s">
        <v>3</v>
      </c>
      <c r="AT84">
        <v>5.93</v>
      </c>
      <c r="AU84" t="s">
        <v>3</v>
      </c>
      <c r="AV84">
        <v>1</v>
      </c>
      <c r="AW84">
        <v>2</v>
      </c>
      <c r="AX84">
        <v>74016283</v>
      </c>
      <c r="AY84">
        <v>1</v>
      </c>
      <c r="AZ84">
        <v>0</v>
      </c>
      <c r="BA84">
        <v>95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50.642199999999995</v>
      </c>
      <c r="BL84">
        <v>0</v>
      </c>
      <c r="BM84">
        <v>0</v>
      </c>
      <c r="BN84">
        <v>0</v>
      </c>
      <c r="BO84">
        <v>0</v>
      </c>
      <c r="BP84">
        <v>1</v>
      </c>
      <c r="BQ84">
        <v>0</v>
      </c>
      <c r="BR84">
        <v>50.642199999999995</v>
      </c>
      <c r="BS84">
        <v>0</v>
      </c>
      <c r="BT84">
        <v>0</v>
      </c>
      <c r="BU84">
        <v>0</v>
      </c>
      <c r="BV84">
        <v>0</v>
      </c>
      <c r="BW84">
        <v>1</v>
      </c>
      <c r="CV84">
        <v>0</v>
      </c>
      <c r="CW84">
        <f>ROUND(Y84*Source!I93*DO84,7)</f>
        <v>0</v>
      </c>
      <c r="CX84">
        <f>ROUND(Y84*Source!I93,7)</f>
        <v>3.2377799999999998E-2</v>
      </c>
      <c r="CY84">
        <f>AB84</f>
        <v>16.309999999999999</v>
      </c>
      <c r="CZ84">
        <f>AF84</f>
        <v>8.5399999999999991</v>
      </c>
      <c r="DA84">
        <f>AJ84</f>
        <v>1.91</v>
      </c>
      <c r="DB84">
        <f t="shared" si="24"/>
        <v>50.64</v>
      </c>
      <c r="DC84">
        <f t="shared" si="25"/>
        <v>0</v>
      </c>
      <c r="DD84" t="s">
        <v>3</v>
      </c>
      <c r="DE84" t="s">
        <v>3</v>
      </c>
      <c r="DF84">
        <f t="shared" si="28"/>
        <v>0</v>
      </c>
      <c r="DG84">
        <f>ROUND(ROUND(AF84*AJ84,2)*CX84,2)</f>
        <v>0.53</v>
      </c>
      <c r="DH84">
        <f t="shared" si="26"/>
        <v>0</v>
      </c>
      <c r="DI84">
        <f t="shared" si="27"/>
        <v>0</v>
      </c>
      <c r="DJ84">
        <f>DG84+DH84</f>
        <v>0.53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ROW(Source!A93)</f>
        <v>93</v>
      </c>
      <c r="B85">
        <v>74014550</v>
      </c>
      <c r="C85">
        <v>74016271</v>
      </c>
      <c r="D85">
        <v>72646931</v>
      </c>
      <c r="E85">
        <v>1</v>
      </c>
      <c r="F85">
        <v>1</v>
      </c>
      <c r="G85">
        <v>1</v>
      </c>
      <c r="H85">
        <v>2</v>
      </c>
      <c r="I85" t="s">
        <v>545</v>
      </c>
      <c r="J85" t="s">
        <v>546</v>
      </c>
      <c r="K85" t="s">
        <v>547</v>
      </c>
      <c r="L85">
        <v>1368</v>
      </c>
      <c r="N85">
        <v>1011</v>
      </c>
      <c r="O85" t="s">
        <v>488</v>
      </c>
      <c r="P85" t="s">
        <v>488</v>
      </c>
      <c r="Q85">
        <v>1</v>
      </c>
      <c r="W85">
        <v>0</v>
      </c>
      <c r="X85">
        <v>4063365</v>
      </c>
      <c r="Y85">
        <f t="shared" si="23"/>
        <v>0.12</v>
      </c>
      <c r="AA85">
        <v>0</v>
      </c>
      <c r="AB85">
        <v>655.95</v>
      </c>
      <c r="AC85">
        <v>400.24</v>
      </c>
      <c r="AD85">
        <v>0</v>
      </c>
      <c r="AE85">
        <v>0</v>
      </c>
      <c r="AF85">
        <v>655.95</v>
      </c>
      <c r="AG85">
        <v>400.24</v>
      </c>
      <c r="AH85">
        <v>0</v>
      </c>
      <c r="AI85">
        <v>1</v>
      </c>
      <c r="AJ85">
        <v>1</v>
      </c>
      <c r="AK85">
        <v>1</v>
      </c>
      <c r="AL85">
        <v>1</v>
      </c>
      <c r="AM85">
        <v>-2</v>
      </c>
      <c r="AN85">
        <v>0</v>
      </c>
      <c r="AO85">
        <v>0</v>
      </c>
      <c r="AP85">
        <v>1</v>
      </c>
      <c r="AQ85">
        <v>1</v>
      </c>
      <c r="AR85">
        <v>0</v>
      </c>
      <c r="AS85" t="s">
        <v>3</v>
      </c>
      <c r="AT85">
        <v>0.12</v>
      </c>
      <c r="AU85" t="s">
        <v>3</v>
      </c>
      <c r="AV85">
        <v>1</v>
      </c>
      <c r="AW85">
        <v>2</v>
      </c>
      <c r="AX85">
        <v>74016284</v>
      </c>
      <c r="AY85">
        <v>1</v>
      </c>
      <c r="AZ85">
        <v>0</v>
      </c>
      <c r="BA85">
        <v>96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78.713999999999999</v>
      </c>
      <c r="BL85">
        <v>48.028799999999997</v>
      </c>
      <c r="BM85">
        <v>0</v>
      </c>
      <c r="BN85">
        <v>0</v>
      </c>
      <c r="BO85">
        <v>0.12</v>
      </c>
      <c r="BP85">
        <v>1</v>
      </c>
      <c r="BQ85">
        <v>0</v>
      </c>
      <c r="BR85">
        <v>78.713999999999999</v>
      </c>
      <c r="BS85">
        <v>48.028799999999997</v>
      </c>
      <c r="BT85">
        <v>0</v>
      </c>
      <c r="BU85">
        <v>0</v>
      </c>
      <c r="BV85">
        <v>0.12</v>
      </c>
      <c r="BW85">
        <v>1</v>
      </c>
      <c r="CV85">
        <v>0</v>
      </c>
      <c r="CW85">
        <f>ROUND(Y85*Source!I93*DO85,7)</f>
        <v>6.5519999999999999E-4</v>
      </c>
      <c r="CX85">
        <f>ROUND(Y85*Source!I93,7)</f>
        <v>6.5519999999999999E-4</v>
      </c>
      <c r="CY85">
        <f>AB85</f>
        <v>655.95</v>
      </c>
      <c r="CZ85">
        <f>AF85</f>
        <v>655.95</v>
      </c>
      <c r="DA85">
        <f>AJ85</f>
        <v>1</v>
      </c>
      <c r="DB85">
        <f t="shared" si="24"/>
        <v>78.709999999999994</v>
      </c>
      <c r="DC85">
        <f t="shared" si="25"/>
        <v>48.03</v>
      </c>
      <c r="DD85" t="s">
        <v>3</v>
      </c>
      <c r="DE85" t="s">
        <v>3</v>
      </c>
      <c r="DF85">
        <f t="shared" si="28"/>
        <v>0</v>
      </c>
      <c r="DG85">
        <f t="shared" ref="DG85:DG99" si="29">ROUND(ROUND(AF85,2)*CX85,2)</f>
        <v>0.43</v>
      </c>
      <c r="DH85">
        <f t="shared" si="26"/>
        <v>0.26</v>
      </c>
      <c r="DI85">
        <f t="shared" si="27"/>
        <v>0</v>
      </c>
      <c r="DJ85">
        <f>DG85+DH85</f>
        <v>0.69</v>
      </c>
      <c r="DK85">
        <v>1</v>
      </c>
      <c r="DL85" t="s">
        <v>514</v>
      </c>
      <c r="DM85">
        <v>4</v>
      </c>
      <c r="DN85" t="s">
        <v>484</v>
      </c>
      <c r="DO85">
        <v>1</v>
      </c>
    </row>
    <row r="86" spans="1:119" x14ac:dyDescent="0.2">
      <c r="A86">
        <f>ROW(Source!A93)</f>
        <v>93</v>
      </c>
      <c r="B86">
        <v>74014550</v>
      </c>
      <c r="C86">
        <v>74016271</v>
      </c>
      <c r="D86">
        <v>72591341</v>
      </c>
      <c r="E86">
        <v>1</v>
      </c>
      <c r="F86">
        <v>1</v>
      </c>
      <c r="G86">
        <v>1</v>
      </c>
      <c r="H86">
        <v>3</v>
      </c>
      <c r="I86" t="s">
        <v>627</v>
      </c>
      <c r="J86" t="s">
        <v>628</v>
      </c>
      <c r="K86" t="s">
        <v>629</v>
      </c>
      <c r="L86">
        <v>1339</v>
      </c>
      <c r="N86">
        <v>1007</v>
      </c>
      <c r="O86" t="s">
        <v>48</v>
      </c>
      <c r="P86" t="s">
        <v>48</v>
      </c>
      <c r="Q86">
        <v>1</v>
      </c>
      <c r="W86">
        <v>0</v>
      </c>
      <c r="X86">
        <v>-1357846128</v>
      </c>
      <c r="Y86">
        <f t="shared" si="23"/>
        <v>1.75</v>
      </c>
      <c r="AA86">
        <v>31.42</v>
      </c>
      <c r="AB86">
        <v>0</v>
      </c>
      <c r="AC86">
        <v>0</v>
      </c>
      <c r="AD86">
        <v>0</v>
      </c>
      <c r="AE86">
        <v>35.71</v>
      </c>
      <c r="AF86">
        <v>0</v>
      </c>
      <c r="AG86">
        <v>0</v>
      </c>
      <c r="AH86">
        <v>0</v>
      </c>
      <c r="AI86">
        <v>0.88</v>
      </c>
      <c r="AJ86">
        <v>1</v>
      </c>
      <c r="AK86">
        <v>1</v>
      </c>
      <c r="AL86">
        <v>1</v>
      </c>
      <c r="AM86">
        <v>2</v>
      </c>
      <c r="AN86">
        <v>0</v>
      </c>
      <c r="AO86">
        <v>0</v>
      </c>
      <c r="AP86">
        <v>1</v>
      </c>
      <c r="AQ86">
        <v>1</v>
      </c>
      <c r="AR86">
        <v>0</v>
      </c>
      <c r="AS86" t="s">
        <v>3</v>
      </c>
      <c r="AT86">
        <v>1.75</v>
      </c>
      <c r="AU86" t="s">
        <v>3</v>
      </c>
      <c r="AV86">
        <v>0</v>
      </c>
      <c r="AW86">
        <v>2</v>
      </c>
      <c r="AX86">
        <v>74016285</v>
      </c>
      <c r="AY86">
        <v>1</v>
      </c>
      <c r="AZ86">
        <v>0</v>
      </c>
      <c r="BA86">
        <v>97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62.4925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62.4925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CV86">
        <v>0</v>
      </c>
      <c r="CW86">
        <v>0</v>
      </c>
      <c r="CX86">
        <f>ROUND(Y86*Source!I93,7)</f>
        <v>9.5549999999999993E-3</v>
      </c>
      <c r="CY86">
        <f>AA86</f>
        <v>31.42</v>
      </c>
      <c r="CZ86">
        <f>AE86</f>
        <v>35.71</v>
      </c>
      <c r="DA86">
        <f>AI86</f>
        <v>0.88</v>
      </c>
      <c r="DB86">
        <f t="shared" si="24"/>
        <v>62.49</v>
      </c>
      <c r="DC86">
        <f t="shared" si="25"/>
        <v>0</v>
      </c>
      <c r="DD86" t="s">
        <v>3</v>
      </c>
      <c r="DE86" t="s">
        <v>3</v>
      </c>
      <c r="DF86">
        <f>ROUND(ROUND(AE86*AI86,2)*CX86,2)</f>
        <v>0.3</v>
      </c>
      <c r="DG86">
        <f t="shared" si="29"/>
        <v>0</v>
      </c>
      <c r="DH86">
        <f t="shared" si="26"/>
        <v>0</v>
      </c>
      <c r="DI86">
        <f t="shared" si="27"/>
        <v>0</v>
      </c>
      <c r="DJ86">
        <f>DF86</f>
        <v>0.3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ROW(Source!A93)</f>
        <v>93</v>
      </c>
      <c r="B87">
        <v>74014550</v>
      </c>
      <c r="C87">
        <v>74016271</v>
      </c>
      <c r="D87">
        <v>72591655</v>
      </c>
      <c r="E87">
        <v>1</v>
      </c>
      <c r="F87">
        <v>1</v>
      </c>
      <c r="G87">
        <v>1</v>
      </c>
      <c r="H87">
        <v>3</v>
      </c>
      <c r="I87" t="s">
        <v>630</v>
      </c>
      <c r="J87" t="s">
        <v>631</v>
      </c>
      <c r="K87" t="s">
        <v>632</v>
      </c>
      <c r="L87">
        <v>1327</v>
      </c>
      <c r="N87">
        <v>1005</v>
      </c>
      <c r="O87" t="s">
        <v>633</v>
      </c>
      <c r="P87" t="s">
        <v>633</v>
      </c>
      <c r="Q87">
        <v>1</v>
      </c>
      <c r="W87">
        <v>0</v>
      </c>
      <c r="X87">
        <v>1456637857</v>
      </c>
      <c r="Y87">
        <f t="shared" si="23"/>
        <v>250</v>
      </c>
      <c r="AA87">
        <v>13.98</v>
      </c>
      <c r="AB87">
        <v>0</v>
      </c>
      <c r="AC87">
        <v>0</v>
      </c>
      <c r="AD87">
        <v>0</v>
      </c>
      <c r="AE87">
        <v>12.83</v>
      </c>
      <c r="AF87">
        <v>0</v>
      </c>
      <c r="AG87">
        <v>0</v>
      </c>
      <c r="AH87">
        <v>0</v>
      </c>
      <c r="AI87">
        <v>1.0900000000000001</v>
      </c>
      <c r="AJ87">
        <v>1</v>
      </c>
      <c r="AK87">
        <v>1</v>
      </c>
      <c r="AL87">
        <v>1</v>
      </c>
      <c r="AM87">
        <v>2</v>
      </c>
      <c r="AN87">
        <v>0</v>
      </c>
      <c r="AO87">
        <v>0</v>
      </c>
      <c r="AP87">
        <v>1</v>
      </c>
      <c r="AQ87">
        <v>1</v>
      </c>
      <c r="AR87">
        <v>0</v>
      </c>
      <c r="AS87" t="s">
        <v>3</v>
      </c>
      <c r="AT87">
        <v>250</v>
      </c>
      <c r="AU87" t="s">
        <v>3</v>
      </c>
      <c r="AV87">
        <v>0</v>
      </c>
      <c r="AW87">
        <v>2</v>
      </c>
      <c r="AX87">
        <v>74016286</v>
      </c>
      <c r="AY87">
        <v>1</v>
      </c>
      <c r="AZ87">
        <v>0</v>
      </c>
      <c r="BA87">
        <v>98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3207.5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</v>
      </c>
      <c r="BQ87">
        <v>3207.5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CV87">
        <v>0</v>
      </c>
      <c r="CW87">
        <v>0</v>
      </c>
      <c r="CX87">
        <f>ROUND(Y87*Source!I93,7)</f>
        <v>1.365</v>
      </c>
      <c r="CY87">
        <f>AA87</f>
        <v>13.98</v>
      </c>
      <c r="CZ87">
        <f>AE87</f>
        <v>12.83</v>
      </c>
      <c r="DA87">
        <f>AI87</f>
        <v>1.0900000000000001</v>
      </c>
      <c r="DB87">
        <f t="shared" si="24"/>
        <v>3207.5</v>
      </c>
      <c r="DC87">
        <f t="shared" si="25"/>
        <v>0</v>
      </c>
      <c r="DD87" t="s">
        <v>3</v>
      </c>
      <c r="DE87" t="s">
        <v>3</v>
      </c>
      <c r="DF87">
        <f>ROUND(ROUND(AE87*AI87,2)*CX87,2)</f>
        <v>19.079999999999998</v>
      </c>
      <c r="DG87">
        <f t="shared" si="29"/>
        <v>0</v>
      </c>
      <c r="DH87">
        <f t="shared" si="26"/>
        <v>0</v>
      </c>
      <c r="DI87">
        <f t="shared" si="27"/>
        <v>0</v>
      </c>
      <c r="DJ87">
        <f>DF87</f>
        <v>19.079999999999998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ROW(Source!A93)</f>
        <v>93</v>
      </c>
      <c r="B88">
        <v>74014550</v>
      </c>
      <c r="C88">
        <v>74016271</v>
      </c>
      <c r="D88">
        <v>72595006</v>
      </c>
      <c r="E88">
        <v>1</v>
      </c>
      <c r="F88">
        <v>1</v>
      </c>
      <c r="G88">
        <v>1</v>
      </c>
      <c r="H88">
        <v>3</v>
      </c>
      <c r="I88" t="s">
        <v>237</v>
      </c>
      <c r="J88" t="s">
        <v>239</v>
      </c>
      <c r="K88" t="s">
        <v>238</v>
      </c>
      <c r="L88">
        <v>1339</v>
      </c>
      <c r="N88">
        <v>1007</v>
      </c>
      <c r="O88" t="s">
        <v>48</v>
      </c>
      <c r="P88" t="s">
        <v>48</v>
      </c>
      <c r="Q88">
        <v>1</v>
      </c>
      <c r="W88">
        <v>0</v>
      </c>
      <c r="X88">
        <v>1140672670</v>
      </c>
      <c r="Y88">
        <f t="shared" si="23"/>
        <v>102</v>
      </c>
      <c r="AA88">
        <v>6914.48</v>
      </c>
      <c r="AB88">
        <v>0</v>
      </c>
      <c r="AC88">
        <v>0</v>
      </c>
      <c r="AD88">
        <v>0</v>
      </c>
      <c r="AE88">
        <v>4768.6099999999997</v>
      </c>
      <c r="AF88">
        <v>0</v>
      </c>
      <c r="AG88">
        <v>0</v>
      </c>
      <c r="AH88">
        <v>0</v>
      </c>
      <c r="AI88">
        <v>1.45</v>
      </c>
      <c r="AJ88">
        <v>1</v>
      </c>
      <c r="AK88">
        <v>1</v>
      </c>
      <c r="AL88">
        <v>1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0</v>
      </c>
      <c r="AS88" t="s">
        <v>3</v>
      </c>
      <c r="AT88">
        <v>102</v>
      </c>
      <c r="AU88" t="s">
        <v>3</v>
      </c>
      <c r="AV88">
        <v>0</v>
      </c>
      <c r="AW88">
        <v>1</v>
      </c>
      <c r="AX88">
        <v>-1</v>
      </c>
      <c r="AY88">
        <v>0</v>
      </c>
      <c r="AZ88">
        <v>0</v>
      </c>
      <c r="BA88" t="s">
        <v>3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CV88">
        <v>0</v>
      </c>
      <c r="CW88">
        <v>0</v>
      </c>
      <c r="CX88">
        <f>ROUND(Y88*Source!I93,7)</f>
        <v>0.55691999999999997</v>
      </c>
      <c r="CY88">
        <f>AA88</f>
        <v>6914.48</v>
      </c>
      <c r="CZ88">
        <f>AE88</f>
        <v>4768.6099999999997</v>
      </c>
      <c r="DA88">
        <f>AI88</f>
        <v>1.45</v>
      </c>
      <c r="DB88">
        <f t="shared" si="24"/>
        <v>486398.22</v>
      </c>
      <c r="DC88">
        <f t="shared" si="25"/>
        <v>0</v>
      </c>
      <c r="DD88" t="s">
        <v>3</v>
      </c>
      <c r="DE88" t="s">
        <v>3</v>
      </c>
      <c r="DF88">
        <f>ROUND(ROUND(AE88*AI88,2)*CX88,2)</f>
        <v>3850.81</v>
      </c>
      <c r="DG88">
        <f t="shared" si="29"/>
        <v>0</v>
      </c>
      <c r="DH88">
        <f t="shared" si="26"/>
        <v>0</v>
      </c>
      <c r="DI88">
        <f t="shared" si="27"/>
        <v>0</v>
      </c>
      <c r="DJ88">
        <f>DF88</f>
        <v>3850.81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ROW(Source!A95)</f>
        <v>95</v>
      </c>
      <c r="B89">
        <v>74014550</v>
      </c>
      <c r="C89">
        <v>74016289</v>
      </c>
      <c r="D89">
        <v>20049217</v>
      </c>
      <c r="E89">
        <v>119</v>
      </c>
      <c r="F89">
        <v>1</v>
      </c>
      <c r="G89">
        <v>1</v>
      </c>
      <c r="H89">
        <v>1</v>
      </c>
      <c r="I89" t="s">
        <v>634</v>
      </c>
      <c r="J89" t="s">
        <v>3</v>
      </c>
      <c r="K89" t="s">
        <v>635</v>
      </c>
      <c r="L89">
        <v>1191</v>
      </c>
      <c r="N89">
        <v>1013</v>
      </c>
      <c r="O89" t="s">
        <v>484</v>
      </c>
      <c r="P89" t="s">
        <v>484</v>
      </c>
      <c r="Q89">
        <v>1</v>
      </c>
      <c r="W89">
        <v>0</v>
      </c>
      <c r="X89">
        <v>32079103</v>
      </c>
      <c r="Y89">
        <f t="shared" si="23"/>
        <v>289</v>
      </c>
      <c r="AA89">
        <v>0</v>
      </c>
      <c r="AB89">
        <v>0</v>
      </c>
      <c r="AC89">
        <v>0</v>
      </c>
      <c r="AD89">
        <v>368.88</v>
      </c>
      <c r="AE89">
        <v>0</v>
      </c>
      <c r="AF89">
        <v>0</v>
      </c>
      <c r="AG89">
        <v>0</v>
      </c>
      <c r="AH89">
        <v>368.88</v>
      </c>
      <c r="AI89">
        <v>1</v>
      </c>
      <c r="AJ89">
        <v>1</v>
      </c>
      <c r="AK89">
        <v>1</v>
      </c>
      <c r="AL89">
        <v>1</v>
      </c>
      <c r="AM89">
        <v>-2</v>
      </c>
      <c r="AN89">
        <v>0</v>
      </c>
      <c r="AO89">
        <v>0</v>
      </c>
      <c r="AP89">
        <v>1</v>
      </c>
      <c r="AQ89">
        <v>1</v>
      </c>
      <c r="AR89">
        <v>0</v>
      </c>
      <c r="AS89" t="s">
        <v>3</v>
      </c>
      <c r="AT89">
        <v>289</v>
      </c>
      <c r="AU89" t="s">
        <v>3</v>
      </c>
      <c r="AV89">
        <v>1</v>
      </c>
      <c r="AW89">
        <v>2</v>
      </c>
      <c r="AX89">
        <v>74016296</v>
      </c>
      <c r="AY89">
        <v>1</v>
      </c>
      <c r="AZ89">
        <v>0</v>
      </c>
      <c r="BA89">
        <v>100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106606.31999999999</v>
      </c>
      <c r="BN89">
        <v>289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106606.31999999999</v>
      </c>
      <c r="BU89">
        <v>289</v>
      </c>
      <c r="BV89">
        <v>0</v>
      </c>
      <c r="BW89">
        <v>1</v>
      </c>
      <c r="CU89">
        <f>ROUND(AT89*Source!I95*AH89*AL89,2)</f>
        <v>106.61</v>
      </c>
      <c r="CV89">
        <f>ROUND(Y89*Source!I95,7)</f>
        <v>0.28899999999999998</v>
      </c>
      <c r="CW89">
        <v>0</v>
      </c>
      <c r="CX89">
        <f>ROUND(Y89*Source!I95,7)</f>
        <v>0.28899999999999998</v>
      </c>
      <c r="CY89">
        <f>AD89</f>
        <v>368.88</v>
      </c>
      <c r="CZ89">
        <f>AH89</f>
        <v>368.88</v>
      </c>
      <c r="DA89">
        <f>AL89</f>
        <v>1</v>
      </c>
      <c r="DB89">
        <f t="shared" si="24"/>
        <v>106606.32</v>
      </c>
      <c r="DC89">
        <f t="shared" si="25"/>
        <v>0</v>
      </c>
      <c r="DD89" t="s">
        <v>3</v>
      </c>
      <c r="DE89" t="s">
        <v>3</v>
      </c>
      <c r="DF89">
        <f>ROUND(ROUND(AE89,2)*CX89,2)</f>
        <v>0</v>
      </c>
      <c r="DG89">
        <f t="shared" si="29"/>
        <v>0</v>
      </c>
      <c r="DH89">
        <f t="shared" si="26"/>
        <v>0</v>
      </c>
      <c r="DI89">
        <f t="shared" si="27"/>
        <v>106.61</v>
      </c>
      <c r="DJ89">
        <f>DI89</f>
        <v>106.61</v>
      </c>
      <c r="DK89">
        <v>1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ROW(Source!A95)</f>
        <v>95</v>
      </c>
      <c r="B90">
        <v>74014550</v>
      </c>
      <c r="C90">
        <v>74016289</v>
      </c>
      <c r="D90">
        <v>20049115</v>
      </c>
      <c r="E90">
        <v>119</v>
      </c>
      <c r="F90">
        <v>1</v>
      </c>
      <c r="G90">
        <v>1</v>
      </c>
      <c r="H90">
        <v>1</v>
      </c>
      <c r="I90" t="s">
        <v>482</v>
      </c>
      <c r="J90" t="s">
        <v>3</v>
      </c>
      <c r="K90" t="s">
        <v>483</v>
      </c>
      <c r="L90">
        <v>1191</v>
      </c>
      <c r="N90">
        <v>1013</v>
      </c>
      <c r="O90" t="s">
        <v>484</v>
      </c>
      <c r="P90" t="s">
        <v>484</v>
      </c>
      <c r="Q90">
        <v>1</v>
      </c>
      <c r="W90">
        <v>0</v>
      </c>
      <c r="X90">
        <v>-1417349443</v>
      </c>
      <c r="Y90">
        <f t="shared" si="23"/>
        <v>0.59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1</v>
      </c>
      <c r="AK90">
        <v>1</v>
      </c>
      <c r="AL90">
        <v>1</v>
      </c>
      <c r="AM90">
        <v>-2</v>
      </c>
      <c r="AN90">
        <v>0</v>
      </c>
      <c r="AO90">
        <v>0</v>
      </c>
      <c r="AP90">
        <v>1</v>
      </c>
      <c r="AQ90">
        <v>1</v>
      </c>
      <c r="AR90">
        <v>0</v>
      </c>
      <c r="AS90" t="s">
        <v>3</v>
      </c>
      <c r="AT90">
        <v>0.59</v>
      </c>
      <c r="AU90" t="s">
        <v>3</v>
      </c>
      <c r="AV90">
        <v>2</v>
      </c>
      <c r="AW90">
        <v>2</v>
      </c>
      <c r="AX90">
        <v>74016297</v>
      </c>
      <c r="AY90">
        <v>1</v>
      </c>
      <c r="AZ90">
        <v>0</v>
      </c>
      <c r="BA90">
        <v>101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CV90">
        <v>0</v>
      </c>
      <c r="CW90">
        <v>0</v>
      </c>
      <c r="CX90">
        <f>ROUND(Y90*Source!I95,7)</f>
        <v>5.9000000000000003E-4</v>
      </c>
      <c r="CY90">
        <f>AD90</f>
        <v>0</v>
      </c>
      <c r="CZ90">
        <f>AH90</f>
        <v>0</v>
      </c>
      <c r="DA90">
        <f>AL90</f>
        <v>1</v>
      </c>
      <c r="DB90">
        <f t="shared" si="24"/>
        <v>0</v>
      </c>
      <c r="DC90">
        <f t="shared" si="25"/>
        <v>0</v>
      </c>
      <c r="DD90" t="s">
        <v>3</v>
      </c>
      <c r="DE90" t="s">
        <v>3</v>
      </c>
      <c r="DF90">
        <f>ROUND(ROUND(AE90,2)*CX90,2)</f>
        <v>0</v>
      </c>
      <c r="DG90">
        <f t="shared" si="29"/>
        <v>0</v>
      </c>
      <c r="DH90">
        <f t="shared" si="26"/>
        <v>0</v>
      </c>
      <c r="DI90">
        <f t="shared" si="27"/>
        <v>0</v>
      </c>
      <c r="DJ90">
        <f>DI90</f>
        <v>0</v>
      </c>
      <c r="DK90">
        <v>0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ROW(Source!A95)</f>
        <v>95</v>
      </c>
      <c r="B91">
        <v>74014550</v>
      </c>
      <c r="C91">
        <v>74016289</v>
      </c>
      <c r="D91">
        <v>72646037</v>
      </c>
      <c r="E91">
        <v>1</v>
      </c>
      <c r="F91">
        <v>1</v>
      </c>
      <c r="G91">
        <v>1</v>
      </c>
      <c r="H91">
        <v>2</v>
      </c>
      <c r="I91" t="s">
        <v>636</v>
      </c>
      <c r="J91" t="s">
        <v>637</v>
      </c>
      <c r="K91" t="s">
        <v>638</v>
      </c>
      <c r="L91">
        <v>1368</v>
      </c>
      <c r="N91">
        <v>1011</v>
      </c>
      <c r="O91" t="s">
        <v>488</v>
      </c>
      <c r="P91" t="s">
        <v>488</v>
      </c>
      <c r="Q91">
        <v>1</v>
      </c>
      <c r="W91">
        <v>0</v>
      </c>
      <c r="X91">
        <v>-1791740122</v>
      </c>
      <c r="Y91">
        <f t="shared" si="23"/>
        <v>0.25</v>
      </c>
      <c r="AA91">
        <v>0</v>
      </c>
      <c r="AB91">
        <v>1836.16</v>
      </c>
      <c r="AC91">
        <v>537.64</v>
      </c>
      <c r="AD91">
        <v>0</v>
      </c>
      <c r="AE91">
        <v>0</v>
      </c>
      <c r="AF91">
        <v>1836.16</v>
      </c>
      <c r="AG91">
        <v>537.64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-2</v>
      </c>
      <c r="AN91">
        <v>0</v>
      </c>
      <c r="AO91">
        <v>0</v>
      </c>
      <c r="AP91">
        <v>1</v>
      </c>
      <c r="AQ91">
        <v>1</v>
      </c>
      <c r="AR91">
        <v>0</v>
      </c>
      <c r="AS91" t="s">
        <v>3</v>
      </c>
      <c r="AT91">
        <v>0.25</v>
      </c>
      <c r="AU91" t="s">
        <v>3</v>
      </c>
      <c r="AV91">
        <v>1</v>
      </c>
      <c r="AW91">
        <v>2</v>
      </c>
      <c r="AX91">
        <v>74016298</v>
      </c>
      <c r="AY91">
        <v>1</v>
      </c>
      <c r="AZ91">
        <v>0</v>
      </c>
      <c r="BA91">
        <v>102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459.04</v>
      </c>
      <c r="BL91">
        <v>134.41</v>
      </c>
      <c r="BM91">
        <v>0</v>
      </c>
      <c r="BN91">
        <v>0</v>
      </c>
      <c r="BO91">
        <v>0.25</v>
      </c>
      <c r="BP91">
        <v>1</v>
      </c>
      <c r="BQ91">
        <v>0</v>
      </c>
      <c r="BR91">
        <v>459.04</v>
      </c>
      <c r="BS91">
        <v>134.41</v>
      </c>
      <c r="BT91">
        <v>0</v>
      </c>
      <c r="BU91">
        <v>0</v>
      </c>
      <c r="BV91">
        <v>0.25</v>
      </c>
      <c r="BW91">
        <v>1</v>
      </c>
      <c r="CV91">
        <v>0</v>
      </c>
      <c r="CW91">
        <f>ROUND(Y91*Source!I95*DO91,7)</f>
        <v>2.5000000000000001E-4</v>
      </c>
      <c r="CX91">
        <f>ROUND(Y91*Source!I95,7)</f>
        <v>2.5000000000000001E-4</v>
      </c>
      <c r="CY91">
        <f>AB91</f>
        <v>1836.16</v>
      </c>
      <c r="CZ91">
        <f>AF91</f>
        <v>1836.16</v>
      </c>
      <c r="DA91">
        <f>AJ91</f>
        <v>1</v>
      </c>
      <c r="DB91">
        <f t="shared" si="24"/>
        <v>459.04</v>
      </c>
      <c r="DC91">
        <f t="shared" si="25"/>
        <v>134.41</v>
      </c>
      <c r="DD91" t="s">
        <v>3</v>
      </c>
      <c r="DE91" t="s">
        <v>3</v>
      </c>
      <c r="DF91">
        <f>ROUND(ROUND(AE91,2)*CX91,2)</f>
        <v>0</v>
      </c>
      <c r="DG91">
        <f t="shared" si="29"/>
        <v>0.46</v>
      </c>
      <c r="DH91">
        <f t="shared" si="26"/>
        <v>0.13</v>
      </c>
      <c r="DI91">
        <f t="shared" si="27"/>
        <v>0</v>
      </c>
      <c r="DJ91">
        <f>DG91+DH91</f>
        <v>0.59000000000000008</v>
      </c>
      <c r="DK91">
        <v>1</v>
      </c>
      <c r="DL91" t="s">
        <v>489</v>
      </c>
      <c r="DM91">
        <v>6</v>
      </c>
      <c r="DN91" t="s">
        <v>484</v>
      </c>
      <c r="DO91">
        <v>1</v>
      </c>
    </row>
    <row r="92" spans="1:119" x14ac:dyDescent="0.2">
      <c r="A92">
        <f>ROW(Source!A95)</f>
        <v>95</v>
      </c>
      <c r="B92">
        <v>74014550</v>
      </c>
      <c r="C92">
        <v>74016289</v>
      </c>
      <c r="D92">
        <v>72646931</v>
      </c>
      <c r="E92">
        <v>1</v>
      </c>
      <c r="F92">
        <v>1</v>
      </c>
      <c r="G92">
        <v>1</v>
      </c>
      <c r="H92">
        <v>2</v>
      </c>
      <c r="I92" t="s">
        <v>545</v>
      </c>
      <c r="J92" t="s">
        <v>546</v>
      </c>
      <c r="K92" t="s">
        <v>547</v>
      </c>
      <c r="L92">
        <v>1368</v>
      </c>
      <c r="N92">
        <v>1011</v>
      </c>
      <c r="O92" t="s">
        <v>488</v>
      </c>
      <c r="P92" t="s">
        <v>488</v>
      </c>
      <c r="Q92">
        <v>1</v>
      </c>
      <c r="W92">
        <v>0</v>
      </c>
      <c r="X92">
        <v>4063365</v>
      </c>
      <c r="Y92">
        <f t="shared" si="23"/>
        <v>0.34</v>
      </c>
      <c r="AA92">
        <v>0</v>
      </c>
      <c r="AB92">
        <v>655.95</v>
      </c>
      <c r="AC92">
        <v>400.24</v>
      </c>
      <c r="AD92">
        <v>0</v>
      </c>
      <c r="AE92">
        <v>0</v>
      </c>
      <c r="AF92">
        <v>655.95</v>
      </c>
      <c r="AG92">
        <v>400.24</v>
      </c>
      <c r="AH92">
        <v>0</v>
      </c>
      <c r="AI92">
        <v>1</v>
      </c>
      <c r="AJ92">
        <v>1</v>
      </c>
      <c r="AK92">
        <v>1</v>
      </c>
      <c r="AL92">
        <v>1</v>
      </c>
      <c r="AM92">
        <v>-2</v>
      </c>
      <c r="AN92">
        <v>0</v>
      </c>
      <c r="AO92">
        <v>0</v>
      </c>
      <c r="AP92">
        <v>1</v>
      </c>
      <c r="AQ92">
        <v>1</v>
      </c>
      <c r="AR92">
        <v>0</v>
      </c>
      <c r="AS92" t="s">
        <v>3</v>
      </c>
      <c r="AT92">
        <v>0.34</v>
      </c>
      <c r="AU92" t="s">
        <v>3</v>
      </c>
      <c r="AV92">
        <v>1</v>
      </c>
      <c r="AW92">
        <v>2</v>
      </c>
      <c r="AX92">
        <v>74016299</v>
      </c>
      <c r="AY92">
        <v>1</v>
      </c>
      <c r="AZ92">
        <v>0</v>
      </c>
      <c r="BA92">
        <v>103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223.02300000000002</v>
      </c>
      <c r="BL92">
        <v>136.08160000000001</v>
      </c>
      <c r="BM92">
        <v>0</v>
      </c>
      <c r="BN92">
        <v>0</v>
      </c>
      <c r="BO92">
        <v>0.34</v>
      </c>
      <c r="BP92">
        <v>1</v>
      </c>
      <c r="BQ92">
        <v>0</v>
      </c>
      <c r="BR92">
        <v>223.02300000000002</v>
      </c>
      <c r="BS92">
        <v>136.08160000000001</v>
      </c>
      <c r="BT92">
        <v>0</v>
      </c>
      <c r="BU92">
        <v>0</v>
      </c>
      <c r="BV92">
        <v>0.34</v>
      </c>
      <c r="BW92">
        <v>1</v>
      </c>
      <c r="CV92">
        <v>0</v>
      </c>
      <c r="CW92">
        <f>ROUND(Y92*Source!I95*DO92,7)</f>
        <v>3.4000000000000002E-4</v>
      </c>
      <c r="CX92">
        <f>ROUND(Y92*Source!I95,7)</f>
        <v>3.4000000000000002E-4</v>
      </c>
      <c r="CY92">
        <f>AB92</f>
        <v>655.95</v>
      </c>
      <c r="CZ92">
        <f>AF92</f>
        <v>655.95</v>
      </c>
      <c r="DA92">
        <f>AJ92</f>
        <v>1</v>
      </c>
      <c r="DB92">
        <f t="shared" si="24"/>
        <v>223.02</v>
      </c>
      <c r="DC92">
        <f t="shared" si="25"/>
        <v>136.08000000000001</v>
      </c>
      <c r="DD92" t="s">
        <v>3</v>
      </c>
      <c r="DE92" t="s">
        <v>3</v>
      </c>
      <c r="DF92">
        <f>ROUND(ROUND(AE92,2)*CX92,2)</f>
        <v>0</v>
      </c>
      <c r="DG92">
        <f t="shared" si="29"/>
        <v>0.22</v>
      </c>
      <c r="DH92">
        <f t="shared" si="26"/>
        <v>0.14000000000000001</v>
      </c>
      <c r="DI92">
        <f t="shared" si="27"/>
        <v>0</v>
      </c>
      <c r="DJ92">
        <f>DG92+DH92</f>
        <v>0.36</v>
      </c>
      <c r="DK92">
        <v>1</v>
      </c>
      <c r="DL92" t="s">
        <v>514</v>
      </c>
      <c r="DM92">
        <v>4</v>
      </c>
      <c r="DN92" t="s">
        <v>484</v>
      </c>
      <c r="DO92">
        <v>1</v>
      </c>
    </row>
    <row r="93" spans="1:119" x14ac:dyDescent="0.2">
      <c r="A93">
        <f>ROW(Source!A95)</f>
        <v>95</v>
      </c>
      <c r="B93">
        <v>74014550</v>
      </c>
      <c r="C93">
        <v>74016289</v>
      </c>
      <c r="D93">
        <v>72598147</v>
      </c>
      <c r="E93">
        <v>1</v>
      </c>
      <c r="F93">
        <v>1</v>
      </c>
      <c r="G93">
        <v>1</v>
      </c>
      <c r="H93">
        <v>3</v>
      </c>
      <c r="I93" t="s">
        <v>639</v>
      </c>
      <c r="J93" t="s">
        <v>640</v>
      </c>
      <c r="K93" t="s">
        <v>641</v>
      </c>
      <c r="L93">
        <v>1371</v>
      </c>
      <c r="N93">
        <v>1013</v>
      </c>
      <c r="O93" t="s">
        <v>130</v>
      </c>
      <c r="P93" t="s">
        <v>130</v>
      </c>
      <c r="Q93">
        <v>1</v>
      </c>
      <c r="W93">
        <v>0</v>
      </c>
      <c r="X93">
        <v>-1724251479</v>
      </c>
      <c r="Y93">
        <f t="shared" si="23"/>
        <v>0.01</v>
      </c>
      <c r="AA93">
        <v>82371.28</v>
      </c>
      <c r="AB93">
        <v>0</v>
      </c>
      <c r="AC93">
        <v>0</v>
      </c>
      <c r="AD93">
        <v>0</v>
      </c>
      <c r="AE93">
        <v>61015.76</v>
      </c>
      <c r="AF93">
        <v>0</v>
      </c>
      <c r="AG93">
        <v>0</v>
      </c>
      <c r="AH93">
        <v>0</v>
      </c>
      <c r="AI93">
        <v>1.35</v>
      </c>
      <c r="AJ93">
        <v>1</v>
      </c>
      <c r="AK93">
        <v>1</v>
      </c>
      <c r="AL93">
        <v>1</v>
      </c>
      <c r="AM93">
        <v>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0.01</v>
      </c>
      <c r="AU93" t="s">
        <v>3</v>
      </c>
      <c r="AV93">
        <v>0</v>
      </c>
      <c r="AW93">
        <v>2</v>
      </c>
      <c r="AX93">
        <v>74016300</v>
      </c>
      <c r="AY93">
        <v>1</v>
      </c>
      <c r="AZ93">
        <v>0</v>
      </c>
      <c r="BA93">
        <v>104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610.1576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610.1576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CV93">
        <v>0</v>
      </c>
      <c r="CW93">
        <v>0</v>
      </c>
      <c r="CX93">
        <f>ROUND(Y93*Source!I95,7)</f>
        <v>1.0000000000000001E-5</v>
      </c>
      <c r="CY93">
        <f>AA93</f>
        <v>82371.28</v>
      </c>
      <c r="CZ93">
        <f>AE93</f>
        <v>61015.76</v>
      </c>
      <c r="DA93">
        <f>AI93</f>
        <v>1.35</v>
      </c>
      <c r="DB93">
        <f t="shared" si="24"/>
        <v>610.16</v>
      </c>
      <c r="DC93">
        <f t="shared" si="25"/>
        <v>0</v>
      </c>
      <c r="DD93" t="s">
        <v>3</v>
      </c>
      <c r="DE93" t="s">
        <v>3</v>
      </c>
      <c r="DF93">
        <f>ROUND(ROUND(AE93*AI93,2)*CX93,2)</f>
        <v>0.82</v>
      </c>
      <c r="DG93">
        <f t="shared" si="29"/>
        <v>0</v>
      </c>
      <c r="DH93">
        <f t="shared" si="26"/>
        <v>0</v>
      </c>
      <c r="DI93">
        <f t="shared" si="27"/>
        <v>0</v>
      </c>
      <c r="DJ93">
        <f>DF93</f>
        <v>0.82</v>
      </c>
      <c r="DK93">
        <v>0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ROW(Source!A95)</f>
        <v>95</v>
      </c>
      <c r="B94">
        <v>74014550</v>
      </c>
      <c r="C94">
        <v>74016289</v>
      </c>
      <c r="D94">
        <v>72600870</v>
      </c>
      <c r="E94">
        <v>1</v>
      </c>
      <c r="F94">
        <v>1</v>
      </c>
      <c r="G94">
        <v>1</v>
      </c>
      <c r="H94">
        <v>3</v>
      </c>
      <c r="I94" t="s">
        <v>246</v>
      </c>
      <c r="J94" t="s">
        <v>248</v>
      </c>
      <c r="K94" t="s">
        <v>247</v>
      </c>
      <c r="L94">
        <v>1348</v>
      </c>
      <c r="N94">
        <v>1009</v>
      </c>
      <c r="O94" t="s">
        <v>243</v>
      </c>
      <c r="P94" t="s">
        <v>243</v>
      </c>
      <c r="Q94">
        <v>1000</v>
      </c>
      <c r="W94">
        <v>0</v>
      </c>
      <c r="X94">
        <v>717363889</v>
      </c>
      <c r="Y94">
        <f t="shared" si="23"/>
        <v>1</v>
      </c>
      <c r="AA94">
        <v>174238.01</v>
      </c>
      <c r="AB94">
        <v>0</v>
      </c>
      <c r="AC94">
        <v>0</v>
      </c>
      <c r="AD94">
        <v>0</v>
      </c>
      <c r="AE94">
        <v>155569.65</v>
      </c>
      <c r="AF94">
        <v>0</v>
      </c>
      <c r="AG94">
        <v>0</v>
      </c>
      <c r="AH94">
        <v>0</v>
      </c>
      <c r="AI94">
        <v>1.1200000000000001</v>
      </c>
      <c r="AJ94">
        <v>1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0</v>
      </c>
      <c r="AS94" t="s">
        <v>3</v>
      </c>
      <c r="AT94">
        <v>1</v>
      </c>
      <c r="AU94" t="s">
        <v>3</v>
      </c>
      <c r="AV94">
        <v>0</v>
      </c>
      <c r="AW94">
        <v>1</v>
      </c>
      <c r="AX94">
        <v>-1</v>
      </c>
      <c r="AY94">
        <v>0</v>
      </c>
      <c r="AZ94">
        <v>0</v>
      </c>
      <c r="BA94" t="s">
        <v>3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v>0</v>
      </c>
      <c r="CX94">
        <f>ROUND(Y94*Source!I95,7)</f>
        <v>1E-3</v>
      </c>
      <c r="CY94">
        <f>AA94</f>
        <v>174238.01</v>
      </c>
      <c r="CZ94">
        <f>AE94</f>
        <v>155569.65</v>
      </c>
      <c r="DA94">
        <f>AI94</f>
        <v>1.1200000000000001</v>
      </c>
      <c r="DB94">
        <f t="shared" si="24"/>
        <v>155569.65</v>
      </c>
      <c r="DC94">
        <f t="shared" si="25"/>
        <v>0</v>
      </c>
      <c r="DD94" t="s">
        <v>3</v>
      </c>
      <c r="DE94" t="s">
        <v>3</v>
      </c>
      <c r="DF94">
        <f>ROUND(ROUND(AE94*AI94,2)*CX94,2)</f>
        <v>174.24</v>
      </c>
      <c r="DG94">
        <f t="shared" si="29"/>
        <v>0</v>
      </c>
      <c r="DH94">
        <f t="shared" si="26"/>
        <v>0</v>
      </c>
      <c r="DI94">
        <f t="shared" si="27"/>
        <v>0</v>
      </c>
      <c r="DJ94">
        <f>DF94</f>
        <v>174.24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ROW(Source!A97)</f>
        <v>97</v>
      </c>
      <c r="B95">
        <v>74014550</v>
      </c>
      <c r="C95">
        <v>74016303</v>
      </c>
      <c r="D95">
        <v>72518655</v>
      </c>
      <c r="E95">
        <v>119</v>
      </c>
      <c r="F95">
        <v>1</v>
      </c>
      <c r="G95">
        <v>1</v>
      </c>
      <c r="H95">
        <v>1</v>
      </c>
      <c r="I95" t="s">
        <v>642</v>
      </c>
      <c r="J95" t="s">
        <v>3</v>
      </c>
      <c r="K95" t="s">
        <v>643</v>
      </c>
      <c r="L95">
        <v>1191</v>
      </c>
      <c r="N95">
        <v>1013</v>
      </c>
      <c r="O95" t="s">
        <v>484</v>
      </c>
      <c r="P95" t="s">
        <v>484</v>
      </c>
      <c r="Q95">
        <v>1</v>
      </c>
      <c r="W95">
        <v>0</v>
      </c>
      <c r="X95">
        <v>888410196</v>
      </c>
      <c r="Y95">
        <f t="shared" si="23"/>
        <v>0.41</v>
      </c>
      <c r="AA95">
        <v>0</v>
      </c>
      <c r="AB95">
        <v>0</v>
      </c>
      <c r="AC95">
        <v>0</v>
      </c>
      <c r="AD95">
        <v>400.24</v>
      </c>
      <c r="AE95">
        <v>0</v>
      </c>
      <c r="AF95">
        <v>0</v>
      </c>
      <c r="AG95">
        <v>0</v>
      </c>
      <c r="AH95">
        <v>400.24</v>
      </c>
      <c r="AI95">
        <v>1</v>
      </c>
      <c r="AJ95">
        <v>1</v>
      </c>
      <c r="AK95">
        <v>1</v>
      </c>
      <c r="AL95">
        <v>1</v>
      </c>
      <c r="AM95">
        <v>-2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0.41</v>
      </c>
      <c r="AU95" t="s">
        <v>3</v>
      </c>
      <c r="AV95">
        <v>1</v>
      </c>
      <c r="AW95">
        <v>2</v>
      </c>
      <c r="AX95">
        <v>74017862</v>
      </c>
      <c r="AY95">
        <v>1</v>
      </c>
      <c r="AZ95">
        <v>0</v>
      </c>
      <c r="BA95">
        <v>106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164.0984</v>
      </c>
      <c r="BN95">
        <v>0.41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164.0984</v>
      </c>
      <c r="BU95">
        <v>0.41</v>
      </c>
      <c r="BV95">
        <v>0</v>
      </c>
      <c r="BW95">
        <v>1</v>
      </c>
      <c r="CU95">
        <f>ROUND(AT95*Source!I97*AH95*AL95,2)</f>
        <v>173.94</v>
      </c>
      <c r="CV95">
        <f>ROUND(Y95*Source!I97,7)</f>
        <v>0.43459999999999999</v>
      </c>
      <c r="CW95">
        <v>0</v>
      </c>
      <c r="CX95">
        <f>ROUND(Y95*Source!I97,7)</f>
        <v>0.43459999999999999</v>
      </c>
      <c r="CY95">
        <f>AD95</f>
        <v>400.24</v>
      </c>
      <c r="CZ95">
        <f>AH95</f>
        <v>400.24</v>
      </c>
      <c r="DA95">
        <f>AL95</f>
        <v>1</v>
      </c>
      <c r="DB95">
        <f t="shared" si="24"/>
        <v>164.1</v>
      </c>
      <c r="DC95">
        <f t="shared" si="25"/>
        <v>0</v>
      </c>
      <c r="DD95" t="s">
        <v>3</v>
      </c>
      <c r="DE95" t="s">
        <v>3</v>
      </c>
      <c r="DF95">
        <f t="shared" ref="DF95:DF105" si="30">ROUND(ROUND(AE95,2)*CX95,2)</f>
        <v>0</v>
      </c>
      <c r="DG95">
        <f t="shared" si="29"/>
        <v>0</v>
      </c>
      <c r="DH95">
        <f t="shared" si="26"/>
        <v>0</v>
      </c>
      <c r="DI95">
        <f t="shared" si="27"/>
        <v>173.94</v>
      </c>
      <c r="DJ95">
        <f>DI95</f>
        <v>173.94</v>
      </c>
      <c r="DK95">
        <v>1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ROW(Source!A97)</f>
        <v>97</v>
      </c>
      <c r="B96">
        <v>74014550</v>
      </c>
      <c r="C96">
        <v>74016303</v>
      </c>
      <c r="D96">
        <v>72518826</v>
      </c>
      <c r="E96">
        <v>119</v>
      </c>
      <c r="F96">
        <v>1</v>
      </c>
      <c r="G96">
        <v>1</v>
      </c>
      <c r="H96">
        <v>1</v>
      </c>
      <c r="I96" t="s">
        <v>482</v>
      </c>
      <c r="J96" t="s">
        <v>3</v>
      </c>
      <c r="K96" t="s">
        <v>483</v>
      </c>
      <c r="L96">
        <v>1191</v>
      </c>
      <c r="N96">
        <v>1013</v>
      </c>
      <c r="O96" t="s">
        <v>484</v>
      </c>
      <c r="P96" t="s">
        <v>484</v>
      </c>
      <c r="Q96">
        <v>1</v>
      </c>
      <c r="W96">
        <v>0</v>
      </c>
      <c r="X96">
        <v>-1417349443</v>
      </c>
      <c r="Y96">
        <f t="shared" si="23"/>
        <v>0.2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1</v>
      </c>
      <c r="AL96">
        <v>1</v>
      </c>
      <c r="AM96">
        <v>-2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0.2</v>
      </c>
      <c r="AU96" t="s">
        <v>3</v>
      </c>
      <c r="AV96">
        <v>2</v>
      </c>
      <c r="AW96">
        <v>2</v>
      </c>
      <c r="AX96">
        <v>74017863</v>
      </c>
      <c r="AY96">
        <v>1</v>
      </c>
      <c r="AZ96">
        <v>0</v>
      </c>
      <c r="BA96">
        <v>107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ROUND(Y96*Source!I97,7)</f>
        <v>0.21199999999999999</v>
      </c>
      <c r="CY96">
        <f>AD96</f>
        <v>0</v>
      </c>
      <c r="CZ96">
        <f>AH96</f>
        <v>0</v>
      </c>
      <c r="DA96">
        <f>AL96</f>
        <v>1</v>
      </c>
      <c r="DB96">
        <f t="shared" si="24"/>
        <v>0</v>
      </c>
      <c r="DC96">
        <f t="shared" si="25"/>
        <v>0</v>
      </c>
      <c r="DD96" t="s">
        <v>3</v>
      </c>
      <c r="DE96" t="s">
        <v>3</v>
      </c>
      <c r="DF96">
        <f t="shared" si="30"/>
        <v>0</v>
      </c>
      <c r="DG96">
        <f t="shared" si="29"/>
        <v>0</v>
      </c>
      <c r="DH96">
        <f t="shared" si="26"/>
        <v>0</v>
      </c>
      <c r="DI96">
        <f t="shared" si="27"/>
        <v>0</v>
      </c>
      <c r="DJ96">
        <f>DI96</f>
        <v>0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ROW(Source!A97)</f>
        <v>97</v>
      </c>
      <c r="B97">
        <v>74014550</v>
      </c>
      <c r="C97">
        <v>74016303</v>
      </c>
      <c r="D97">
        <v>72647141</v>
      </c>
      <c r="E97">
        <v>1</v>
      </c>
      <c r="F97">
        <v>1</v>
      </c>
      <c r="G97">
        <v>1</v>
      </c>
      <c r="H97">
        <v>2</v>
      </c>
      <c r="I97" t="s">
        <v>511</v>
      </c>
      <c r="J97" t="s">
        <v>512</v>
      </c>
      <c r="K97" t="s">
        <v>513</v>
      </c>
      <c r="L97">
        <v>1368</v>
      </c>
      <c r="N97">
        <v>1011</v>
      </c>
      <c r="O97" t="s">
        <v>488</v>
      </c>
      <c r="P97" t="s">
        <v>488</v>
      </c>
      <c r="Q97">
        <v>1</v>
      </c>
      <c r="W97">
        <v>0</v>
      </c>
      <c r="X97">
        <v>-2130331961</v>
      </c>
      <c r="Y97">
        <f t="shared" ref="Y97:Y128" si="31">AT97</f>
        <v>0.2</v>
      </c>
      <c r="AA97">
        <v>0</v>
      </c>
      <c r="AB97">
        <v>417.12</v>
      </c>
      <c r="AC97">
        <v>400.24</v>
      </c>
      <c r="AD97">
        <v>0</v>
      </c>
      <c r="AE97">
        <v>0</v>
      </c>
      <c r="AF97">
        <v>417.12</v>
      </c>
      <c r="AG97">
        <v>400.24</v>
      </c>
      <c r="AH97">
        <v>0</v>
      </c>
      <c r="AI97">
        <v>1</v>
      </c>
      <c r="AJ97">
        <v>1</v>
      </c>
      <c r="AK97">
        <v>1</v>
      </c>
      <c r="AL97">
        <v>1</v>
      </c>
      <c r="AM97">
        <v>-2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0.2</v>
      </c>
      <c r="AU97" t="s">
        <v>3</v>
      </c>
      <c r="AV97">
        <v>1</v>
      </c>
      <c r="AW97">
        <v>2</v>
      </c>
      <c r="AX97">
        <v>74017864</v>
      </c>
      <c r="AY97">
        <v>1</v>
      </c>
      <c r="AZ97">
        <v>0</v>
      </c>
      <c r="BA97">
        <v>108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83.424000000000007</v>
      </c>
      <c r="BL97">
        <v>80.048000000000002</v>
      </c>
      <c r="BM97">
        <v>0</v>
      </c>
      <c r="BN97">
        <v>0</v>
      </c>
      <c r="BO97">
        <v>0.2</v>
      </c>
      <c r="BP97">
        <v>1</v>
      </c>
      <c r="BQ97">
        <v>0</v>
      </c>
      <c r="BR97">
        <v>83.424000000000007</v>
      </c>
      <c r="BS97">
        <v>80.048000000000002</v>
      </c>
      <c r="BT97">
        <v>0</v>
      </c>
      <c r="BU97">
        <v>0</v>
      </c>
      <c r="BV97">
        <v>0.2</v>
      </c>
      <c r="BW97">
        <v>1</v>
      </c>
      <c r="CV97">
        <v>0</v>
      </c>
      <c r="CW97">
        <f>ROUND(Y97*Source!I97*DO97,7)</f>
        <v>0.21199999999999999</v>
      </c>
      <c r="CX97">
        <f>ROUND(Y97*Source!I97,7)</f>
        <v>0.21199999999999999</v>
      </c>
      <c r="CY97">
        <f>AB97</f>
        <v>417.12</v>
      </c>
      <c r="CZ97">
        <f>AF97</f>
        <v>417.12</v>
      </c>
      <c r="DA97">
        <f>AJ97</f>
        <v>1</v>
      </c>
      <c r="DB97">
        <f t="shared" ref="DB97:DB128" si="32">ROUND(ROUND(AT97*CZ97,2),6)</f>
        <v>83.42</v>
      </c>
      <c r="DC97">
        <f t="shared" ref="DC97:DC128" si="33">ROUND(ROUND(AT97*AG97,2),6)</f>
        <v>80.05</v>
      </c>
      <c r="DD97" t="s">
        <v>3</v>
      </c>
      <c r="DE97" t="s">
        <v>3</v>
      </c>
      <c r="DF97">
        <f t="shared" si="30"/>
        <v>0</v>
      </c>
      <c r="DG97">
        <f t="shared" si="29"/>
        <v>88.43</v>
      </c>
      <c r="DH97">
        <f t="shared" si="26"/>
        <v>84.85</v>
      </c>
      <c r="DI97">
        <f t="shared" si="27"/>
        <v>0</v>
      </c>
      <c r="DJ97">
        <f>DG97+DH97</f>
        <v>173.28</v>
      </c>
      <c r="DK97">
        <v>1</v>
      </c>
      <c r="DL97" t="s">
        <v>514</v>
      </c>
      <c r="DM97">
        <v>4</v>
      </c>
      <c r="DN97" t="s">
        <v>484</v>
      </c>
      <c r="DO97">
        <v>1</v>
      </c>
    </row>
    <row r="98" spans="1:119" x14ac:dyDescent="0.2">
      <c r="A98">
        <f>ROW(Source!A98)</f>
        <v>98</v>
      </c>
      <c r="B98">
        <v>74014550</v>
      </c>
      <c r="C98">
        <v>74016310</v>
      </c>
      <c r="D98">
        <v>72518655</v>
      </c>
      <c r="E98">
        <v>119</v>
      </c>
      <c r="F98">
        <v>1</v>
      </c>
      <c r="G98">
        <v>1</v>
      </c>
      <c r="H98">
        <v>1</v>
      </c>
      <c r="I98" t="s">
        <v>642</v>
      </c>
      <c r="J98" t="s">
        <v>3</v>
      </c>
      <c r="K98" t="s">
        <v>643</v>
      </c>
      <c r="L98">
        <v>1191</v>
      </c>
      <c r="N98">
        <v>1013</v>
      </c>
      <c r="O98" t="s">
        <v>484</v>
      </c>
      <c r="P98" t="s">
        <v>484</v>
      </c>
      <c r="Q98">
        <v>1</v>
      </c>
      <c r="W98">
        <v>0</v>
      </c>
      <c r="X98">
        <v>888410196</v>
      </c>
      <c r="Y98">
        <f t="shared" si="31"/>
        <v>0.08</v>
      </c>
      <c r="AA98">
        <v>0</v>
      </c>
      <c r="AB98">
        <v>0</v>
      </c>
      <c r="AC98">
        <v>0</v>
      </c>
      <c r="AD98">
        <v>400.24</v>
      </c>
      <c r="AE98">
        <v>0</v>
      </c>
      <c r="AF98">
        <v>0</v>
      </c>
      <c r="AG98">
        <v>0</v>
      </c>
      <c r="AH98">
        <v>400.24</v>
      </c>
      <c r="AI98">
        <v>1</v>
      </c>
      <c r="AJ98">
        <v>1</v>
      </c>
      <c r="AK98">
        <v>1</v>
      </c>
      <c r="AL98">
        <v>1</v>
      </c>
      <c r="AM98">
        <v>-2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0.08</v>
      </c>
      <c r="AU98" t="s">
        <v>3</v>
      </c>
      <c r="AV98">
        <v>1</v>
      </c>
      <c r="AW98">
        <v>2</v>
      </c>
      <c r="AX98">
        <v>74017865</v>
      </c>
      <c r="AY98">
        <v>1</v>
      </c>
      <c r="AZ98">
        <v>0</v>
      </c>
      <c r="BA98">
        <v>109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32.019199999999998</v>
      </c>
      <c r="BN98">
        <v>0.08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32.019199999999998</v>
      </c>
      <c r="BU98">
        <v>0.08</v>
      </c>
      <c r="BV98">
        <v>0</v>
      </c>
      <c r="BW98">
        <v>1</v>
      </c>
      <c r="CU98">
        <f>ROUND(AT98*Source!I98*AH98*AL98,2)</f>
        <v>0.64</v>
      </c>
      <c r="CV98">
        <f>ROUND(Y98*Source!I98,7)</f>
        <v>1.6000000000000001E-3</v>
      </c>
      <c r="CW98">
        <v>0</v>
      </c>
      <c r="CX98">
        <f>ROUND(Y98*Source!I98,7)</f>
        <v>1.6000000000000001E-3</v>
      </c>
      <c r="CY98">
        <f>AD98</f>
        <v>400.24</v>
      </c>
      <c r="CZ98">
        <f>AH98</f>
        <v>400.24</v>
      </c>
      <c r="DA98">
        <f>AL98</f>
        <v>1</v>
      </c>
      <c r="DB98">
        <f t="shared" si="32"/>
        <v>32.020000000000003</v>
      </c>
      <c r="DC98">
        <f t="shared" si="33"/>
        <v>0</v>
      </c>
      <c r="DD98" t="s">
        <v>3</v>
      </c>
      <c r="DE98" t="s">
        <v>3</v>
      </c>
      <c r="DF98">
        <f t="shared" si="30"/>
        <v>0</v>
      </c>
      <c r="DG98">
        <f t="shared" si="29"/>
        <v>0</v>
      </c>
      <c r="DH98">
        <f t="shared" si="26"/>
        <v>0</v>
      </c>
      <c r="DI98">
        <f t="shared" si="27"/>
        <v>0.64</v>
      </c>
      <c r="DJ98">
        <f>DI98</f>
        <v>0.64</v>
      </c>
      <c r="DK98">
        <v>1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ROW(Source!A98)</f>
        <v>98</v>
      </c>
      <c r="B99">
        <v>74014550</v>
      </c>
      <c r="C99">
        <v>74016310</v>
      </c>
      <c r="D99">
        <v>72518826</v>
      </c>
      <c r="E99">
        <v>119</v>
      </c>
      <c r="F99">
        <v>1</v>
      </c>
      <c r="G99">
        <v>1</v>
      </c>
      <c r="H99">
        <v>1</v>
      </c>
      <c r="I99" t="s">
        <v>482</v>
      </c>
      <c r="J99" t="s">
        <v>3</v>
      </c>
      <c r="K99" t="s">
        <v>483</v>
      </c>
      <c r="L99">
        <v>1191</v>
      </c>
      <c r="N99">
        <v>1013</v>
      </c>
      <c r="O99" t="s">
        <v>484</v>
      </c>
      <c r="P99" t="s">
        <v>484</v>
      </c>
      <c r="Q99">
        <v>1</v>
      </c>
      <c r="W99">
        <v>0</v>
      </c>
      <c r="X99">
        <v>-1417349443</v>
      </c>
      <c r="Y99">
        <f t="shared" si="31"/>
        <v>0.06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-2</v>
      </c>
      <c r="AN99">
        <v>0</v>
      </c>
      <c r="AO99">
        <v>0</v>
      </c>
      <c r="AP99">
        <v>1</v>
      </c>
      <c r="AQ99">
        <v>1</v>
      </c>
      <c r="AR99">
        <v>0</v>
      </c>
      <c r="AS99" t="s">
        <v>3</v>
      </c>
      <c r="AT99">
        <v>0.06</v>
      </c>
      <c r="AU99" t="s">
        <v>3</v>
      </c>
      <c r="AV99">
        <v>2</v>
      </c>
      <c r="AW99">
        <v>2</v>
      </c>
      <c r="AX99">
        <v>74017866</v>
      </c>
      <c r="AY99">
        <v>1</v>
      </c>
      <c r="AZ99">
        <v>0</v>
      </c>
      <c r="BA99">
        <v>110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V99">
        <v>0</v>
      </c>
      <c r="CW99">
        <v>0</v>
      </c>
      <c r="CX99">
        <f>ROUND(Y99*Source!I98,7)</f>
        <v>1.1999999999999999E-3</v>
      </c>
      <c r="CY99">
        <f>AD99</f>
        <v>0</v>
      </c>
      <c r="CZ99">
        <f>AH99</f>
        <v>0</v>
      </c>
      <c r="DA99">
        <f>AL99</f>
        <v>1</v>
      </c>
      <c r="DB99">
        <f t="shared" si="32"/>
        <v>0</v>
      </c>
      <c r="DC99">
        <f t="shared" si="33"/>
        <v>0</v>
      </c>
      <c r="DD99" t="s">
        <v>3</v>
      </c>
      <c r="DE99" t="s">
        <v>3</v>
      </c>
      <c r="DF99">
        <f t="shared" si="30"/>
        <v>0</v>
      </c>
      <c r="DG99">
        <f t="shared" si="29"/>
        <v>0</v>
      </c>
      <c r="DH99">
        <f t="shared" si="26"/>
        <v>0</v>
      </c>
      <c r="DI99">
        <f t="shared" si="27"/>
        <v>0</v>
      </c>
      <c r="DJ99">
        <f>DI99</f>
        <v>0</v>
      </c>
      <c r="DK99">
        <v>0</v>
      </c>
      <c r="DL99" t="s">
        <v>3</v>
      </c>
      <c r="DM99">
        <v>0</v>
      </c>
      <c r="DN99" t="s">
        <v>3</v>
      </c>
      <c r="DO99">
        <v>0</v>
      </c>
    </row>
    <row r="100" spans="1:119" x14ac:dyDescent="0.2">
      <c r="A100">
        <f>ROW(Source!A98)</f>
        <v>98</v>
      </c>
      <c r="B100">
        <v>74014550</v>
      </c>
      <c r="C100">
        <v>74016310</v>
      </c>
      <c r="D100">
        <v>72646911</v>
      </c>
      <c r="E100">
        <v>1</v>
      </c>
      <c r="F100">
        <v>1</v>
      </c>
      <c r="G100">
        <v>1</v>
      </c>
      <c r="H100">
        <v>2</v>
      </c>
      <c r="I100" t="s">
        <v>644</v>
      </c>
      <c r="J100" t="s">
        <v>645</v>
      </c>
      <c r="K100" t="s">
        <v>646</v>
      </c>
      <c r="L100">
        <v>1368</v>
      </c>
      <c r="N100">
        <v>1011</v>
      </c>
      <c r="O100" t="s">
        <v>488</v>
      </c>
      <c r="P100" t="s">
        <v>488</v>
      </c>
      <c r="Q100">
        <v>1</v>
      </c>
      <c r="W100">
        <v>0</v>
      </c>
      <c r="X100">
        <v>-151209081</v>
      </c>
      <c r="Y100">
        <f t="shared" si="31"/>
        <v>0.02</v>
      </c>
      <c r="AA100">
        <v>0</v>
      </c>
      <c r="AB100">
        <v>1595.78</v>
      </c>
      <c r="AC100">
        <v>537.64</v>
      </c>
      <c r="AD100">
        <v>0</v>
      </c>
      <c r="AE100">
        <v>0</v>
      </c>
      <c r="AF100">
        <v>1070.99</v>
      </c>
      <c r="AG100">
        <v>537.64</v>
      </c>
      <c r="AH100">
        <v>0</v>
      </c>
      <c r="AI100">
        <v>1</v>
      </c>
      <c r="AJ100">
        <v>1.49</v>
      </c>
      <c r="AK100">
        <v>1</v>
      </c>
      <c r="AL100">
        <v>1</v>
      </c>
      <c r="AM100">
        <v>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0.02</v>
      </c>
      <c r="AU100" t="s">
        <v>3</v>
      </c>
      <c r="AV100">
        <v>1</v>
      </c>
      <c r="AW100">
        <v>2</v>
      </c>
      <c r="AX100">
        <v>74017867</v>
      </c>
      <c r="AY100">
        <v>1</v>
      </c>
      <c r="AZ100">
        <v>0</v>
      </c>
      <c r="BA100">
        <v>111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21.419800000000002</v>
      </c>
      <c r="BL100">
        <v>10.752800000000001</v>
      </c>
      <c r="BM100">
        <v>0</v>
      </c>
      <c r="BN100">
        <v>0</v>
      </c>
      <c r="BO100">
        <v>0.02</v>
      </c>
      <c r="BP100">
        <v>1</v>
      </c>
      <c r="BQ100">
        <v>0</v>
      </c>
      <c r="BR100">
        <v>21.419800000000002</v>
      </c>
      <c r="BS100">
        <v>10.752800000000001</v>
      </c>
      <c r="BT100">
        <v>0</v>
      </c>
      <c r="BU100">
        <v>0</v>
      </c>
      <c r="BV100">
        <v>0.02</v>
      </c>
      <c r="BW100">
        <v>1</v>
      </c>
      <c r="CV100">
        <v>0</v>
      </c>
      <c r="CW100">
        <f>ROUND(Y100*Source!I98*DO100,7)</f>
        <v>4.0000000000000002E-4</v>
      </c>
      <c r="CX100">
        <f>ROUND(Y100*Source!I98,7)</f>
        <v>4.0000000000000002E-4</v>
      </c>
      <c r="CY100">
        <f>AB100</f>
        <v>1595.78</v>
      </c>
      <c r="CZ100">
        <f>AF100</f>
        <v>1070.99</v>
      </c>
      <c r="DA100">
        <f>AJ100</f>
        <v>1.49</v>
      </c>
      <c r="DB100">
        <f t="shared" si="32"/>
        <v>21.42</v>
      </c>
      <c r="DC100">
        <f t="shared" si="33"/>
        <v>10.75</v>
      </c>
      <c r="DD100" t="s">
        <v>3</v>
      </c>
      <c r="DE100" t="s">
        <v>3</v>
      </c>
      <c r="DF100">
        <f t="shared" si="30"/>
        <v>0</v>
      </c>
      <c r="DG100">
        <f>ROUND(ROUND(AF100*AJ100,2)*CX100,2)</f>
        <v>0.64</v>
      </c>
      <c r="DH100">
        <f t="shared" si="26"/>
        <v>0.22</v>
      </c>
      <c r="DI100">
        <f t="shared" si="27"/>
        <v>0</v>
      </c>
      <c r="DJ100">
        <f>DG100+DH100</f>
        <v>0.86</v>
      </c>
      <c r="DK100">
        <v>0</v>
      </c>
      <c r="DL100" t="s">
        <v>489</v>
      </c>
      <c r="DM100">
        <v>6</v>
      </c>
      <c r="DN100" t="s">
        <v>484</v>
      </c>
      <c r="DO100">
        <v>1</v>
      </c>
    </row>
    <row r="101" spans="1:119" x14ac:dyDescent="0.2">
      <c r="A101">
        <f>ROW(Source!A98)</f>
        <v>98</v>
      </c>
      <c r="B101">
        <v>74014550</v>
      </c>
      <c r="C101">
        <v>74016310</v>
      </c>
      <c r="D101">
        <v>72647141</v>
      </c>
      <c r="E101">
        <v>1</v>
      </c>
      <c r="F101">
        <v>1</v>
      </c>
      <c r="G101">
        <v>1</v>
      </c>
      <c r="H101">
        <v>2</v>
      </c>
      <c r="I101" t="s">
        <v>511</v>
      </c>
      <c r="J101" t="s">
        <v>512</v>
      </c>
      <c r="K101" t="s">
        <v>513</v>
      </c>
      <c r="L101">
        <v>1368</v>
      </c>
      <c r="N101">
        <v>1011</v>
      </c>
      <c r="O101" t="s">
        <v>488</v>
      </c>
      <c r="P101" t="s">
        <v>488</v>
      </c>
      <c r="Q101">
        <v>1</v>
      </c>
      <c r="W101">
        <v>0</v>
      </c>
      <c r="X101">
        <v>-2130331961</v>
      </c>
      <c r="Y101">
        <f t="shared" si="31"/>
        <v>0.04</v>
      </c>
      <c r="AA101">
        <v>0</v>
      </c>
      <c r="AB101">
        <v>417.12</v>
      </c>
      <c r="AC101">
        <v>400.24</v>
      </c>
      <c r="AD101">
        <v>0</v>
      </c>
      <c r="AE101">
        <v>0</v>
      </c>
      <c r="AF101">
        <v>417.12</v>
      </c>
      <c r="AG101">
        <v>400.24</v>
      </c>
      <c r="AH101">
        <v>0</v>
      </c>
      <c r="AI101">
        <v>1</v>
      </c>
      <c r="AJ101">
        <v>1</v>
      </c>
      <c r="AK101">
        <v>1</v>
      </c>
      <c r="AL101">
        <v>1</v>
      </c>
      <c r="AM101">
        <v>-2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0.04</v>
      </c>
      <c r="AU101" t="s">
        <v>3</v>
      </c>
      <c r="AV101">
        <v>1</v>
      </c>
      <c r="AW101">
        <v>2</v>
      </c>
      <c r="AX101">
        <v>74017868</v>
      </c>
      <c r="AY101">
        <v>1</v>
      </c>
      <c r="AZ101">
        <v>0</v>
      </c>
      <c r="BA101">
        <v>112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16.684799999999999</v>
      </c>
      <c r="BL101">
        <v>16.009599999999999</v>
      </c>
      <c r="BM101">
        <v>0</v>
      </c>
      <c r="BN101">
        <v>0</v>
      </c>
      <c r="BO101">
        <v>0.04</v>
      </c>
      <c r="BP101">
        <v>1</v>
      </c>
      <c r="BQ101">
        <v>0</v>
      </c>
      <c r="BR101">
        <v>16.684799999999999</v>
      </c>
      <c r="BS101">
        <v>16.009599999999999</v>
      </c>
      <c r="BT101">
        <v>0</v>
      </c>
      <c r="BU101">
        <v>0</v>
      </c>
      <c r="BV101">
        <v>0.04</v>
      </c>
      <c r="BW101">
        <v>1</v>
      </c>
      <c r="CV101">
        <v>0</v>
      </c>
      <c r="CW101">
        <f>ROUND(Y101*Source!I98*DO101,7)</f>
        <v>8.0000000000000004E-4</v>
      </c>
      <c r="CX101">
        <f>ROUND(Y101*Source!I98,7)</f>
        <v>8.0000000000000004E-4</v>
      </c>
      <c r="CY101">
        <f>AB101</f>
        <v>417.12</v>
      </c>
      <c r="CZ101">
        <f>AF101</f>
        <v>417.12</v>
      </c>
      <c r="DA101">
        <f>AJ101</f>
        <v>1</v>
      </c>
      <c r="DB101">
        <f t="shared" si="32"/>
        <v>16.68</v>
      </c>
      <c r="DC101">
        <f t="shared" si="33"/>
        <v>16.010000000000002</v>
      </c>
      <c r="DD101" t="s">
        <v>3</v>
      </c>
      <c r="DE101" t="s">
        <v>3</v>
      </c>
      <c r="DF101">
        <f t="shared" si="30"/>
        <v>0</v>
      </c>
      <c r="DG101">
        <f>ROUND(ROUND(AF101,2)*CX101,2)</f>
        <v>0.33</v>
      </c>
      <c r="DH101">
        <f t="shared" si="26"/>
        <v>0.32</v>
      </c>
      <c r="DI101">
        <f t="shared" si="27"/>
        <v>0</v>
      </c>
      <c r="DJ101">
        <f>DG101+DH101</f>
        <v>0.65</v>
      </c>
      <c r="DK101">
        <v>1</v>
      </c>
      <c r="DL101" t="s">
        <v>514</v>
      </c>
      <c r="DM101">
        <v>4</v>
      </c>
      <c r="DN101" t="s">
        <v>484</v>
      </c>
      <c r="DO101">
        <v>1</v>
      </c>
    </row>
    <row r="102" spans="1:119" x14ac:dyDescent="0.2">
      <c r="A102">
        <f>ROW(Source!A99)</f>
        <v>99</v>
      </c>
      <c r="B102">
        <v>74014550</v>
      </c>
      <c r="C102">
        <v>74016319</v>
      </c>
      <c r="D102">
        <v>72518791</v>
      </c>
      <c r="E102">
        <v>119</v>
      </c>
      <c r="F102">
        <v>1</v>
      </c>
      <c r="G102">
        <v>1</v>
      </c>
      <c r="H102">
        <v>1</v>
      </c>
      <c r="I102" t="s">
        <v>586</v>
      </c>
      <c r="J102" t="s">
        <v>3</v>
      </c>
      <c r="K102" t="s">
        <v>587</v>
      </c>
      <c r="L102">
        <v>1369</v>
      </c>
      <c r="N102">
        <v>1013</v>
      </c>
      <c r="O102" t="s">
        <v>585</v>
      </c>
      <c r="P102" t="s">
        <v>585</v>
      </c>
      <c r="Q102">
        <v>1</v>
      </c>
      <c r="W102">
        <v>0</v>
      </c>
      <c r="X102">
        <v>-512803540</v>
      </c>
      <c r="Y102">
        <f t="shared" si="31"/>
        <v>19.899999999999999</v>
      </c>
      <c r="AA102">
        <v>0</v>
      </c>
      <c r="AB102">
        <v>0</v>
      </c>
      <c r="AC102">
        <v>0</v>
      </c>
      <c r="AD102">
        <v>400.24</v>
      </c>
      <c r="AE102">
        <v>0</v>
      </c>
      <c r="AF102">
        <v>0</v>
      </c>
      <c r="AG102">
        <v>0</v>
      </c>
      <c r="AH102">
        <v>400.24</v>
      </c>
      <c r="AI102">
        <v>1</v>
      </c>
      <c r="AJ102">
        <v>1</v>
      </c>
      <c r="AK102">
        <v>1</v>
      </c>
      <c r="AL102">
        <v>1</v>
      </c>
      <c r="AM102">
        <v>-2</v>
      </c>
      <c r="AN102">
        <v>0</v>
      </c>
      <c r="AO102">
        <v>0</v>
      </c>
      <c r="AP102">
        <v>1</v>
      </c>
      <c r="AQ102">
        <v>1</v>
      </c>
      <c r="AR102">
        <v>0</v>
      </c>
      <c r="AS102" t="s">
        <v>3</v>
      </c>
      <c r="AT102">
        <v>19.899999999999999</v>
      </c>
      <c r="AU102" t="s">
        <v>3</v>
      </c>
      <c r="AV102">
        <v>1</v>
      </c>
      <c r="AW102">
        <v>2</v>
      </c>
      <c r="AX102">
        <v>74017877</v>
      </c>
      <c r="AY102">
        <v>1</v>
      </c>
      <c r="AZ102">
        <v>0</v>
      </c>
      <c r="BA102">
        <v>113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7964.7759999999998</v>
      </c>
      <c r="BN102">
        <v>19.899999999999999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7964.7759999999998</v>
      </c>
      <c r="BU102">
        <v>19.899999999999999</v>
      </c>
      <c r="BV102">
        <v>0</v>
      </c>
      <c r="BW102">
        <v>1</v>
      </c>
      <c r="CU102">
        <f>ROUND(AT102*Source!I99*AH102*AL102,2)</f>
        <v>828.34</v>
      </c>
      <c r="CV102">
        <f>ROUND(Y102*Source!I99,7)</f>
        <v>2.0695999999999999</v>
      </c>
      <c r="CW102">
        <v>0</v>
      </c>
      <c r="CX102">
        <f>ROUND(Y102*Source!I99,7)</f>
        <v>2.0695999999999999</v>
      </c>
      <c r="CY102">
        <f>AD102</f>
        <v>400.24</v>
      </c>
      <c r="CZ102">
        <f>AH102</f>
        <v>400.24</v>
      </c>
      <c r="DA102">
        <f>AL102</f>
        <v>1</v>
      </c>
      <c r="DB102">
        <f t="shared" si="32"/>
        <v>7964.78</v>
      </c>
      <c r="DC102">
        <f t="shared" si="33"/>
        <v>0</v>
      </c>
      <c r="DD102" t="s">
        <v>3</v>
      </c>
      <c r="DE102" t="s">
        <v>3</v>
      </c>
      <c r="DF102">
        <f t="shared" si="30"/>
        <v>0</v>
      </c>
      <c r="DG102">
        <f>ROUND(ROUND(AF102,2)*CX102,2)</f>
        <v>0</v>
      </c>
      <c r="DH102">
        <f t="shared" si="26"/>
        <v>0</v>
      </c>
      <c r="DI102">
        <f t="shared" si="27"/>
        <v>828.34</v>
      </c>
      <c r="DJ102">
        <f>DI102</f>
        <v>828.34</v>
      </c>
      <c r="DK102">
        <v>1</v>
      </c>
      <c r="DL102" t="s">
        <v>3</v>
      </c>
      <c r="DM102">
        <v>0</v>
      </c>
      <c r="DN102" t="s">
        <v>3</v>
      </c>
      <c r="DO102">
        <v>0</v>
      </c>
    </row>
    <row r="103" spans="1:119" x14ac:dyDescent="0.2">
      <c r="A103">
        <f>ROW(Source!A99)</f>
        <v>99</v>
      </c>
      <c r="B103">
        <v>74014550</v>
      </c>
      <c r="C103">
        <v>74016319</v>
      </c>
      <c r="D103">
        <v>72518793</v>
      </c>
      <c r="E103">
        <v>119</v>
      </c>
      <c r="F103">
        <v>1</v>
      </c>
      <c r="G103">
        <v>1</v>
      </c>
      <c r="H103">
        <v>1</v>
      </c>
      <c r="I103" t="s">
        <v>647</v>
      </c>
      <c r="J103" t="s">
        <v>3</v>
      </c>
      <c r="K103" t="s">
        <v>648</v>
      </c>
      <c r="L103">
        <v>1369</v>
      </c>
      <c r="N103">
        <v>1013</v>
      </c>
      <c r="O103" t="s">
        <v>585</v>
      </c>
      <c r="P103" t="s">
        <v>585</v>
      </c>
      <c r="Q103">
        <v>1</v>
      </c>
      <c r="W103">
        <v>0</v>
      </c>
      <c r="X103">
        <v>1518711480</v>
      </c>
      <c r="Y103">
        <f t="shared" si="31"/>
        <v>19.899999999999999</v>
      </c>
      <c r="AA103">
        <v>0</v>
      </c>
      <c r="AB103">
        <v>0</v>
      </c>
      <c r="AC103">
        <v>0</v>
      </c>
      <c r="AD103">
        <v>459.98</v>
      </c>
      <c r="AE103">
        <v>0</v>
      </c>
      <c r="AF103">
        <v>0</v>
      </c>
      <c r="AG103">
        <v>0</v>
      </c>
      <c r="AH103">
        <v>459.98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19.899999999999999</v>
      </c>
      <c r="AU103" t="s">
        <v>3</v>
      </c>
      <c r="AV103">
        <v>1</v>
      </c>
      <c r="AW103">
        <v>2</v>
      </c>
      <c r="AX103">
        <v>74017878</v>
      </c>
      <c r="AY103">
        <v>1</v>
      </c>
      <c r="AZ103">
        <v>0</v>
      </c>
      <c r="BA103">
        <v>114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9153.601999999999</v>
      </c>
      <c r="BN103">
        <v>19.899999999999999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9153.601999999999</v>
      </c>
      <c r="BU103">
        <v>19.899999999999999</v>
      </c>
      <c r="BV103">
        <v>0</v>
      </c>
      <c r="BW103">
        <v>1</v>
      </c>
      <c r="CU103">
        <f>ROUND(AT103*Source!I99*AH103*AL103,2)</f>
        <v>951.97</v>
      </c>
      <c r="CV103">
        <f>ROUND(Y103*Source!I99,7)</f>
        <v>2.0695999999999999</v>
      </c>
      <c r="CW103">
        <v>0</v>
      </c>
      <c r="CX103">
        <f>ROUND(Y103*Source!I99,7)</f>
        <v>2.0695999999999999</v>
      </c>
      <c r="CY103">
        <f>AD103</f>
        <v>459.98</v>
      </c>
      <c r="CZ103">
        <f>AH103</f>
        <v>459.98</v>
      </c>
      <c r="DA103">
        <f>AL103</f>
        <v>1</v>
      </c>
      <c r="DB103">
        <f t="shared" si="32"/>
        <v>9153.6</v>
      </c>
      <c r="DC103">
        <f t="shared" si="33"/>
        <v>0</v>
      </c>
      <c r="DD103" t="s">
        <v>3</v>
      </c>
      <c r="DE103" t="s">
        <v>3</v>
      </c>
      <c r="DF103">
        <f t="shared" si="30"/>
        <v>0</v>
      </c>
      <c r="DG103">
        <f>ROUND(ROUND(AF103,2)*CX103,2)</f>
        <v>0</v>
      </c>
      <c r="DH103">
        <f t="shared" si="26"/>
        <v>0</v>
      </c>
      <c r="DI103">
        <f t="shared" si="27"/>
        <v>951.97</v>
      </c>
      <c r="DJ103">
        <f>DI103</f>
        <v>951.97</v>
      </c>
      <c r="DK103">
        <v>1</v>
      </c>
      <c r="DL103" t="s">
        <v>3</v>
      </c>
      <c r="DM103">
        <v>0</v>
      </c>
      <c r="DN103" t="s">
        <v>3</v>
      </c>
      <c r="DO103">
        <v>0</v>
      </c>
    </row>
    <row r="104" spans="1:119" x14ac:dyDescent="0.2">
      <c r="A104">
        <f>ROW(Source!A99)</f>
        <v>99</v>
      </c>
      <c r="B104">
        <v>74014550</v>
      </c>
      <c r="C104">
        <v>74016319</v>
      </c>
      <c r="D104">
        <v>72518826</v>
      </c>
      <c r="E104">
        <v>119</v>
      </c>
      <c r="F104">
        <v>1</v>
      </c>
      <c r="G104">
        <v>1</v>
      </c>
      <c r="H104">
        <v>1</v>
      </c>
      <c r="I104" t="s">
        <v>482</v>
      </c>
      <c r="J104" t="s">
        <v>3</v>
      </c>
      <c r="K104" t="s">
        <v>483</v>
      </c>
      <c r="L104">
        <v>1191</v>
      </c>
      <c r="N104">
        <v>1013</v>
      </c>
      <c r="O104" t="s">
        <v>484</v>
      </c>
      <c r="P104" t="s">
        <v>484</v>
      </c>
      <c r="Q104">
        <v>1</v>
      </c>
      <c r="W104">
        <v>0</v>
      </c>
      <c r="X104">
        <v>-1417349443</v>
      </c>
      <c r="Y104">
        <f t="shared" si="31"/>
        <v>0.01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1</v>
      </c>
      <c r="AL104">
        <v>1</v>
      </c>
      <c r="AM104">
        <v>-2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0.01</v>
      </c>
      <c r="AU104" t="s">
        <v>3</v>
      </c>
      <c r="AV104">
        <v>2</v>
      </c>
      <c r="AW104">
        <v>2</v>
      </c>
      <c r="AX104">
        <v>74017879</v>
      </c>
      <c r="AY104">
        <v>1</v>
      </c>
      <c r="AZ104">
        <v>0</v>
      </c>
      <c r="BA104">
        <v>115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CV104">
        <v>0</v>
      </c>
      <c r="CW104">
        <v>0</v>
      </c>
      <c r="CX104">
        <f>ROUND(Y104*Source!I99,7)</f>
        <v>1.0399999999999999E-3</v>
      </c>
      <c r="CY104">
        <f>AD104</f>
        <v>0</v>
      </c>
      <c r="CZ104">
        <f>AH104</f>
        <v>0</v>
      </c>
      <c r="DA104">
        <f>AL104</f>
        <v>1</v>
      </c>
      <c r="DB104">
        <f t="shared" si="32"/>
        <v>0</v>
      </c>
      <c r="DC104">
        <f t="shared" si="33"/>
        <v>0</v>
      </c>
      <c r="DD104" t="s">
        <v>3</v>
      </c>
      <c r="DE104" t="s">
        <v>3</v>
      </c>
      <c r="DF104">
        <f t="shared" si="30"/>
        <v>0</v>
      </c>
      <c r="DG104">
        <f>ROUND(ROUND(AF104,2)*CX104,2)</f>
        <v>0</v>
      </c>
      <c r="DH104">
        <f t="shared" si="26"/>
        <v>0</v>
      </c>
      <c r="DI104">
        <f t="shared" si="27"/>
        <v>0</v>
      </c>
      <c r="DJ104">
        <f>DI104</f>
        <v>0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ROW(Source!A99)</f>
        <v>99</v>
      </c>
      <c r="B105">
        <v>74014550</v>
      </c>
      <c r="C105">
        <v>74016319</v>
      </c>
      <c r="D105">
        <v>72647140</v>
      </c>
      <c r="E105">
        <v>1</v>
      </c>
      <c r="F105">
        <v>1</v>
      </c>
      <c r="G105">
        <v>1</v>
      </c>
      <c r="H105">
        <v>2</v>
      </c>
      <c r="I105" t="s">
        <v>649</v>
      </c>
      <c r="J105" t="s">
        <v>650</v>
      </c>
      <c r="K105" t="s">
        <v>651</v>
      </c>
      <c r="L105">
        <v>1368</v>
      </c>
      <c r="N105">
        <v>1011</v>
      </c>
      <c r="O105" t="s">
        <v>488</v>
      </c>
      <c r="P105" t="s">
        <v>488</v>
      </c>
      <c r="Q105">
        <v>1</v>
      </c>
      <c r="W105">
        <v>0</v>
      </c>
      <c r="X105">
        <v>276165017</v>
      </c>
      <c r="Y105">
        <f t="shared" si="31"/>
        <v>0.01</v>
      </c>
      <c r="AA105">
        <v>0</v>
      </c>
      <c r="AB105">
        <v>4327.74</v>
      </c>
      <c r="AC105">
        <v>400.24</v>
      </c>
      <c r="AD105">
        <v>0</v>
      </c>
      <c r="AE105">
        <v>0</v>
      </c>
      <c r="AF105">
        <v>2445.0500000000002</v>
      </c>
      <c r="AG105">
        <v>400.24</v>
      </c>
      <c r="AH105">
        <v>0</v>
      </c>
      <c r="AI105">
        <v>1</v>
      </c>
      <c r="AJ105">
        <v>1.77</v>
      </c>
      <c r="AK105">
        <v>1</v>
      </c>
      <c r="AL105">
        <v>1</v>
      </c>
      <c r="AM105">
        <v>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0.01</v>
      </c>
      <c r="AU105" t="s">
        <v>3</v>
      </c>
      <c r="AV105">
        <v>1</v>
      </c>
      <c r="AW105">
        <v>2</v>
      </c>
      <c r="AX105">
        <v>74017880</v>
      </c>
      <c r="AY105">
        <v>1</v>
      </c>
      <c r="AZ105">
        <v>0</v>
      </c>
      <c r="BA105">
        <v>116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24.450500000000002</v>
      </c>
      <c r="BL105">
        <v>4.0023999999999997</v>
      </c>
      <c r="BM105">
        <v>0</v>
      </c>
      <c r="BN105">
        <v>0</v>
      </c>
      <c r="BO105">
        <v>0.01</v>
      </c>
      <c r="BP105">
        <v>1</v>
      </c>
      <c r="BQ105">
        <v>0</v>
      </c>
      <c r="BR105">
        <v>24.450500000000002</v>
      </c>
      <c r="BS105">
        <v>4.0023999999999997</v>
      </c>
      <c r="BT105">
        <v>0</v>
      </c>
      <c r="BU105">
        <v>0</v>
      </c>
      <c r="BV105">
        <v>0.01</v>
      </c>
      <c r="BW105">
        <v>1</v>
      </c>
      <c r="CV105">
        <v>0</v>
      </c>
      <c r="CW105">
        <f>ROUND(Y105*Source!I99*DO105,7)</f>
        <v>1.0399999999999999E-3</v>
      </c>
      <c r="CX105">
        <f>ROUND(Y105*Source!I99,7)</f>
        <v>1.0399999999999999E-3</v>
      </c>
      <c r="CY105">
        <f>AB105</f>
        <v>4327.74</v>
      </c>
      <c r="CZ105">
        <f>AF105</f>
        <v>2445.0500000000002</v>
      </c>
      <c r="DA105">
        <f>AJ105</f>
        <v>1.77</v>
      </c>
      <c r="DB105">
        <f t="shared" si="32"/>
        <v>24.45</v>
      </c>
      <c r="DC105">
        <f t="shared" si="33"/>
        <v>4</v>
      </c>
      <c r="DD105" t="s">
        <v>3</v>
      </c>
      <c r="DE105" t="s">
        <v>3</v>
      </c>
      <c r="DF105">
        <f t="shared" si="30"/>
        <v>0</v>
      </c>
      <c r="DG105">
        <f>ROUND(ROUND(AF105*AJ105,2)*CX105,2)</f>
        <v>4.5</v>
      </c>
      <c r="DH105">
        <f t="shared" si="26"/>
        <v>0.42</v>
      </c>
      <c r="DI105">
        <f t="shared" si="27"/>
        <v>0</v>
      </c>
      <c r="DJ105">
        <f>DG105+DH105</f>
        <v>4.92</v>
      </c>
      <c r="DK105">
        <v>0</v>
      </c>
      <c r="DL105" t="s">
        <v>514</v>
      </c>
      <c r="DM105">
        <v>4</v>
      </c>
      <c r="DN105" t="s">
        <v>484</v>
      </c>
      <c r="DO105">
        <v>1</v>
      </c>
    </row>
    <row r="106" spans="1:119" x14ac:dyDescent="0.2">
      <c r="A106">
        <f>ROW(Source!A99)</f>
        <v>99</v>
      </c>
      <c r="B106">
        <v>74014550</v>
      </c>
      <c r="C106">
        <v>74016319</v>
      </c>
      <c r="D106">
        <v>72591341</v>
      </c>
      <c r="E106">
        <v>1</v>
      </c>
      <c r="F106">
        <v>1</v>
      </c>
      <c r="G106">
        <v>1</v>
      </c>
      <c r="H106">
        <v>3</v>
      </c>
      <c r="I106" t="s">
        <v>627</v>
      </c>
      <c r="J106" t="s">
        <v>628</v>
      </c>
      <c r="K106" t="s">
        <v>629</v>
      </c>
      <c r="L106">
        <v>1339</v>
      </c>
      <c r="N106">
        <v>1007</v>
      </c>
      <c r="O106" t="s">
        <v>48</v>
      </c>
      <c r="P106" t="s">
        <v>48</v>
      </c>
      <c r="Q106">
        <v>1</v>
      </c>
      <c r="W106">
        <v>0</v>
      </c>
      <c r="X106">
        <v>-1357846128</v>
      </c>
      <c r="Y106">
        <f t="shared" si="31"/>
        <v>0.1</v>
      </c>
      <c r="AA106">
        <v>31.42</v>
      </c>
      <c r="AB106">
        <v>0</v>
      </c>
      <c r="AC106">
        <v>0</v>
      </c>
      <c r="AD106">
        <v>0</v>
      </c>
      <c r="AE106">
        <v>35.71</v>
      </c>
      <c r="AF106">
        <v>0</v>
      </c>
      <c r="AG106">
        <v>0</v>
      </c>
      <c r="AH106">
        <v>0</v>
      </c>
      <c r="AI106">
        <v>0.88</v>
      </c>
      <c r="AJ106">
        <v>1</v>
      </c>
      <c r="AK106">
        <v>1</v>
      </c>
      <c r="AL106">
        <v>1</v>
      </c>
      <c r="AM106">
        <v>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0.1</v>
      </c>
      <c r="AU106" t="s">
        <v>3</v>
      </c>
      <c r="AV106">
        <v>0</v>
      </c>
      <c r="AW106">
        <v>2</v>
      </c>
      <c r="AX106">
        <v>74017881</v>
      </c>
      <c r="AY106">
        <v>1</v>
      </c>
      <c r="AZ106">
        <v>0</v>
      </c>
      <c r="BA106">
        <v>117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3.5710000000000002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3.5710000000000002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1</v>
      </c>
      <c r="CV106">
        <v>0</v>
      </c>
      <c r="CW106">
        <v>0</v>
      </c>
      <c r="CX106">
        <f>ROUND(Y106*Source!I99,7)</f>
        <v>1.04E-2</v>
      </c>
      <c r="CY106">
        <f>AA106</f>
        <v>31.42</v>
      </c>
      <c r="CZ106">
        <f>AE106</f>
        <v>35.71</v>
      </c>
      <c r="DA106">
        <f>AI106</f>
        <v>0.88</v>
      </c>
      <c r="DB106">
        <f t="shared" si="32"/>
        <v>3.57</v>
      </c>
      <c r="DC106">
        <f t="shared" si="33"/>
        <v>0</v>
      </c>
      <c r="DD106" t="s">
        <v>3</v>
      </c>
      <c r="DE106" t="s">
        <v>3</v>
      </c>
      <c r="DF106">
        <f>ROUND(ROUND(AE106*AI106,2)*CX106,2)</f>
        <v>0.33</v>
      </c>
      <c r="DG106">
        <f>ROUND(ROUND(AF106,2)*CX106,2)</f>
        <v>0</v>
      </c>
      <c r="DH106">
        <f t="shared" si="26"/>
        <v>0</v>
      </c>
      <c r="DI106">
        <f t="shared" si="27"/>
        <v>0</v>
      </c>
      <c r="DJ106">
        <f>DF106</f>
        <v>0.33</v>
      </c>
      <c r="DK106">
        <v>0</v>
      </c>
      <c r="DL106" t="s">
        <v>3</v>
      </c>
      <c r="DM106">
        <v>0</v>
      </c>
      <c r="DN106" t="s">
        <v>3</v>
      </c>
      <c r="DO106">
        <v>0</v>
      </c>
    </row>
    <row r="107" spans="1:119" x14ac:dyDescent="0.2">
      <c r="A107">
        <f>ROW(Source!A99)</f>
        <v>99</v>
      </c>
      <c r="B107">
        <v>74014550</v>
      </c>
      <c r="C107">
        <v>74016319</v>
      </c>
      <c r="D107">
        <v>72591641</v>
      </c>
      <c r="E107">
        <v>1</v>
      </c>
      <c r="F107">
        <v>1</v>
      </c>
      <c r="G107">
        <v>1</v>
      </c>
      <c r="H107">
        <v>3</v>
      </c>
      <c r="I107" t="s">
        <v>652</v>
      </c>
      <c r="J107" t="s">
        <v>653</v>
      </c>
      <c r="K107" t="s">
        <v>654</v>
      </c>
      <c r="L107">
        <v>1346</v>
      </c>
      <c r="N107">
        <v>1009</v>
      </c>
      <c r="O107" t="s">
        <v>314</v>
      </c>
      <c r="P107" t="s">
        <v>314</v>
      </c>
      <c r="Q107">
        <v>1</v>
      </c>
      <c r="W107">
        <v>0</v>
      </c>
      <c r="X107">
        <v>1211104170</v>
      </c>
      <c r="Y107">
        <f t="shared" si="31"/>
        <v>0.01</v>
      </c>
      <c r="AA107">
        <v>114.25</v>
      </c>
      <c r="AB107">
        <v>0</v>
      </c>
      <c r="AC107">
        <v>0</v>
      </c>
      <c r="AD107">
        <v>0</v>
      </c>
      <c r="AE107">
        <v>114.25</v>
      </c>
      <c r="AF107">
        <v>0</v>
      </c>
      <c r="AG107">
        <v>0</v>
      </c>
      <c r="AH107">
        <v>0</v>
      </c>
      <c r="AI107">
        <v>1</v>
      </c>
      <c r="AJ107">
        <v>1</v>
      </c>
      <c r="AK107">
        <v>1</v>
      </c>
      <c r="AL107">
        <v>1</v>
      </c>
      <c r="AM107">
        <v>-2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0.01</v>
      </c>
      <c r="AU107" t="s">
        <v>3</v>
      </c>
      <c r="AV107">
        <v>0</v>
      </c>
      <c r="AW107">
        <v>2</v>
      </c>
      <c r="AX107">
        <v>74017882</v>
      </c>
      <c r="AY107">
        <v>1</v>
      </c>
      <c r="AZ107">
        <v>0</v>
      </c>
      <c r="BA107">
        <v>118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1.1425000000000001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1.1425000000000001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CV107">
        <v>0</v>
      </c>
      <c r="CW107">
        <v>0</v>
      </c>
      <c r="CX107">
        <f>ROUND(Y107*Source!I99,7)</f>
        <v>1.0399999999999999E-3</v>
      </c>
      <c r="CY107">
        <f>AA107</f>
        <v>114.25</v>
      </c>
      <c r="CZ107">
        <f>AE107</f>
        <v>114.25</v>
      </c>
      <c r="DA107">
        <f>AI107</f>
        <v>1</v>
      </c>
      <c r="DB107">
        <f t="shared" si="32"/>
        <v>1.1399999999999999</v>
      </c>
      <c r="DC107">
        <f t="shared" si="33"/>
        <v>0</v>
      </c>
      <c r="DD107" t="s">
        <v>3</v>
      </c>
      <c r="DE107" t="s">
        <v>3</v>
      </c>
      <c r="DF107">
        <f t="shared" ref="DF107:DF119" si="34">ROUND(ROUND(AE107,2)*CX107,2)</f>
        <v>0.12</v>
      </c>
      <c r="DG107">
        <f>ROUND(ROUND(AF107,2)*CX107,2)</f>
        <v>0</v>
      </c>
      <c r="DH107">
        <f t="shared" si="26"/>
        <v>0</v>
      </c>
      <c r="DI107">
        <f t="shared" si="27"/>
        <v>0</v>
      </c>
      <c r="DJ107">
        <f>DF107</f>
        <v>0.12</v>
      </c>
      <c r="DK107">
        <v>1</v>
      </c>
      <c r="DL107" t="s">
        <v>3</v>
      </c>
      <c r="DM107">
        <v>0</v>
      </c>
      <c r="DN107" t="s">
        <v>3</v>
      </c>
      <c r="DO107">
        <v>0</v>
      </c>
    </row>
    <row r="108" spans="1:119" x14ac:dyDescent="0.2">
      <c r="A108">
        <f>ROW(Source!A100)</f>
        <v>100</v>
      </c>
      <c r="B108">
        <v>74014550</v>
      </c>
      <c r="C108">
        <v>74016333</v>
      </c>
      <c r="D108">
        <v>20055278</v>
      </c>
      <c r="E108">
        <v>118</v>
      </c>
      <c r="F108">
        <v>1</v>
      </c>
      <c r="G108">
        <v>1</v>
      </c>
      <c r="H108">
        <v>1</v>
      </c>
      <c r="I108" t="s">
        <v>642</v>
      </c>
      <c r="J108" t="s">
        <v>3</v>
      </c>
      <c r="K108" t="s">
        <v>643</v>
      </c>
      <c r="L108">
        <v>1191</v>
      </c>
      <c r="N108">
        <v>1013</v>
      </c>
      <c r="O108" t="s">
        <v>484</v>
      </c>
      <c r="P108" t="s">
        <v>484</v>
      </c>
      <c r="Q108">
        <v>1</v>
      </c>
      <c r="W108">
        <v>0</v>
      </c>
      <c r="X108">
        <v>888410196</v>
      </c>
      <c r="Y108">
        <f t="shared" si="31"/>
        <v>14</v>
      </c>
      <c r="AA108">
        <v>0</v>
      </c>
      <c r="AB108">
        <v>0</v>
      </c>
      <c r="AC108">
        <v>0</v>
      </c>
      <c r="AD108">
        <v>400.24</v>
      </c>
      <c r="AE108">
        <v>0</v>
      </c>
      <c r="AF108">
        <v>0</v>
      </c>
      <c r="AG108">
        <v>0</v>
      </c>
      <c r="AH108">
        <v>400.24</v>
      </c>
      <c r="AI108">
        <v>1</v>
      </c>
      <c r="AJ108">
        <v>1</v>
      </c>
      <c r="AK108">
        <v>1</v>
      </c>
      <c r="AL108">
        <v>1</v>
      </c>
      <c r="AM108">
        <v>-2</v>
      </c>
      <c r="AN108">
        <v>0</v>
      </c>
      <c r="AO108">
        <v>0</v>
      </c>
      <c r="AP108">
        <v>0</v>
      </c>
      <c r="AQ108">
        <v>1</v>
      </c>
      <c r="AR108">
        <v>0</v>
      </c>
      <c r="AS108" t="s">
        <v>3</v>
      </c>
      <c r="AT108">
        <v>14</v>
      </c>
      <c r="AU108" t="s">
        <v>3</v>
      </c>
      <c r="AV108">
        <v>1</v>
      </c>
      <c r="AW108">
        <v>2</v>
      </c>
      <c r="AX108">
        <v>74016338</v>
      </c>
      <c r="AY108">
        <v>2</v>
      </c>
      <c r="AZ108">
        <v>131072</v>
      </c>
      <c r="BA108">
        <v>120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5603.3600000000006</v>
      </c>
      <c r="BN108">
        <v>14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5603.3600000000006</v>
      </c>
      <c r="BU108">
        <v>14</v>
      </c>
      <c r="BV108">
        <v>0</v>
      </c>
      <c r="BW108">
        <v>1</v>
      </c>
      <c r="CU108">
        <f>ROUND(AT108*Source!I100*AH108*AL108,2)</f>
        <v>5603.36</v>
      </c>
      <c r="CV108">
        <f>ROUND(Y108*Source!I100,7)</f>
        <v>14</v>
      </c>
      <c r="CW108">
        <v>0</v>
      </c>
      <c r="CX108">
        <f>ROUND(Y108*Source!I100,7)</f>
        <v>14</v>
      </c>
      <c r="CY108">
        <f>AD108</f>
        <v>400.24</v>
      </c>
      <c r="CZ108">
        <f>AH108</f>
        <v>400.24</v>
      </c>
      <c r="DA108">
        <f>AL108</f>
        <v>1</v>
      </c>
      <c r="DB108">
        <f t="shared" si="32"/>
        <v>5603.36</v>
      </c>
      <c r="DC108">
        <f t="shared" si="33"/>
        <v>0</v>
      </c>
      <c r="DD108" t="s">
        <v>3</v>
      </c>
      <c r="DE108" t="s">
        <v>3</v>
      </c>
      <c r="DF108">
        <f t="shared" si="34"/>
        <v>0</v>
      </c>
      <c r="DG108">
        <f>ROUND(ROUND(AF108,2)*CX108,2)</f>
        <v>0</v>
      </c>
      <c r="DH108">
        <f t="shared" si="26"/>
        <v>0</v>
      </c>
      <c r="DI108">
        <f t="shared" si="27"/>
        <v>5603.36</v>
      </c>
      <c r="DJ108">
        <f>DI108</f>
        <v>5603.36</v>
      </c>
      <c r="DK108">
        <v>1</v>
      </c>
      <c r="DL108" t="s">
        <v>3</v>
      </c>
      <c r="DM108">
        <v>0</v>
      </c>
      <c r="DN108" t="s">
        <v>3</v>
      </c>
      <c r="DO108">
        <v>0</v>
      </c>
    </row>
    <row r="109" spans="1:119" x14ac:dyDescent="0.2">
      <c r="A109">
        <f>ROW(Source!A100)</f>
        <v>100</v>
      </c>
      <c r="B109">
        <v>74014550</v>
      </c>
      <c r="C109">
        <v>74016333</v>
      </c>
      <c r="D109">
        <v>20049115</v>
      </c>
      <c r="E109">
        <v>118</v>
      </c>
      <c r="F109">
        <v>1</v>
      </c>
      <c r="G109">
        <v>1</v>
      </c>
      <c r="H109">
        <v>1</v>
      </c>
      <c r="I109" t="s">
        <v>482</v>
      </c>
      <c r="J109" t="s">
        <v>3</v>
      </c>
      <c r="K109" t="s">
        <v>483</v>
      </c>
      <c r="L109">
        <v>1191</v>
      </c>
      <c r="N109">
        <v>1013</v>
      </c>
      <c r="O109" t="s">
        <v>484</v>
      </c>
      <c r="P109" t="s">
        <v>484</v>
      </c>
      <c r="Q109">
        <v>1</v>
      </c>
      <c r="W109">
        <v>0</v>
      </c>
      <c r="X109">
        <v>-1417349443</v>
      </c>
      <c r="Y109">
        <f t="shared" si="31"/>
        <v>9.8000000000000007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1</v>
      </c>
      <c r="AK109">
        <v>1</v>
      </c>
      <c r="AL109">
        <v>1</v>
      </c>
      <c r="AM109">
        <v>-2</v>
      </c>
      <c r="AN109">
        <v>0</v>
      </c>
      <c r="AO109">
        <v>0</v>
      </c>
      <c r="AP109">
        <v>0</v>
      </c>
      <c r="AQ109">
        <v>1</v>
      </c>
      <c r="AR109">
        <v>0</v>
      </c>
      <c r="AS109" t="s">
        <v>3</v>
      </c>
      <c r="AT109">
        <v>9.8000000000000007</v>
      </c>
      <c r="AU109" t="s">
        <v>3</v>
      </c>
      <c r="AV109">
        <v>2</v>
      </c>
      <c r="AW109">
        <v>2</v>
      </c>
      <c r="AX109">
        <v>74016339</v>
      </c>
      <c r="AY109">
        <v>1</v>
      </c>
      <c r="AZ109">
        <v>0</v>
      </c>
      <c r="BA109">
        <v>121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CV109">
        <v>0</v>
      </c>
      <c r="CW109">
        <v>0</v>
      </c>
      <c r="CX109">
        <f>ROUND(Y109*Source!I100,7)</f>
        <v>9.8000000000000007</v>
      </c>
      <c r="CY109">
        <f>AD109</f>
        <v>0</v>
      </c>
      <c r="CZ109">
        <f>AH109</f>
        <v>0</v>
      </c>
      <c r="DA109">
        <f>AL109</f>
        <v>1</v>
      </c>
      <c r="DB109">
        <f t="shared" si="32"/>
        <v>0</v>
      </c>
      <c r="DC109">
        <f t="shared" si="33"/>
        <v>0</v>
      </c>
      <c r="DD109" t="s">
        <v>3</v>
      </c>
      <c r="DE109" t="s">
        <v>3</v>
      </c>
      <c r="DF109">
        <f t="shared" si="34"/>
        <v>0</v>
      </c>
      <c r="DG109">
        <f>ROUND(ROUND(AF109,2)*CX109,2)</f>
        <v>0</v>
      </c>
      <c r="DH109">
        <f t="shared" si="26"/>
        <v>0</v>
      </c>
      <c r="DI109">
        <f t="shared" si="27"/>
        <v>0</v>
      </c>
      <c r="DJ109">
        <f>DI109</f>
        <v>0</v>
      </c>
      <c r="DK109">
        <v>0</v>
      </c>
      <c r="DL109" t="s">
        <v>3</v>
      </c>
      <c r="DM109">
        <v>0</v>
      </c>
      <c r="DN109" t="s">
        <v>3</v>
      </c>
      <c r="DO109">
        <v>0</v>
      </c>
    </row>
    <row r="110" spans="1:119" x14ac:dyDescent="0.2">
      <c r="A110">
        <f>ROW(Source!A100)</f>
        <v>100</v>
      </c>
      <c r="B110">
        <v>74014550</v>
      </c>
      <c r="C110">
        <v>74016333</v>
      </c>
      <c r="D110">
        <v>70618538</v>
      </c>
      <c r="E110">
        <v>1</v>
      </c>
      <c r="F110">
        <v>1</v>
      </c>
      <c r="G110">
        <v>1</v>
      </c>
      <c r="H110">
        <v>2</v>
      </c>
      <c r="I110" t="s">
        <v>644</v>
      </c>
      <c r="J110" t="s">
        <v>645</v>
      </c>
      <c r="K110" t="s">
        <v>646</v>
      </c>
      <c r="L110">
        <v>1368</v>
      </c>
      <c r="N110">
        <v>1011</v>
      </c>
      <c r="O110" t="s">
        <v>488</v>
      </c>
      <c r="P110" t="s">
        <v>488</v>
      </c>
      <c r="Q110">
        <v>1</v>
      </c>
      <c r="W110">
        <v>0</v>
      </c>
      <c r="X110">
        <v>-1551494488</v>
      </c>
      <c r="Y110">
        <f t="shared" si="31"/>
        <v>2.8</v>
      </c>
      <c r="AA110">
        <v>0</v>
      </c>
      <c r="AB110">
        <v>1595.78</v>
      </c>
      <c r="AC110">
        <v>537.64</v>
      </c>
      <c r="AD110">
        <v>0</v>
      </c>
      <c r="AE110">
        <v>0</v>
      </c>
      <c r="AF110">
        <v>1070.99</v>
      </c>
      <c r="AG110">
        <v>537.64</v>
      </c>
      <c r="AH110">
        <v>0</v>
      </c>
      <c r="AI110">
        <v>1</v>
      </c>
      <c r="AJ110">
        <v>1.49</v>
      </c>
      <c r="AK110">
        <v>1</v>
      </c>
      <c r="AL110">
        <v>1</v>
      </c>
      <c r="AM110">
        <v>2</v>
      </c>
      <c r="AN110">
        <v>0</v>
      </c>
      <c r="AO110">
        <v>0</v>
      </c>
      <c r="AP110">
        <v>0</v>
      </c>
      <c r="AQ110">
        <v>1</v>
      </c>
      <c r="AR110">
        <v>0</v>
      </c>
      <c r="AS110" t="s">
        <v>3</v>
      </c>
      <c r="AT110">
        <v>2.8</v>
      </c>
      <c r="AU110" t="s">
        <v>3</v>
      </c>
      <c r="AV110">
        <v>1</v>
      </c>
      <c r="AW110">
        <v>2</v>
      </c>
      <c r="AX110">
        <v>74016340</v>
      </c>
      <c r="AY110">
        <v>2</v>
      </c>
      <c r="AZ110">
        <v>98304</v>
      </c>
      <c r="BA110">
        <v>122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2998.7719999999999</v>
      </c>
      <c r="BL110">
        <v>1505.3919999999998</v>
      </c>
      <c r="BM110">
        <v>0</v>
      </c>
      <c r="BN110">
        <v>0</v>
      </c>
      <c r="BO110">
        <v>2.8</v>
      </c>
      <c r="BP110">
        <v>1</v>
      </c>
      <c r="BQ110">
        <v>0</v>
      </c>
      <c r="BR110">
        <v>2998.7719999999999</v>
      </c>
      <c r="BS110">
        <v>1505.3919999999998</v>
      </c>
      <c r="BT110">
        <v>0</v>
      </c>
      <c r="BU110">
        <v>0</v>
      </c>
      <c r="BV110">
        <v>2.8</v>
      </c>
      <c r="BW110">
        <v>1</v>
      </c>
      <c r="CV110">
        <v>0</v>
      </c>
      <c r="CW110">
        <f>ROUND(Y110*Source!I100*DO110,7)</f>
        <v>2.8</v>
      </c>
      <c r="CX110">
        <f>ROUND(Y110*Source!I100,7)</f>
        <v>2.8</v>
      </c>
      <c r="CY110">
        <f>AB110</f>
        <v>1595.78</v>
      </c>
      <c r="CZ110">
        <f>AF110</f>
        <v>1070.99</v>
      </c>
      <c r="DA110">
        <f>AJ110</f>
        <v>1.49</v>
      </c>
      <c r="DB110">
        <f t="shared" si="32"/>
        <v>2998.77</v>
      </c>
      <c r="DC110">
        <f t="shared" si="33"/>
        <v>1505.39</v>
      </c>
      <c r="DD110" t="s">
        <v>3</v>
      </c>
      <c r="DE110" t="s">
        <v>3</v>
      </c>
      <c r="DF110">
        <f t="shared" si="34"/>
        <v>0</v>
      </c>
      <c r="DG110">
        <f>ROUND(ROUND(AF110*AJ110,2)*CX110,2)</f>
        <v>4468.18</v>
      </c>
      <c r="DH110">
        <f t="shared" si="26"/>
        <v>1505.39</v>
      </c>
      <c r="DI110">
        <f t="shared" si="27"/>
        <v>0</v>
      </c>
      <c r="DJ110">
        <f>DG110+DH110</f>
        <v>5973.5700000000006</v>
      </c>
      <c r="DK110">
        <v>0</v>
      </c>
      <c r="DL110" t="s">
        <v>489</v>
      </c>
      <c r="DM110">
        <v>6</v>
      </c>
      <c r="DN110" t="s">
        <v>484</v>
      </c>
      <c r="DO110">
        <v>1</v>
      </c>
    </row>
    <row r="111" spans="1:119" x14ac:dyDescent="0.2">
      <c r="A111">
        <f>ROW(Source!A100)</f>
        <v>100</v>
      </c>
      <c r="B111">
        <v>74014550</v>
      </c>
      <c r="C111">
        <v>74016333</v>
      </c>
      <c r="D111">
        <v>70618767</v>
      </c>
      <c r="E111">
        <v>1</v>
      </c>
      <c r="F111">
        <v>1</v>
      </c>
      <c r="G111">
        <v>1</v>
      </c>
      <c r="H111">
        <v>2</v>
      </c>
      <c r="I111" t="s">
        <v>511</v>
      </c>
      <c r="J111" t="s">
        <v>512</v>
      </c>
      <c r="K111" t="s">
        <v>513</v>
      </c>
      <c r="L111">
        <v>1368</v>
      </c>
      <c r="N111">
        <v>1011</v>
      </c>
      <c r="O111" t="s">
        <v>488</v>
      </c>
      <c r="P111" t="s">
        <v>488</v>
      </c>
      <c r="Q111">
        <v>1</v>
      </c>
      <c r="W111">
        <v>0</v>
      </c>
      <c r="X111">
        <v>1818041354</v>
      </c>
      <c r="Y111">
        <f t="shared" si="31"/>
        <v>7</v>
      </c>
      <c r="AA111">
        <v>0</v>
      </c>
      <c r="AB111">
        <v>417.12</v>
      </c>
      <c r="AC111">
        <v>400.24</v>
      </c>
      <c r="AD111">
        <v>0</v>
      </c>
      <c r="AE111">
        <v>0</v>
      </c>
      <c r="AF111">
        <v>417.12</v>
      </c>
      <c r="AG111">
        <v>400.24</v>
      </c>
      <c r="AH111">
        <v>0</v>
      </c>
      <c r="AI111">
        <v>1</v>
      </c>
      <c r="AJ111">
        <v>1</v>
      </c>
      <c r="AK111">
        <v>1</v>
      </c>
      <c r="AL111">
        <v>1</v>
      </c>
      <c r="AM111">
        <v>-2</v>
      </c>
      <c r="AN111">
        <v>0</v>
      </c>
      <c r="AO111">
        <v>0</v>
      </c>
      <c r="AP111">
        <v>0</v>
      </c>
      <c r="AQ111">
        <v>1</v>
      </c>
      <c r="AR111">
        <v>0</v>
      </c>
      <c r="AS111" t="s">
        <v>3</v>
      </c>
      <c r="AT111">
        <v>7</v>
      </c>
      <c r="AU111" t="s">
        <v>3</v>
      </c>
      <c r="AV111">
        <v>1</v>
      </c>
      <c r="AW111">
        <v>2</v>
      </c>
      <c r="AX111">
        <v>74016341</v>
      </c>
      <c r="AY111">
        <v>2</v>
      </c>
      <c r="AZ111">
        <v>98304</v>
      </c>
      <c r="BA111">
        <v>123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2919.84</v>
      </c>
      <c r="BL111">
        <v>2801.6800000000003</v>
      </c>
      <c r="BM111">
        <v>0</v>
      </c>
      <c r="BN111">
        <v>0</v>
      </c>
      <c r="BO111">
        <v>7</v>
      </c>
      <c r="BP111">
        <v>1</v>
      </c>
      <c r="BQ111">
        <v>0</v>
      </c>
      <c r="BR111">
        <v>2919.84</v>
      </c>
      <c r="BS111">
        <v>2801.6800000000003</v>
      </c>
      <c r="BT111">
        <v>0</v>
      </c>
      <c r="BU111">
        <v>0</v>
      </c>
      <c r="BV111">
        <v>7</v>
      </c>
      <c r="BW111">
        <v>1</v>
      </c>
      <c r="CV111">
        <v>0</v>
      </c>
      <c r="CW111">
        <f>ROUND(Y111*Source!I100*DO111,7)</f>
        <v>7</v>
      </c>
      <c r="CX111">
        <f>ROUND(Y111*Source!I100,7)</f>
        <v>7</v>
      </c>
      <c r="CY111">
        <f>AB111</f>
        <v>417.12</v>
      </c>
      <c r="CZ111">
        <f>AF111</f>
        <v>417.12</v>
      </c>
      <c r="DA111">
        <f>AJ111</f>
        <v>1</v>
      </c>
      <c r="DB111">
        <f t="shared" si="32"/>
        <v>2919.84</v>
      </c>
      <c r="DC111">
        <f t="shared" si="33"/>
        <v>2801.68</v>
      </c>
      <c r="DD111" t="s">
        <v>3</v>
      </c>
      <c r="DE111" t="s">
        <v>3</v>
      </c>
      <c r="DF111">
        <f t="shared" si="34"/>
        <v>0</v>
      </c>
      <c r="DG111">
        <f>ROUND(ROUND(AF111,2)*CX111,2)</f>
        <v>2919.84</v>
      </c>
      <c r="DH111">
        <f t="shared" si="26"/>
        <v>2801.68</v>
      </c>
      <c r="DI111">
        <f t="shared" si="27"/>
        <v>0</v>
      </c>
      <c r="DJ111">
        <f>DG111+DH111</f>
        <v>5721.52</v>
      </c>
      <c r="DK111">
        <v>1</v>
      </c>
      <c r="DL111" t="s">
        <v>514</v>
      </c>
      <c r="DM111">
        <v>4</v>
      </c>
      <c r="DN111" t="s">
        <v>484</v>
      </c>
      <c r="DO111">
        <v>1</v>
      </c>
    </row>
    <row r="112" spans="1:119" x14ac:dyDescent="0.2">
      <c r="A112">
        <f>ROW(Source!A136)</f>
        <v>136</v>
      </c>
      <c r="B112">
        <v>74014550</v>
      </c>
      <c r="C112">
        <v>74016400</v>
      </c>
      <c r="D112">
        <v>20054330</v>
      </c>
      <c r="E112">
        <v>119</v>
      </c>
      <c r="F112">
        <v>1</v>
      </c>
      <c r="G112">
        <v>1</v>
      </c>
      <c r="H112">
        <v>1</v>
      </c>
      <c r="I112" t="s">
        <v>503</v>
      </c>
      <c r="J112" t="s">
        <v>3</v>
      </c>
      <c r="K112" t="s">
        <v>504</v>
      </c>
      <c r="L112">
        <v>1191</v>
      </c>
      <c r="N112">
        <v>1013</v>
      </c>
      <c r="O112" t="s">
        <v>484</v>
      </c>
      <c r="P112" t="s">
        <v>484</v>
      </c>
      <c r="Q112">
        <v>1</v>
      </c>
      <c r="W112">
        <v>0</v>
      </c>
      <c r="X112">
        <v>-1461236815</v>
      </c>
      <c r="Y112">
        <f t="shared" si="31"/>
        <v>20.51</v>
      </c>
      <c r="AA112">
        <v>0</v>
      </c>
      <c r="AB112">
        <v>0</v>
      </c>
      <c r="AC112">
        <v>0</v>
      </c>
      <c r="AD112">
        <v>373.36</v>
      </c>
      <c r="AE112">
        <v>0</v>
      </c>
      <c r="AF112">
        <v>0</v>
      </c>
      <c r="AG112">
        <v>0</v>
      </c>
      <c r="AH112">
        <v>373.36</v>
      </c>
      <c r="AI112">
        <v>1</v>
      </c>
      <c r="AJ112">
        <v>1</v>
      </c>
      <c r="AK112">
        <v>1</v>
      </c>
      <c r="AL112">
        <v>1</v>
      </c>
      <c r="AM112">
        <v>-2</v>
      </c>
      <c r="AN112">
        <v>0</v>
      </c>
      <c r="AO112">
        <v>0</v>
      </c>
      <c r="AP112">
        <v>1</v>
      </c>
      <c r="AQ112">
        <v>1</v>
      </c>
      <c r="AR112">
        <v>0</v>
      </c>
      <c r="AS112" t="s">
        <v>3</v>
      </c>
      <c r="AT112">
        <v>20.51</v>
      </c>
      <c r="AU112" t="s">
        <v>3</v>
      </c>
      <c r="AV112">
        <v>1</v>
      </c>
      <c r="AW112">
        <v>2</v>
      </c>
      <c r="AX112">
        <v>74016415</v>
      </c>
      <c r="AY112">
        <v>1</v>
      </c>
      <c r="AZ112">
        <v>0</v>
      </c>
      <c r="BA112">
        <v>124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7657.6136000000006</v>
      </c>
      <c r="BN112">
        <v>20.51</v>
      </c>
      <c r="BO112">
        <v>0</v>
      </c>
      <c r="BP112">
        <v>1</v>
      </c>
      <c r="BQ112">
        <v>0</v>
      </c>
      <c r="BR112">
        <v>0</v>
      </c>
      <c r="BS112">
        <v>0</v>
      </c>
      <c r="BT112">
        <v>7657.6136000000006</v>
      </c>
      <c r="BU112">
        <v>20.51</v>
      </c>
      <c r="BV112">
        <v>0</v>
      </c>
      <c r="BW112">
        <v>1</v>
      </c>
      <c r="CU112">
        <f>ROUND(AT112*Source!I136*AH112*AL112,2)</f>
        <v>172.3</v>
      </c>
      <c r="CV112">
        <f>ROUND(Y112*Source!I136,7)</f>
        <v>0.46147500000000002</v>
      </c>
      <c r="CW112">
        <v>0</v>
      </c>
      <c r="CX112">
        <f>ROUND(Y112*Source!I136,7)</f>
        <v>0.46147500000000002</v>
      </c>
      <c r="CY112">
        <f>AD112</f>
        <v>373.36</v>
      </c>
      <c r="CZ112">
        <f>AH112</f>
        <v>373.36</v>
      </c>
      <c r="DA112">
        <f>AL112</f>
        <v>1</v>
      </c>
      <c r="DB112">
        <f t="shared" si="32"/>
        <v>7657.61</v>
      </c>
      <c r="DC112">
        <f t="shared" si="33"/>
        <v>0</v>
      </c>
      <c r="DD112" t="s">
        <v>3</v>
      </c>
      <c r="DE112" t="s">
        <v>3</v>
      </c>
      <c r="DF112">
        <f t="shared" si="34"/>
        <v>0</v>
      </c>
      <c r="DG112">
        <f>ROUND(ROUND(AF112,2)*CX112,2)</f>
        <v>0</v>
      </c>
      <c r="DH112">
        <f t="shared" si="26"/>
        <v>0</v>
      </c>
      <c r="DI112">
        <f t="shared" si="27"/>
        <v>172.3</v>
      </c>
      <c r="DJ112">
        <f>DI112</f>
        <v>172.3</v>
      </c>
      <c r="DK112">
        <v>1</v>
      </c>
      <c r="DL112" t="s">
        <v>3</v>
      </c>
      <c r="DM112">
        <v>0</v>
      </c>
      <c r="DN112" t="s">
        <v>3</v>
      </c>
      <c r="DO112">
        <v>0</v>
      </c>
    </row>
    <row r="113" spans="1:119" x14ac:dyDescent="0.2">
      <c r="A113">
        <f>ROW(Source!A136)</f>
        <v>136</v>
      </c>
      <c r="B113">
        <v>74014550</v>
      </c>
      <c r="C113">
        <v>74016400</v>
      </c>
      <c r="D113">
        <v>20049115</v>
      </c>
      <c r="E113">
        <v>119</v>
      </c>
      <c r="F113">
        <v>1</v>
      </c>
      <c r="G113">
        <v>1</v>
      </c>
      <c r="H113">
        <v>1</v>
      </c>
      <c r="I113" t="s">
        <v>482</v>
      </c>
      <c r="J113" t="s">
        <v>3</v>
      </c>
      <c r="K113" t="s">
        <v>483</v>
      </c>
      <c r="L113">
        <v>1191</v>
      </c>
      <c r="N113">
        <v>1013</v>
      </c>
      <c r="O113" t="s">
        <v>484</v>
      </c>
      <c r="P113" t="s">
        <v>484</v>
      </c>
      <c r="Q113">
        <v>1</v>
      </c>
      <c r="W113">
        <v>0</v>
      </c>
      <c r="X113">
        <v>-1417349443</v>
      </c>
      <c r="Y113">
        <f t="shared" si="31"/>
        <v>11.96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1</v>
      </c>
      <c r="AQ113">
        <v>1</v>
      </c>
      <c r="AR113">
        <v>0</v>
      </c>
      <c r="AS113" t="s">
        <v>3</v>
      </c>
      <c r="AT113">
        <v>11.96</v>
      </c>
      <c r="AU113" t="s">
        <v>3</v>
      </c>
      <c r="AV113">
        <v>2</v>
      </c>
      <c r="AW113">
        <v>2</v>
      </c>
      <c r="AX113">
        <v>74016416</v>
      </c>
      <c r="AY113">
        <v>1</v>
      </c>
      <c r="AZ113">
        <v>0</v>
      </c>
      <c r="BA113">
        <v>125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CV113">
        <v>0</v>
      </c>
      <c r="CW113">
        <v>0</v>
      </c>
      <c r="CX113">
        <f>ROUND(Y113*Source!I136,7)</f>
        <v>0.26910000000000001</v>
      </c>
      <c r="CY113">
        <f>AD113</f>
        <v>0</v>
      </c>
      <c r="CZ113">
        <f>AH113</f>
        <v>0</v>
      </c>
      <c r="DA113">
        <f>AL113</f>
        <v>1</v>
      </c>
      <c r="DB113">
        <f t="shared" si="32"/>
        <v>0</v>
      </c>
      <c r="DC113">
        <f t="shared" si="33"/>
        <v>0</v>
      </c>
      <c r="DD113" t="s">
        <v>3</v>
      </c>
      <c r="DE113" t="s">
        <v>3</v>
      </c>
      <c r="DF113">
        <f t="shared" si="34"/>
        <v>0</v>
      </c>
      <c r="DG113">
        <f>ROUND(ROUND(AF113,2)*CX113,2)</f>
        <v>0</v>
      </c>
      <c r="DH113">
        <f t="shared" si="26"/>
        <v>0</v>
      </c>
      <c r="DI113">
        <f t="shared" si="27"/>
        <v>0</v>
      </c>
      <c r="DJ113">
        <f>DI113</f>
        <v>0</v>
      </c>
      <c r="DK113">
        <v>0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ROW(Source!A136)</f>
        <v>136</v>
      </c>
      <c r="B114">
        <v>74014550</v>
      </c>
      <c r="C114">
        <v>74016400</v>
      </c>
      <c r="D114">
        <v>72646682</v>
      </c>
      <c r="E114">
        <v>1</v>
      </c>
      <c r="F114">
        <v>1</v>
      </c>
      <c r="G114">
        <v>1</v>
      </c>
      <c r="H114">
        <v>2</v>
      </c>
      <c r="I114" t="s">
        <v>505</v>
      </c>
      <c r="J114" t="s">
        <v>506</v>
      </c>
      <c r="K114" t="s">
        <v>507</v>
      </c>
      <c r="L114">
        <v>1368</v>
      </c>
      <c r="N114">
        <v>1011</v>
      </c>
      <c r="O114" t="s">
        <v>488</v>
      </c>
      <c r="P114" t="s">
        <v>488</v>
      </c>
      <c r="Q114">
        <v>1</v>
      </c>
      <c r="W114">
        <v>0</v>
      </c>
      <c r="X114">
        <v>-733090258</v>
      </c>
      <c r="Y114">
        <f t="shared" si="31"/>
        <v>11.44</v>
      </c>
      <c r="AA114">
        <v>0</v>
      </c>
      <c r="AB114">
        <v>1172.93</v>
      </c>
      <c r="AC114">
        <v>459.98</v>
      </c>
      <c r="AD114">
        <v>0</v>
      </c>
      <c r="AE114">
        <v>0</v>
      </c>
      <c r="AF114">
        <v>994.01</v>
      </c>
      <c r="AG114">
        <v>459.98</v>
      </c>
      <c r="AH114">
        <v>0</v>
      </c>
      <c r="AI114">
        <v>1</v>
      </c>
      <c r="AJ114">
        <v>1.18</v>
      </c>
      <c r="AK114">
        <v>1</v>
      </c>
      <c r="AL114">
        <v>1</v>
      </c>
      <c r="AM114">
        <v>2</v>
      </c>
      <c r="AN114">
        <v>0</v>
      </c>
      <c r="AO114">
        <v>0</v>
      </c>
      <c r="AP114">
        <v>1</v>
      </c>
      <c r="AQ114">
        <v>1</v>
      </c>
      <c r="AR114">
        <v>0</v>
      </c>
      <c r="AS114" t="s">
        <v>3</v>
      </c>
      <c r="AT114">
        <v>11.44</v>
      </c>
      <c r="AU114" t="s">
        <v>3</v>
      </c>
      <c r="AV114">
        <v>1</v>
      </c>
      <c r="AW114">
        <v>2</v>
      </c>
      <c r="AX114">
        <v>74016417</v>
      </c>
      <c r="AY114">
        <v>1</v>
      </c>
      <c r="AZ114">
        <v>0</v>
      </c>
      <c r="BA114">
        <v>126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11371.474399999999</v>
      </c>
      <c r="BL114">
        <v>5262.1711999999998</v>
      </c>
      <c r="BM114">
        <v>0</v>
      </c>
      <c r="BN114">
        <v>0</v>
      </c>
      <c r="BO114">
        <v>11.44</v>
      </c>
      <c r="BP114">
        <v>1</v>
      </c>
      <c r="BQ114">
        <v>0</v>
      </c>
      <c r="BR114">
        <v>11371.474399999999</v>
      </c>
      <c r="BS114">
        <v>5262.1711999999998</v>
      </c>
      <c r="BT114">
        <v>0</v>
      </c>
      <c r="BU114">
        <v>0</v>
      </c>
      <c r="BV114">
        <v>11.44</v>
      </c>
      <c r="BW114">
        <v>1</v>
      </c>
      <c r="CV114">
        <v>0</v>
      </c>
      <c r="CW114">
        <f>ROUND(Y114*Source!I136*DO114,7)</f>
        <v>0.25740000000000002</v>
      </c>
      <c r="CX114">
        <f>ROUND(Y114*Source!I136,7)</f>
        <v>0.25740000000000002</v>
      </c>
      <c r="CY114">
        <f>AB114</f>
        <v>1172.93</v>
      </c>
      <c r="CZ114">
        <f>AF114</f>
        <v>994.01</v>
      </c>
      <c r="DA114">
        <f>AJ114</f>
        <v>1.18</v>
      </c>
      <c r="DB114">
        <f t="shared" si="32"/>
        <v>11371.47</v>
      </c>
      <c r="DC114">
        <f t="shared" si="33"/>
        <v>5262.17</v>
      </c>
      <c r="DD114" t="s">
        <v>3</v>
      </c>
      <c r="DE114" t="s">
        <v>3</v>
      </c>
      <c r="DF114">
        <f t="shared" si="34"/>
        <v>0</v>
      </c>
      <c r="DG114">
        <f>ROUND(ROUND(AF114*AJ114,2)*CX114,2)</f>
        <v>301.91000000000003</v>
      </c>
      <c r="DH114">
        <f t="shared" si="26"/>
        <v>118.4</v>
      </c>
      <c r="DI114">
        <f t="shared" si="27"/>
        <v>0</v>
      </c>
      <c r="DJ114">
        <f>DG114+DH114</f>
        <v>420.31000000000006</v>
      </c>
      <c r="DK114">
        <v>0</v>
      </c>
      <c r="DL114" t="s">
        <v>497</v>
      </c>
      <c r="DM114">
        <v>5</v>
      </c>
      <c r="DN114" t="s">
        <v>484</v>
      </c>
      <c r="DO114">
        <v>1</v>
      </c>
    </row>
    <row r="115" spans="1:119" x14ac:dyDescent="0.2">
      <c r="A115">
        <f>ROW(Source!A136)</f>
        <v>136</v>
      </c>
      <c r="B115">
        <v>74014550</v>
      </c>
      <c r="C115">
        <v>74016400</v>
      </c>
      <c r="D115">
        <v>72647129</v>
      </c>
      <c r="E115">
        <v>1</v>
      </c>
      <c r="F115">
        <v>1</v>
      </c>
      <c r="G115">
        <v>1</v>
      </c>
      <c r="H115">
        <v>2</v>
      </c>
      <c r="I115" t="s">
        <v>508</v>
      </c>
      <c r="J115" t="s">
        <v>509</v>
      </c>
      <c r="K115" t="s">
        <v>510</v>
      </c>
      <c r="L115">
        <v>1368</v>
      </c>
      <c r="N115">
        <v>1011</v>
      </c>
      <c r="O115" t="s">
        <v>488</v>
      </c>
      <c r="P115" t="s">
        <v>488</v>
      </c>
      <c r="Q115">
        <v>1</v>
      </c>
      <c r="W115">
        <v>0</v>
      </c>
      <c r="X115">
        <v>1678177714</v>
      </c>
      <c r="Y115">
        <f t="shared" si="31"/>
        <v>2.0699999999999998</v>
      </c>
      <c r="AA115">
        <v>0</v>
      </c>
      <c r="AB115">
        <v>43.87</v>
      </c>
      <c r="AC115">
        <v>0</v>
      </c>
      <c r="AD115">
        <v>0</v>
      </c>
      <c r="AE115">
        <v>0</v>
      </c>
      <c r="AF115">
        <v>43.87</v>
      </c>
      <c r="AG115">
        <v>0</v>
      </c>
      <c r="AH115">
        <v>0</v>
      </c>
      <c r="AI115">
        <v>1</v>
      </c>
      <c r="AJ115">
        <v>1</v>
      </c>
      <c r="AK115">
        <v>1</v>
      </c>
      <c r="AL115">
        <v>1</v>
      </c>
      <c r="AM115">
        <v>-2</v>
      </c>
      <c r="AN115">
        <v>0</v>
      </c>
      <c r="AO115">
        <v>0</v>
      </c>
      <c r="AP115">
        <v>1</v>
      </c>
      <c r="AQ115">
        <v>1</v>
      </c>
      <c r="AR115">
        <v>0</v>
      </c>
      <c r="AS115" t="s">
        <v>3</v>
      </c>
      <c r="AT115">
        <v>2.0699999999999998</v>
      </c>
      <c r="AU115" t="s">
        <v>3</v>
      </c>
      <c r="AV115">
        <v>1</v>
      </c>
      <c r="AW115">
        <v>2</v>
      </c>
      <c r="AX115">
        <v>74016418</v>
      </c>
      <c r="AY115">
        <v>1</v>
      </c>
      <c r="AZ115">
        <v>0</v>
      </c>
      <c r="BA115">
        <v>127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90.81089999999999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90.81089999999999</v>
      </c>
      <c r="BS115">
        <v>0</v>
      </c>
      <c r="BT115">
        <v>0</v>
      </c>
      <c r="BU115">
        <v>0</v>
      </c>
      <c r="BV115">
        <v>0</v>
      </c>
      <c r="BW115">
        <v>1</v>
      </c>
      <c r="CV115">
        <v>0</v>
      </c>
      <c r="CW115">
        <f>ROUND(Y115*Source!I136*DO115,7)</f>
        <v>0</v>
      </c>
      <c r="CX115">
        <f>ROUND(Y115*Source!I136,7)</f>
        <v>4.6574999999999998E-2</v>
      </c>
      <c r="CY115">
        <f>AB115</f>
        <v>43.87</v>
      </c>
      <c r="CZ115">
        <f>AF115</f>
        <v>43.87</v>
      </c>
      <c r="DA115">
        <f>AJ115</f>
        <v>1</v>
      </c>
      <c r="DB115">
        <f t="shared" si="32"/>
        <v>90.81</v>
      </c>
      <c r="DC115">
        <f t="shared" si="33"/>
        <v>0</v>
      </c>
      <c r="DD115" t="s">
        <v>3</v>
      </c>
      <c r="DE115" t="s">
        <v>3</v>
      </c>
      <c r="DF115">
        <f t="shared" si="34"/>
        <v>0</v>
      </c>
      <c r="DG115">
        <f>ROUND(ROUND(AF115,2)*CX115,2)</f>
        <v>2.04</v>
      </c>
      <c r="DH115">
        <f t="shared" si="26"/>
        <v>0</v>
      </c>
      <c r="DI115">
        <f t="shared" si="27"/>
        <v>0</v>
      </c>
      <c r="DJ115">
        <f>DG115+DH115</f>
        <v>2.04</v>
      </c>
      <c r="DK115">
        <v>1</v>
      </c>
      <c r="DL115" t="s">
        <v>3</v>
      </c>
      <c r="DM115">
        <v>0</v>
      </c>
      <c r="DN115" t="s">
        <v>3</v>
      </c>
      <c r="DO115">
        <v>0</v>
      </c>
    </row>
    <row r="116" spans="1:119" x14ac:dyDescent="0.2">
      <c r="A116">
        <f>ROW(Source!A136)</f>
        <v>136</v>
      </c>
      <c r="B116">
        <v>74014550</v>
      </c>
      <c r="C116">
        <v>74016400</v>
      </c>
      <c r="D116">
        <v>72647141</v>
      </c>
      <c r="E116">
        <v>1</v>
      </c>
      <c r="F116">
        <v>1</v>
      </c>
      <c r="G116">
        <v>1</v>
      </c>
      <c r="H116">
        <v>2</v>
      </c>
      <c r="I116" t="s">
        <v>511</v>
      </c>
      <c r="J116" t="s">
        <v>512</v>
      </c>
      <c r="K116" t="s">
        <v>513</v>
      </c>
      <c r="L116">
        <v>1368</v>
      </c>
      <c r="N116">
        <v>1011</v>
      </c>
      <c r="O116" t="s">
        <v>488</v>
      </c>
      <c r="P116" t="s">
        <v>488</v>
      </c>
      <c r="Q116">
        <v>1</v>
      </c>
      <c r="W116">
        <v>0</v>
      </c>
      <c r="X116">
        <v>-2130331961</v>
      </c>
      <c r="Y116">
        <f t="shared" si="31"/>
        <v>0.52</v>
      </c>
      <c r="AA116">
        <v>0</v>
      </c>
      <c r="AB116">
        <v>417.12</v>
      </c>
      <c r="AC116">
        <v>400.24</v>
      </c>
      <c r="AD116">
        <v>0</v>
      </c>
      <c r="AE116">
        <v>0</v>
      </c>
      <c r="AF116">
        <v>417.12</v>
      </c>
      <c r="AG116">
        <v>400.24</v>
      </c>
      <c r="AH116">
        <v>0</v>
      </c>
      <c r="AI116">
        <v>1</v>
      </c>
      <c r="AJ116">
        <v>1</v>
      </c>
      <c r="AK116">
        <v>1</v>
      </c>
      <c r="AL116">
        <v>1</v>
      </c>
      <c r="AM116">
        <v>-2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0.52</v>
      </c>
      <c r="AU116" t="s">
        <v>3</v>
      </c>
      <c r="AV116">
        <v>1</v>
      </c>
      <c r="AW116">
        <v>2</v>
      </c>
      <c r="AX116">
        <v>74016419</v>
      </c>
      <c r="AY116">
        <v>1</v>
      </c>
      <c r="AZ116">
        <v>0</v>
      </c>
      <c r="BA116">
        <v>128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216.9024</v>
      </c>
      <c r="BL116">
        <v>208.12480000000002</v>
      </c>
      <c r="BM116">
        <v>0</v>
      </c>
      <c r="BN116">
        <v>0</v>
      </c>
      <c r="BO116">
        <v>0.52</v>
      </c>
      <c r="BP116">
        <v>1</v>
      </c>
      <c r="BQ116">
        <v>0</v>
      </c>
      <c r="BR116">
        <v>216.9024</v>
      </c>
      <c r="BS116">
        <v>208.12480000000002</v>
      </c>
      <c r="BT116">
        <v>0</v>
      </c>
      <c r="BU116">
        <v>0</v>
      </c>
      <c r="BV116">
        <v>0.52</v>
      </c>
      <c r="BW116">
        <v>1</v>
      </c>
      <c r="CV116">
        <v>0</v>
      </c>
      <c r="CW116">
        <f>ROUND(Y116*Source!I136*DO116,7)</f>
        <v>1.17E-2</v>
      </c>
      <c r="CX116">
        <f>ROUND(Y116*Source!I136,7)</f>
        <v>1.17E-2</v>
      </c>
      <c r="CY116">
        <f>AB116</f>
        <v>417.12</v>
      </c>
      <c r="CZ116">
        <f>AF116</f>
        <v>417.12</v>
      </c>
      <c r="DA116">
        <f>AJ116</f>
        <v>1</v>
      </c>
      <c r="DB116">
        <f t="shared" si="32"/>
        <v>216.9</v>
      </c>
      <c r="DC116">
        <f t="shared" si="33"/>
        <v>208.12</v>
      </c>
      <c r="DD116" t="s">
        <v>3</v>
      </c>
      <c r="DE116" t="s">
        <v>3</v>
      </c>
      <c r="DF116">
        <f t="shared" si="34"/>
        <v>0</v>
      </c>
      <c r="DG116">
        <f>ROUND(ROUND(AF116,2)*CX116,2)</f>
        <v>4.88</v>
      </c>
      <c r="DH116">
        <f t="shared" si="26"/>
        <v>4.68</v>
      </c>
      <c r="DI116">
        <f t="shared" si="27"/>
        <v>0</v>
      </c>
      <c r="DJ116">
        <f>DG116+DH116</f>
        <v>9.5599999999999987</v>
      </c>
      <c r="DK116">
        <v>1</v>
      </c>
      <c r="DL116" t="s">
        <v>514</v>
      </c>
      <c r="DM116">
        <v>4</v>
      </c>
      <c r="DN116" t="s">
        <v>484</v>
      </c>
      <c r="DO116">
        <v>1</v>
      </c>
    </row>
    <row r="117" spans="1:119" x14ac:dyDescent="0.2">
      <c r="A117">
        <f>ROW(Source!A136)</f>
        <v>136</v>
      </c>
      <c r="B117">
        <v>74014550</v>
      </c>
      <c r="C117">
        <v>74016400</v>
      </c>
      <c r="D117">
        <v>72647493</v>
      </c>
      <c r="E117">
        <v>1</v>
      </c>
      <c r="F117">
        <v>1</v>
      </c>
      <c r="G117">
        <v>1</v>
      </c>
      <c r="H117">
        <v>2</v>
      </c>
      <c r="I117" t="s">
        <v>515</v>
      </c>
      <c r="J117" t="s">
        <v>516</v>
      </c>
      <c r="K117" t="s">
        <v>517</v>
      </c>
      <c r="L117">
        <v>1368</v>
      </c>
      <c r="N117">
        <v>1011</v>
      </c>
      <c r="O117" t="s">
        <v>488</v>
      </c>
      <c r="P117" t="s">
        <v>488</v>
      </c>
      <c r="Q117">
        <v>1</v>
      </c>
      <c r="W117">
        <v>0</v>
      </c>
      <c r="X117">
        <v>571220797</v>
      </c>
      <c r="Y117">
        <f t="shared" si="31"/>
        <v>0.52</v>
      </c>
      <c r="AA117">
        <v>0</v>
      </c>
      <c r="AB117">
        <v>6.69</v>
      </c>
      <c r="AC117">
        <v>0</v>
      </c>
      <c r="AD117">
        <v>0</v>
      </c>
      <c r="AE117">
        <v>0</v>
      </c>
      <c r="AF117">
        <v>4.5199999999999996</v>
      </c>
      <c r="AG117">
        <v>0</v>
      </c>
      <c r="AH117">
        <v>0</v>
      </c>
      <c r="AI117">
        <v>1</v>
      </c>
      <c r="AJ117">
        <v>1.48</v>
      </c>
      <c r="AK117">
        <v>1</v>
      </c>
      <c r="AL117">
        <v>1</v>
      </c>
      <c r="AM117">
        <v>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0.52</v>
      </c>
      <c r="AU117" t="s">
        <v>3</v>
      </c>
      <c r="AV117">
        <v>1</v>
      </c>
      <c r="AW117">
        <v>2</v>
      </c>
      <c r="AX117">
        <v>74016420</v>
      </c>
      <c r="AY117">
        <v>1</v>
      </c>
      <c r="AZ117">
        <v>0</v>
      </c>
      <c r="BA117">
        <v>129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2.3504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2.3504</v>
      </c>
      <c r="BS117">
        <v>0</v>
      </c>
      <c r="BT117">
        <v>0</v>
      </c>
      <c r="BU117">
        <v>0</v>
      </c>
      <c r="BV117">
        <v>0</v>
      </c>
      <c r="BW117">
        <v>1</v>
      </c>
      <c r="CV117">
        <v>0</v>
      </c>
      <c r="CW117">
        <f>ROUND(Y117*Source!I136*DO117,7)</f>
        <v>0</v>
      </c>
      <c r="CX117">
        <f>ROUND(Y117*Source!I136,7)</f>
        <v>1.17E-2</v>
      </c>
      <c r="CY117">
        <f>AB117</f>
        <v>6.69</v>
      </c>
      <c r="CZ117">
        <f>AF117</f>
        <v>4.5199999999999996</v>
      </c>
      <c r="DA117">
        <f>AJ117</f>
        <v>1.48</v>
      </c>
      <c r="DB117">
        <f t="shared" si="32"/>
        <v>2.35</v>
      </c>
      <c r="DC117">
        <f t="shared" si="33"/>
        <v>0</v>
      </c>
      <c r="DD117" t="s">
        <v>3</v>
      </c>
      <c r="DE117" t="s">
        <v>3</v>
      </c>
      <c r="DF117">
        <f t="shared" si="34"/>
        <v>0</v>
      </c>
      <c r="DG117">
        <f>ROUND(ROUND(AF117*AJ117,2)*CX117,2)</f>
        <v>0.08</v>
      </c>
      <c r="DH117">
        <f t="shared" si="26"/>
        <v>0</v>
      </c>
      <c r="DI117">
        <f t="shared" si="27"/>
        <v>0</v>
      </c>
      <c r="DJ117">
        <f>DG117+DH117</f>
        <v>0.08</v>
      </c>
      <c r="DK117">
        <v>0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ROW(Source!A136)</f>
        <v>136</v>
      </c>
      <c r="B118">
        <v>74014550</v>
      </c>
      <c r="C118">
        <v>74016400</v>
      </c>
      <c r="D118">
        <v>72591353</v>
      </c>
      <c r="E118">
        <v>1</v>
      </c>
      <c r="F118">
        <v>1</v>
      </c>
      <c r="G118">
        <v>1</v>
      </c>
      <c r="H118">
        <v>3</v>
      </c>
      <c r="I118" t="s">
        <v>518</v>
      </c>
      <c r="J118" t="s">
        <v>519</v>
      </c>
      <c r="K118" t="s">
        <v>520</v>
      </c>
      <c r="L118">
        <v>1383</v>
      </c>
      <c r="N118">
        <v>1013</v>
      </c>
      <c r="O118" t="s">
        <v>521</v>
      </c>
      <c r="P118" t="s">
        <v>521</v>
      </c>
      <c r="Q118">
        <v>1</v>
      </c>
      <c r="W118">
        <v>0</v>
      </c>
      <c r="X118">
        <v>86017057</v>
      </c>
      <c r="Y118">
        <f t="shared" si="31"/>
        <v>1.3859999999999999</v>
      </c>
      <c r="AA118">
        <v>9.5500000000000007</v>
      </c>
      <c r="AB118">
        <v>0</v>
      </c>
      <c r="AC118">
        <v>0</v>
      </c>
      <c r="AD118">
        <v>0</v>
      </c>
      <c r="AE118">
        <v>9.5500000000000007</v>
      </c>
      <c r="AF118">
        <v>0</v>
      </c>
      <c r="AG118">
        <v>0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1</v>
      </c>
      <c r="AQ118">
        <v>1</v>
      </c>
      <c r="AR118">
        <v>0</v>
      </c>
      <c r="AS118" t="s">
        <v>3</v>
      </c>
      <c r="AT118">
        <v>1.3859999999999999</v>
      </c>
      <c r="AU118" t="s">
        <v>3</v>
      </c>
      <c r="AV118">
        <v>0</v>
      </c>
      <c r="AW118">
        <v>2</v>
      </c>
      <c r="AX118">
        <v>74016421</v>
      </c>
      <c r="AY118">
        <v>1</v>
      </c>
      <c r="AZ118">
        <v>0</v>
      </c>
      <c r="BA118">
        <v>130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13.2363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</v>
      </c>
      <c r="BQ118">
        <v>13.2363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CV118">
        <v>0</v>
      </c>
      <c r="CW118">
        <v>0</v>
      </c>
      <c r="CX118">
        <f>ROUND(Y118*Source!I136,7)</f>
        <v>3.1185000000000001E-2</v>
      </c>
      <c r="CY118">
        <f t="shared" ref="CY118:CY125" si="35">AA118</f>
        <v>9.5500000000000007</v>
      </c>
      <c r="CZ118">
        <f t="shared" ref="CZ118:CZ125" si="36">AE118</f>
        <v>9.5500000000000007</v>
      </c>
      <c r="DA118">
        <f t="shared" ref="DA118:DA125" si="37">AI118</f>
        <v>1</v>
      </c>
      <c r="DB118">
        <f t="shared" si="32"/>
        <v>13.24</v>
      </c>
      <c r="DC118">
        <f t="shared" si="33"/>
        <v>0</v>
      </c>
      <c r="DD118" t="s">
        <v>3</v>
      </c>
      <c r="DE118" t="s">
        <v>3</v>
      </c>
      <c r="DF118">
        <f t="shared" si="34"/>
        <v>0.3</v>
      </c>
      <c r="DG118">
        <f t="shared" ref="DG118:DG127" si="38">ROUND(ROUND(AF118,2)*CX118,2)</f>
        <v>0</v>
      </c>
      <c r="DH118">
        <f t="shared" si="26"/>
        <v>0</v>
      </c>
      <c r="DI118">
        <f t="shared" si="27"/>
        <v>0</v>
      </c>
      <c r="DJ118">
        <f t="shared" ref="DJ118:DJ125" si="39">DF118</f>
        <v>0.3</v>
      </c>
      <c r="DK118">
        <v>1</v>
      </c>
      <c r="DL118" t="s">
        <v>3</v>
      </c>
      <c r="DM118">
        <v>0</v>
      </c>
      <c r="DN118" t="s">
        <v>3</v>
      </c>
      <c r="DO118">
        <v>0</v>
      </c>
    </row>
    <row r="119" spans="1:119" x14ac:dyDescent="0.2">
      <c r="A119">
        <f>ROW(Source!A136)</f>
        <v>136</v>
      </c>
      <c r="B119">
        <v>74014550</v>
      </c>
      <c r="C119">
        <v>74016400</v>
      </c>
      <c r="D119">
        <v>72592092</v>
      </c>
      <c r="E119">
        <v>1</v>
      </c>
      <c r="F119">
        <v>1</v>
      </c>
      <c r="G119">
        <v>1</v>
      </c>
      <c r="H119">
        <v>3</v>
      </c>
      <c r="I119" t="s">
        <v>522</v>
      </c>
      <c r="J119" t="s">
        <v>523</v>
      </c>
      <c r="K119" t="s">
        <v>524</v>
      </c>
      <c r="L119">
        <v>1346</v>
      </c>
      <c r="N119">
        <v>1009</v>
      </c>
      <c r="O119" t="s">
        <v>314</v>
      </c>
      <c r="P119" t="s">
        <v>314</v>
      </c>
      <c r="Q119">
        <v>1</v>
      </c>
      <c r="W119">
        <v>0</v>
      </c>
      <c r="X119">
        <v>743240341</v>
      </c>
      <c r="Y119">
        <f t="shared" si="31"/>
        <v>0.7</v>
      </c>
      <c r="AA119">
        <v>131.85</v>
      </c>
      <c r="AB119">
        <v>0</v>
      </c>
      <c r="AC119">
        <v>0</v>
      </c>
      <c r="AD119">
        <v>0</v>
      </c>
      <c r="AE119">
        <v>131.85</v>
      </c>
      <c r="AF119">
        <v>0</v>
      </c>
      <c r="AG119">
        <v>0</v>
      </c>
      <c r="AH119">
        <v>0</v>
      </c>
      <c r="AI119">
        <v>1</v>
      </c>
      <c r="AJ119">
        <v>1</v>
      </c>
      <c r="AK119">
        <v>1</v>
      </c>
      <c r="AL119">
        <v>1</v>
      </c>
      <c r="AM119">
        <v>-2</v>
      </c>
      <c r="AN119">
        <v>0</v>
      </c>
      <c r="AO119">
        <v>0</v>
      </c>
      <c r="AP119">
        <v>1</v>
      </c>
      <c r="AQ119">
        <v>1</v>
      </c>
      <c r="AR119">
        <v>0</v>
      </c>
      <c r="AS119" t="s">
        <v>3</v>
      </c>
      <c r="AT119">
        <v>0.7</v>
      </c>
      <c r="AU119" t="s">
        <v>3</v>
      </c>
      <c r="AV119">
        <v>0</v>
      </c>
      <c r="AW119">
        <v>2</v>
      </c>
      <c r="AX119">
        <v>74016422</v>
      </c>
      <c r="AY119">
        <v>1</v>
      </c>
      <c r="AZ119">
        <v>0</v>
      </c>
      <c r="BA119">
        <v>131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92.294999999999987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92.294999999999987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CV119">
        <v>0</v>
      </c>
      <c r="CW119">
        <v>0</v>
      </c>
      <c r="CX119">
        <f>ROUND(Y119*Source!I136,7)</f>
        <v>1.575E-2</v>
      </c>
      <c r="CY119">
        <f t="shared" si="35"/>
        <v>131.85</v>
      </c>
      <c r="CZ119">
        <f t="shared" si="36"/>
        <v>131.85</v>
      </c>
      <c r="DA119">
        <f t="shared" si="37"/>
        <v>1</v>
      </c>
      <c r="DB119">
        <f t="shared" si="32"/>
        <v>92.3</v>
      </c>
      <c r="DC119">
        <f t="shared" si="33"/>
        <v>0</v>
      </c>
      <c r="DD119" t="s">
        <v>3</v>
      </c>
      <c r="DE119" t="s">
        <v>3</v>
      </c>
      <c r="DF119">
        <f t="shared" si="34"/>
        <v>2.08</v>
      </c>
      <c r="DG119">
        <f t="shared" si="38"/>
        <v>0</v>
      </c>
      <c r="DH119">
        <f t="shared" si="26"/>
        <v>0</v>
      </c>
      <c r="DI119">
        <f t="shared" si="27"/>
        <v>0</v>
      </c>
      <c r="DJ119">
        <f t="shared" si="39"/>
        <v>2.08</v>
      </c>
      <c r="DK119">
        <v>1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ROW(Source!A136)</f>
        <v>136</v>
      </c>
      <c r="B120">
        <v>74014550</v>
      </c>
      <c r="C120">
        <v>74016400</v>
      </c>
      <c r="D120">
        <v>72592880</v>
      </c>
      <c r="E120">
        <v>1</v>
      </c>
      <c r="F120">
        <v>1</v>
      </c>
      <c r="G120">
        <v>1</v>
      </c>
      <c r="H120">
        <v>3</v>
      </c>
      <c r="I120" t="s">
        <v>525</v>
      </c>
      <c r="J120" t="s">
        <v>526</v>
      </c>
      <c r="K120" t="s">
        <v>527</v>
      </c>
      <c r="L120">
        <v>1348</v>
      </c>
      <c r="N120">
        <v>1009</v>
      </c>
      <c r="O120" t="s">
        <v>243</v>
      </c>
      <c r="P120" t="s">
        <v>243</v>
      </c>
      <c r="Q120">
        <v>1000</v>
      </c>
      <c r="W120">
        <v>0</v>
      </c>
      <c r="X120">
        <v>-338788761</v>
      </c>
      <c r="Y120">
        <f t="shared" si="31"/>
        <v>4.0000000000000002E-4</v>
      </c>
      <c r="AA120">
        <v>122599.58</v>
      </c>
      <c r="AB120">
        <v>0</v>
      </c>
      <c r="AC120">
        <v>0</v>
      </c>
      <c r="AD120">
        <v>0</v>
      </c>
      <c r="AE120">
        <v>108495.2</v>
      </c>
      <c r="AF120">
        <v>0</v>
      </c>
      <c r="AG120">
        <v>0</v>
      </c>
      <c r="AH120">
        <v>0</v>
      </c>
      <c r="AI120">
        <v>1.1299999999999999</v>
      </c>
      <c r="AJ120">
        <v>1</v>
      </c>
      <c r="AK120">
        <v>1</v>
      </c>
      <c r="AL120">
        <v>1</v>
      </c>
      <c r="AM120">
        <v>2</v>
      </c>
      <c r="AN120">
        <v>0</v>
      </c>
      <c r="AO120">
        <v>0</v>
      </c>
      <c r="AP120">
        <v>1</v>
      </c>
      <c r="AQ120">
        <v>1</v>
      </c>
      <c r="AR120">
        <v>0</v>
      </c>
      <c r="AS120" t="s">
        <v>3</v>
      </c>
      <c r="AT120">
        <v>4.0000000000000002E-4</v>
      </c>
      <c r="AU120" t="s">
        <v>3</v>
      </c>
      <c r="AV120">
        <v>0</v>
      </c>
      <c r="AW120">
        <v>2</v>
      </c>
      <c r="AX120">
        <v>74016423</v>
      </c>
      <c r="AY120">
        <v>1</v>
      </c>
      <c r="AZ120">
        <v>0</v>
      </c>
      <c r="BA120">
        <v>132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43.39808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</v>
      </c>
      <c r="BQ120">
        <v>43.39808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CV120">
        <v>0</v>
      </c>
      <c r="CW120">
        <v>0</v>
      </c>
      <c r="CX120">
        <f>ROUND(Y120*Source!I136,7)</f>
        <v>9.0000000000000002E-6</v>
      </c>
      <c r="CY120">
        <f t="shared" si="35"/>
        <v>122599.58</v>
      </c>
      <c r="CZ120">
        <f t="shared" si="36"/>
        <v>108495.2</v>
      </c>
      <c r="DA120">
        <f t="shared" si="37"/>
        <v>1.1299999999999999</v>
      </c>
      <c r="DB120">
        <f t="shared" si="32"/>
        <v>43.4</v>
      </c>
      <c r="DC120">
        <f t="shared" si="33"/>
        <v>0</v>
      </c>
      <c r="DD120" t="s">
        <v>3</v>
      </c>
      <c r="DE120" t="s">
        <v>3</v>
      </c>
      <c r="DF120">
        <f t="shared" ref="DF120:DF125" si="40">ROUND(ROUND(AE120*AI120,2)*CX120,2)</f>
        <v>1.1000000000000001</v>
      </c>
      <c r="DG120">
        <f t="shared" si="38"/>
        <v>0</v>
      </c>
      <c r="DH120">
        <f t="shared" si="26"/>
        <v>0</v>
      </c>
      <c r="DI120">
        <f t="shared" si="27"/>
        <v>0</v>
      </c>
      <c r="DJ120">
        <f t="shared" si="39"/>
        <v>1.1000000000000001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ROW(Source!A136)</f>
        <v>136</v>
      </c>
      <c r="B121">
        <v>74014550</v>
      </c>
      <c r="C121">
        <v>74016400</v>
      </c>
      <c r="D121">
        <v>72598246</v>
      </c>
      <c r="E121">
        <v>1</v>
      </c>
      <c r="F121">
        <v>1</v>
      </c>
      <c r="G121">
        <v>1</v>
      </c>
      <c r="H121">
        <v>3</v>
      </c>
      <c r="I121" t="s">
        <v>528</v>
      </c>
      <c r="J121" t="s">
        <v>529</v>
      </c>
      <c r="K121" t="s">
        <v>530</v>
      </c>
      <c r="L121">
        <v>1346</v>
      </c>
      <c r="N121">
        <v>1009</v>
      </c>
      <c r="O121" t="s">
        <v>314</v>
      </c>
      <c r="P121" t="s">
        <v>314</v>
      </c>
      <c r="Q121">
        <v>1</v>
      </c>
      <c r="W121">
        <v>0</v>
      </c>
      <c r="X121">
        <v>-225116568</v>
      </c>
      <c r="Y121">
        <f t="shared" si="31"/>
        <v>1</v>
      </c>
      <c r="AA121">
        <v>63.71</v>
      </c>
      <c r="AB121">
        <v>0</v>
      </c>
      <c r="AC121">
        <v>0</v>
      </c>
      <c r="AD121">
        <v>0</v>
      </c>
      <c r="AE121">
        <v>44.55</v>
      </c>
      <c r="AF121">
        <v>0</v>
      </c>
      <c r="AG121">
        <v>0</v>
      </c>
      <c r="AH121">
        <v>0</v>
      </c>
      <c r="AI121">
        <v>1.43</v>
      </c>
      <c r="AJ121">
        <v>1</v>
      </c>
      <c r="AK121">
        <v>1</v>
      </c>
      <c r="AL121">
        <v>1</v>
      </c>
      <c r="AM121">
        <v>2</v>
      </c>
      <c r="AN121">
        <v>0</v>
      </c>
      <c r="AO121">
        <v>0</v>
      </c>
      <c r="AP121">
        <v>1</v>
      </c>
      <c r="AQ121">
        <v>1</v>
      </c>
      <c r="AR121">
        <v>0</v>
      </c>
      <c r="AS121" t="s">
        <v>3</v>
      </c>
      <c r="AT121">
        <v>1</v>
      </c>
      <c r="AU121" t="s">
        <v>3</v>
      </c>
      <c r="AV121">
        <v>0</v>
      </c>
      <c r="AW121">
        <v>2</v>
      </c>
      <c r="AX121">
        <v>74016424</v>
      </c>
      <c r="AY121">
        <v>1</v>
      </c>
      <c r="AZ121">
        <v>0</v>
      </c>
      <c r="BA121">
        <v>133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44.55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44.55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CV121">
        <v>0</v>
      </c>
      <c r="CW121">
        <v>0</v>
      </c>
      <c r="CX121">
        <f>ROUND(Y121*Source!I136,7)</f>
        <v>2.2499999999999999E-2</v>
      </c>
      <c r="CY121">
        <f t="shared" si="35"/>
        <v>63.71</v>
      </c>
      <c r="CZ121">
        <f t="shared" si="36"/>
        <v>44.55</v>
      </c>
      <c r="DA121">
        <f t="shared" si="37"/>
        <v>1.43</v>
      </c>
      <c r="DB121">
        <f t="shared" si="32"/>
        <v>44.55</v>
      </c>
      <c r="DC121">
        <f t="shared" si="33"/>
        <v>0</v>
      </c>
      <c r="DD121" t="s">
        <v>3</v>
      </c>
      <c r="DE121" t="s">
        <v>3</v>
      </c>
      <c r="DF121">
        <f t="shared" si="40"/>
        <v>1.43</v>
      </c>
      <c r="DG121">
        <f t="shared" si="38"/>
        <v>0</v>
      </c>
      <c r="DH121">
        <f t="shared" si="26"/>
        <v>0</v>
      </c>
      <c r="DI121">
        <f t="shared" si="27"/>
        <v>0</v>
      </c>
      <c r="DJ121">
        <f t="shared" si="39"/>
        <v>1.43</v>
      </c>
      <c r="DK121">
        <v>0</v>
      </c>
      <c r="DL121" t="s">
        <v>3</v>
      </c>
      <c r="DM121">
        <v>0</v>
      </c>
      <c r="DN121" t="s">
        <v>3</v>
      </c>
      <c r="DO121">
        <v>0</v>
      </c>
    </row>
    <row r="122" spans="1:119" x14ac:dyDescent="0.2">
      <c r="A122">
        <f>ROW(Source!A136)</f>
        <v>136</v>
      </c>
      <c r="B122">
        <v>74014550</v>
      </c>
      <c r="C122">
        <v>74016400</v>
      </c>
      <c r="D122">
        <v>72610535</v>
      </c>
      <c r="E122">
        <v>1</v>
      </c>
      <c r="F122">
        <v>1</v>
      </c>
      <c r="G122">
        <v>1</v>
      </c>
      <c r="H122">
        <v>3</v>
      </c>
      <c r="I122" t="s">
        <v>531</v>
      </c>
      <c r="J122" t="s">
        <v>532</v>
      </c>
      <c r="K122" t="s">
        <v>533</v>
      </c>
      <c r="L122">
        <v>1348</v>
      </c>
      <c r="N122">
        <v>1009</v>
      </c>
      <c r="O122" t="s">
        <v>243</v>
      </c>
      <c r="P122" t="s">
        <v>243</v>
      </c>
      <c r="Q122">
        <v>1000</v>
      </c>
      <c r="W122">
        <v>0</v>
      </c>
      <c r="X122">
        <v>2036013562</v>
      </c>
      <c r="Y122">
        <f t="shared" si="31"/>
        <v>1.4E-3</v>
      </c>
      <c r="AA122">
        <v>104956.62</v>
      </c>
      <c r="AB122">
        <v>0</v>
      </c>
      <c r="AC122">
        <v>0</v>
      </c>
      <c r="AD122">
        <v>0</v>
      </c>
      <c r="AE122">
        <v>74437.320000000007</v>
      </c>
      <c r="AF122">
        <v>0</v>
      </c>
      <c r="AG122">
        <v>0</v>
      </c>
      <c r="AH122">
        <v>0</v>
      </c>
      <c r="AI122">
        <v>1.41</v>
      </c>
      <c r="AJ122">
        <v>1</v>
      </c>
      <c r="AK122">
        <v>1</v>
      </c>
      <c r="AL122">
        <v>1</v>
      </c>
      <c r="AM122">
        <v>2</v>
      </c>
      <c r="AN122">
        <v>0</v>
      </c>
      <c r="AO122">
        <v>0</v>
      </c>
      <c r="AP122">
        <v>1</v>
      </c>
      <c r="AQ122">
        <v>1</v>
      </c>
      <c r="AR122">
        <v>0</v>
      </c>
      <c r="AS122" t="s">
        <v>3</v>
      </c>
      <c r="AT122">
        <v>1.4E-3</v>
      </c>
      <c r="AU122" t="s">
        <v>3</v>
      </c>
      <c r="AV122">
        <v>0</v>
      </c>
      <c r="AW122">
        <v>2</v>
      </c>
      <c r="AX122">
        <v>74016425</v>
      </c>
      <c r="AY122">
        <v>1</v>
      </c>
      <c r="AZ122">
        <v>0</v>
      </c>
      <c r="BA122">
        <v>134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104.212248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104.212248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CV122">
        <v>0</v>
      </c>
      <c r="CW122">
        <v>0</v>
      </c>
      <c r="CX122">
        <f>ROUND(Y122*Source!I136,7)</f>
        <v>3.15E-5</v>
      </c>
      <c r="CY122">
        <f t="shared" si="35"/>
        <v>104956.62</v>
      </c>
      <c r="CZ122">
        <f t="shared" si="36"/>
        <v>74437.320000000007</v>
      </c>
      <c r="DA122">
        <f t="shared" si="37"/>
        <v>1.41</v>
      </c>
      <c r="DB122">
        <f t="shared" si="32"/>
        <v>104.21</v>
      </c>
      <c r="DC122">
        <f t="shared" si="33"/>
        <v>0</v>
      </c>
      <c r="DD122" t="s">
        <v>3</v>
      </c>
      <c r="DE122" t="s">
        <v>3</v>
      </c>
      <c r="DF122">
        <f t="shared" si="40"/>
        <v>3.31</v>
      </c>
      <c r="DG122">
        <f t="shared" si="38"/>
        <v>0</v>
      </c>
      <c r="DH122">
        <f t="shared" si="26"/>
        <v>0</v>
      </c>
      <c r="DI122">
        <f t="shared" si="27"/>
        <v>0</v>
      </c>
      <c r="DJ122">
        <f t="shared" si="39"/>
        <v>3.31</v>
      </c>
      <c r="DK122">
        <v>0</v>
      </c>
      <c r="DL122" t="s">
        <v>3</v>
      </c>
      <c r="DM122">
        <v>0</v>
      </c>
      <c r="DN122" t="s">
        <v>3</v>
      </c>
      <c r="DO122">
        <v>0</v>
      </c>
    </row>
    <row r="123" spans="1:119" x14ac:dyDescent="0.2">
      <c r="A123">
        <f>ROW(Source!A136)</f>
        <v>136</v>
      </c>
      <c r="B123">
        <v>74014550</v>
      </c>
      <c r="C123">
        <v>74016400</v>
      </c>
      <c r="D123">
        <v>72610660</v>
      </c>
      <c r="E123">
        <v>1</v>
      </c>
      <c r="F123">
        <v>1</v>
      </c>
      <c r="G123">
        <v>1</v>
      </c>
      <c r="H123">
        <v>3</v>
      </c>
      <c r="I123" t="s">
        <v>534</v>
      </c>
      <c r="J123" t="s">
        <v>535</v>
      </c>
      <c r="K123" t="s">
        <v>536</v>
      </c>
      <c r="L123">
        <v>1348</v>
      </c>
      <c r="N123">
        <v>1009</v>
      </c>
      <c r="O123" t="s">
        <v>243</v>
      </c>
      <c r="P123" t="s">
        <v>243</v>
      </c>
      <c r="Q123">
        <v>1000</v>
      </c>
      <c r="W123">
        <v>0</v>
      </c>
      <c r="X123">
        <v>-1956910026</v>
      </c>
      <c r="Y123">
        <f t="shared" si="31"/>
        <v>3.5999999999999999E-3</v>
      </c>
      <c r="AA123">
        <v>346815.83</v>
      </c>
      <c r="AB123">
        <v>0</v>
      </c>
      <c r="AC123">
        <v>0</v>
      </c>
      <c r="AD123">
        <v>0</v>
      </c>
      <c r="AE123">
        <v>260763.78</v>
      </c>
      <c r="AF123">
        <v>0</v>
      </c>
      <c r="AG123">
        <v>0</v>
      </c>
      <c r="AH123">
        <v>0</v>
      </c>
      <c r="AI123">
        <v>1.33</v>
      </c>
      <c r="AJ123">
        <v>1</v>
      </c>
      <c r="AK123">
        <v>1</v>
      </c>
      <c r="AL123">
        <v>1</v>
      </c>
      <c r="AM123">
        <v>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3.5999999999999999E-3</v>
      </c>
      <c r="AU123" t="s">
        <v>3</v>
      </c>
      <c r="AV123">
        <v>0</v>
      </c>
      <c r="AW123">
        <v>2</v>
      </c>
      <c r="AX123">
        <v>74016426</v>
      </c>
      <c r="AY123">
        <v>1</v>
      </c>
      <c r="AZ123">
        <v>0</v>
      </c>
      <c r="BA123">
        <v>135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938.74960799999997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938.74960799999997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CV123">
        <v>0</v>
      </c>
      <c r="CW123">
        <v>0</v>
      </c>
      <c r="CX123">
        <f>ROUND(Y123*Source!I136,7)</f>
        <v>8.1000000000000004E-5</v>
      </c>
      <c r="CY123">
        <f t="shared" si="35"/>
        <v>346815.83</v>
      </c>
      <c r="CZ123">
        <f t="shared" si="36"/>
        <v>260763.78</v>
      </c>
      <c r="DA123">
        <f t="shared" si="37"/>
        <v>1.33</v>
      </c>
      <c r="DB123">
        <f t="shared" si="32"/>
        <v>938.75</v>
      </c>
      <c r="DC123">
        <f t="shared" si="33"/>
        <v>0</v>
      </c>
      <c r="DD123" t="s">
        <v>3</v>
      </c>
      <c r="DE123" t="s">
        <v>3</v>
      </c>
      <c r="DF123">
        <f t="shared" si="40"/>
        <v>28.09</v>
      </c>
      <c r="DG123">
        <f t="shared" si="38"/>
        <v>0</v>
      </c>
      <c r="DH123">
        <f t="shared" si="26"/>
        <v>0</v>
      </c>
      <c r="DI123">
        <f t="shared" si="27"/>
        <v>0</v>
      </c>
      <c r="DJ123">
        <f t="shared" si="39"/>
        <v>28.09</v>
      </c>
      <c r="DK123">
        <v>0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ROW(Source!A136)</f>
        <v>136</v>
      </c>
      <c r="B124">
        <v>74014550</v>
      </c>
      <c r="C124">
        <v>74016400</v>
      </c>
      <c r="D124">
        <v>72610910</v>
      </c>
      <c r="E124">
        <v>1</v>
      </c>
      <c r="F124">
        <v>1</v>
      </c>
      <c r="G124">
        <v>1</v>
      </c>
      <c r="H124">
        <v>3</v>
      </c>
      <c r="I124" t="s">
        <v>537</v>
      </c>
      <c r="J124" t="s">
        <v>538</v>
      </c>
      <c r="K124" t="s">
        <v>539</v>
      </c>
      <c r="L124">
        <v>1348</v>
      </c>
      <c r="N124">
        <v>1009</v>
      </c>
      <c r="O124" t="s">
        <v>243</v>
      </c>
      <c r="P124" t="s">
        <v>243</v>
      </c>
      <c r="Q124">
        <v>1000</v>
      </c>
      <c r="W124">
        <v>0</v>
      </c>
      <c r="X124">
        <v>-1562225454</v>
      </c>
      <c r="Y124">
        <f t="shared" si="31"/>
        <v>2.2000000000000001E-4</v>
      </c>
      <c r="AA124">
        <v>127487.86</v>
      </c>
      <c r="AB124">
        <v>0</v>
      </c>
      <c r="AC124">
        <v>0</v>
      </c>
      <c r="AD124">
        <v>0</v>
      </c>
      <c r="AE124">
        <v>75885.63</v>
      </c>
      <c r="AF124">
        <v>0</v>
      </c>
      <c r="AG124">
        <v>0</v>
      </c>
      <c r="AH124">
        <v>0</v>
      </c>
      <c r="AI124">
        <v>1.68</v>
      </c>
      <c r="AJ124">
        <v>1</v>
      </c>
      <c r="AK124">
        <v>1</v>
      </c>
      <c r="AL124">
        <v>1</v>
      </c>
      <c r="AM124">
        <v>2</v>
      </c>
      <c r="AN124">
        <v>0</v>
      </c>
      <c r="AO124">
        <v>0</v>
      </c>
      <c r="AP124">
        <v>1</v>
      </c>
      <c r="AQ124">
        <v>1</v>
      </c>
      <c r="AR124">
        <v>0</v>
      </c>
      <c r="AS124" t="s">
        <v>3</v>
      </c>
      <c r="AT124">
        <v>2.2000000000000001E-4</v>
      </c>
      <c r="AU124" t="s">
        <v>3</v>
      </c>
      <c r="AV124">
        <v>0</v>
      </c>
      <c r="AW124">
        <v>2</v>
      </c>
      <c r="AX124">
        <v>74016427</v>
      </c>
      <c r="AY124">
        <v>1</v>
      </c>
      <c r="AZ124">
        <v>0</v>
      </c>
      <c r="BA124">
        <v>136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16.694838600000001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1</v>
      </c>
      <c r="BQ124">
        <v>16.694838600000001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CV124">
        <v>0</v>
      </c>
      <c r="CW124">
        <v>0</v>
      </c>
      <c r="CX124">
        <f>ROUND(Y124*Source!I136,7)</f>
        <v>5.0000000000000004E-6</v>
      </c>
      <c r="CY124">
        <f t="shared" si="35"/>
        <v>127487.86</v>
      </c>
      <c r="CZ124">
        <f t="shared" si="36"/>
        <v>75885.63</v>
      </c>
      <c r="DA124">
        <f t="shared" si="37"/>
        <v>1.68</v>
      </c>
      <c r="DB124">
        <f t="shared" si="32"/>
        <v>16.690000000000001</v>
      </c>
      <c r="DC124">
        <f t="shared" si="33"/>
        <v>0</v>
      </c>
      <c r="DD124" t="s">
        <v>3</v>
      </c>
      <c r="DE124" t="s">
        <v>3</v>
      </c>
      <c r="DF124">
        <f t="shared" si="40"/>
        <v>0.64</v>
      </c>
      <c r="DG124">
        <f t="shared" si="38"/>
        <v>0</v>
      </c>
      <c r="DH124">
        <f t="shared" si="26"/>
        <v>0</v>
      </c>
      <c r="DI124">
        <f t="shared" si="27"/>
        <v>0</v>
      </c>
      <c r="DJ124">
        <f t="shared" si="39"/>
        <v>0.64</v>
      </c>
      <c r="DK124">
        <v>0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ROW(Source!A136)</f>
        <v>136</v>
      </c>
      <c r="B125">
        <v>74014550</v>
      </c>
      <c r="C125">
        <v>74016400</v>
      </c>
      <c r="D125">
        <v>72610937</v>
      </c>
      <c r="E125">
        <v>1</v>
      </c>
      <c r="F125">
        <v>1</v>
      </c>
      <c r="G125">
        <v>1</v>
      </c>
      <c r="H125">
        <v>3</v>
      </c>
      <c r="I125" t="s">
        <v>540</v>
      </c>
      <c r="J125" t="s">
        <v>541</v>
      </c>
      <c r="K125" t="s">
        <v>542</v>
      </c>
      <c r="L125">
        <v>1348</v>
      </c>
      <c r="N125">
        <v>1009</v>
      </c>
      <c r="O125" t="s">
        <v>243</v>
      </c>
      <c r="P125" t="s">
        <v>243</v>
      </c>
      <c r="Q125">
        <v>1000</v>
      </c>
      <c r="W125">
        <v>0</v>
      </c>
      <c r="X125">
        <v>-1048603184</v>
      </c>
      <c r="Y125">
        <f t="shared" si="31"/>
        <v>1.6999999999999999E-3</v>
      </c>
      <c r="AA125">
        <v>165524.44</v>
      </c>
      <c r="AB125">
        <v>0</v>
      </c>
      <c r="AC125">
        <v>0</v>
      </c>
      <c r="AD125">
        <v>0</v>
      </c>
      <c r="AE125">
        <v>98526.45</v>
      </c>
      <c r="AF125">
        <v>0</v>
      </c>
      <c r="AG125">
        <v>0</v>
      </c>
      <c r="AH125">
        <v>0</v>
      </c>
      <c r="AI125">
        <v>1.68</v>
      </c>
      <c r="AJ125">
        <v>1</v>
      </c>
      <c r="AK125">
        <v>1</v>
      </c>
      <c r="AL125">
        <v>1</v>
      </c>
      <c r="AM125">
        <v>2</v>
      </c>
      <c r="AN125">
        <v>0</v>
      </c>
      <c r="AO125">
        <v>0</v>
      </c>
      <c r="AP125">
        <v>1</v>
      </c>
      <c r="AQ125">
        <v>1</v>
      </c>
      <c r="AR125">
        <v>0</v>
      </c>
      <c r="AS125" t="s">
        <v>3</v>
      </c>
      <c r="AT125">
        <v>1.6999999999999999E-3</v>
      </c>
      <c r="AU125" t="s">
        <v>3</v>
      </c>
      <c r="AV125">
        <v>0</v>
      </c>
      <c r="AW125">
        <v>2</v>
      </c>
      <c r="AX125">
        <v>74016428</v>
      </c>
      <c r="AY125">
        <v>1</v>
      </c>
      <c r="AZ125">
        <v>0</v>
      </c>
      <c r="BA125">
        <v>137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167.49496499999998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167.49496499999998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CV125">
        <v>0</v>
      </c>
      <c r="CW125">
        <v>0</v>
      </c>
      <c r="CX125">
        <f>ROUND(Y125*Source!I136,7)</f>
        <v>3.8300000000000003E-5</v>
      </c>
      <c r="CY125">
        <f t="shared" si="35"/>
        <v>165524.44</v>
      </c>
      <c r="CZ125">
        <f t="shared" si="36"/>
        <v>98526.45</v>
      </c>
      <c r="DA125">
        <f t="shared" si="37"/>
        <v>1.68</v>
      </c>
      <c r="DB125">
        <f t="shared" si="32"/>
        <v>167.49</v>
      </c>
      <c r="DC125">
        <f t="shared" si="33"/>
        <v>0</v>
      </c>
      <c r="DD125" t="s">
        <v>3</v>
      </c>
      <c r="DE125" t="s">
        <v>3</v>
      </c>
      <c r="DF125">
        <f t="shared" si="40"/>
        <v>6.34</v>
      </c>
      <c r="DG125">
        <f t="shared" si="38"/>
        <v>0</v>
      </c>
      <c r="DH125">
        <f t="shared" si="26"/>
        <v>0</v>
      </c>
      <c r="DI125">
        <f t="shared" si="27"/>
        <v>0</v>
      </c>
      <c r="DJ125">
        <f t="shared" si="39"/>
        <v>6.34</v>
      </c>
      <c r="DK125">
        <v>0</v>
      </c>
      <c r="DL125" t="s">
        <v>3</v>
      </c>
      <c r="DM125">
        <v>0</v>
      </c>
      <c r="DN125" t="s">
        <v>3</v>
      </c>
      <c r="DO125">
        <v>0</v>
      </c>
    </row>
    <row r="126" spans="1:119" x14ac:dyDescent="0.2">
      <c r="A126">
        <f>ROW(Source!A138)</f>
        <v>138</v>
      </c>
      <c r="B126">
        <v>74014550</v>
      </c>
      <c r="C126">
        <v>74016431</v>
      </c>
      <c r="D126">
        <v>20098421</v>
      </c>
      <c r="E126">
        <v>119</v>
      </c>
      <c r="F126">
        <v>1</v>
      </c>
      <c r="G126">
        <v>1</v>
      </c>
      <c r="H126">
        <v>1</v>
      </c>
      <c r="I126" t="s">
        <v>655</v>
      </c>
      <c r="J126" t="s">
        <v>3</v>
      </c>
      <c r="K126" t="s">
        <v>656</v>
      </c>
      <c r="L126">
        <v>1191</v>
      </c>
      <c r="N126">
        <v>1013</v>
      </c>
      <c r="O126" t="s">
        <v>484</v>
      </c>
      <c r="P126" t="s">
        <v>484</v>
      </c>
      <c r="Q126">
        <v>1</v>
      </c>
      <c r="W126">
        <v>0</v>
      </c>
      <c r="X126">
        <v>73401693</v>
      </c>
      <c r="Y126">
        <f t="shared" si="31"/>
        <v>0.32</v>
      </c>
      <c r="AA126">
        <v>0</v>
      </c>
      <c r="AB126">
        <v>0</v>
      </c>
      <c r="AC126">
        <v>0</v>
      </c>
      <c r="AD126">
        <v>459.98</v>
      </c>
      <c r="AE126">
        <v>0</v>
      </c>
      <c r="AF126">
        <v>0</v>
      </c>
      <c r="AG126">
        <v>0</v>
      </c>
      <c r="AH126">
        <v>459.98</v>
      </c>
      <c r="AI126">
        <v>1</v>
      </c>
      <c r="AJ126">
        <v>1</v>
      </c>
      <c r="AK126">
        <v>1</v>
      </c>
      <c r="AL126">
        <v>1</v>
      </c>
      <c r="AM126">
        <v>-2</v>
      </c>
      <c r="AN126">
        <v>0</v>
      </c>
      <c r="AO126">
        <v>0</v>
      </c>
      <c r="AP126">
        <v>1</v>
      </c>
      <c r="AQ126">
        <v>1</v>
      </c>
      <c r="AR126">
        <v>0</v>
      </c>
      <c r="AS126" t="s">
        <v>3</v>
      </c>
      <c r="AT126">
        <v>0.32</v>
      </c>
      <c r="AU126" t="s">
        <v>3</v>
      </c>
      <c r="AV126">
        <v>1</v>
      </c>
      <c r="AW126">
        <v>2</v>
      </c>
      <c r="AX126">
        <v>74016437</v>
      </c>
      <c r="AY126">
        <v>1</v>
      </c>
      <c r="AZ126">
        <v>0</v>
      </c>
      <c r="BA126">
        <v>139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147.1936</v>
      </c>
      <c r="BN126">
        <v>0.32</v>
      </c>
      <c r="BO126">
        <v>0</v>
      </c>
      <c r="BP126">
        <v>1</v>
      </c>
      <c r="BQ126">
        <v>0</v>
      </c>
      <c r="BR126">
        <v>0</v>
      </c>
      <c r="BS126">
        <v>0</v>
      </c>
      <c r="BT126">
        <v>147.1936</v>
      </c>
      <c r="BU126">
        <v>0.32</v>
      </c>
      <c r="BV126">
        <v>0</v>
      </c>
      <c r="BW126">
        <v>1</v>
      </c>
      <c r="CU126">
        <f>ROUND(AT126*Source!I138*AH126*AL126,2)</f>
        <v>441.58</v>
      </c>
      <c r="CV126">
        <f>ROUND(Y126*Source!I138,7)</f>
        <v>0.96</v>
      </c>
      <c r="CW126">
        <v>0</v>
      </c>
      <c r="CX126">
        <f>ROUND(Y126*Source!I138,7)</f>
        <v>0.96</v>
      </c>
      <c r="CY126">
        <f>AD126</f>
        <v>459.98</v>
      </c>
      <c r="CZ126">
        <f>AH126</f>
        <v>459.98</v>
      </c>
      <c r="DA126">
        <f>AL126</f>
        <v>1</v>
      </c>
      <c r="DB126">
        <f t="shared" si="32"/>
        <v>147.19</v>
      </c>
      <c r="DC126">
        <f t="shared" si="33"/>
        <v>0</v>
      </c>
      <c r="DD126" t="s">
        <v>3</v>
      </c>
      <c r="DE126" t="s">
        <v>3</v>
      </c>
      <c r="DF126">
        <f>ROUND(ROUND(AE126,2)*CX126,2)</f>
        <v>0</v>
      </c>
      <c r="DG126">
        <f t="shared" si="38"/>
        <v>0</v>
      </c>
      <c r="DH126">
        <f t="shared" si="26"/>
        <v>0</v>
      </c>
      <c r="DI126">
        <f t="shared" si="27"/>
        <v>441.58</v>
      </c>
      <c r="DJ126">
        <f>DI126</f>
        <v>441.58</v>
      </c>
      <c r="DK126">
        <v>1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ROW(Source!A138)</f>
        <v>138</v>
      </c>
      <c r="B127">
        <v>74014550</v>
      </c>
      <c r="C127">
        <v>74016431</v>
      </c>
      <c r="D127">
        <v>20049115</v>
      </c>
      <c r="E127">
        <v>119</v>
      </c>
      <c r="F127">
        <v>1</v>
      </c>
      <c r="G127">
        <v>1</v>
      </c>
      <c r="H127">
        <v>1</v>
      </c>
      <c r="I127" t="s">
        <v>482</v>
      </c>
      <c r="J127" t="s">
        <v>3</v>
      </c>
      <c r="K127" t="s">
        <v>483</v>
      </c>
      <c r="L127">
        <v>1191</v>
      </c>
      <c r="N127">
        <v>1013</v>
      </c>
      <c r="O127" t="s">
        <v>484</v>
      </c>
      <c r="P127" t="s">
        <v>484</v>
      </c>
      <c r="Q127">
        <v>1</v>
      </c>
      <c r="W127">
        <v>0</v>
      </c>
      <c r="X127">
        <v>-1417349443</v>
      </c>
      <c r="Y127">
        <f t="shared" si="31"/>
        <v>0.18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1</v>
      </c>
      <c r="AQ127">
        <v>1</v>
      </c>
      <c r="AR127">
        <v>0</v>
      </c>
      <c r="AS127" t="s">
        <v>3</v>
      </c>
      <c r="AT127">
        <v>0.18</v>
      </c>
      <c r="AU127" t="s">
        <v>3</v>
      </c>
      <c r="AV127">
        <v>2</v>
      </c>
      <c r="AW127">
        <v>2</v>
      </c>
      <c r="AX127">
        <v>74016438</v>
      </c>
      <c r="AY127">
        <v>1</v>
      </c>
      <c r="AZ127">
        <v>0</v>
      </c>
      <c r="BA127">
        <v>140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CV127">
        <v>0</v>
      </c>
      <c r="CW127">
        <v>0</v>
      </c>
      <c r="CX127">
        <f>ROUND(Y127*Source!I138,7)</f>
        <v>0.54</v>
      </c>
      <c r="CY127">
        <f>AD127</f>
        <v>0</v>
      </c>
      <c r="CZ127">
        <f>AH127</f>
        <v>0</v>
      </c>
      <c r="DA127">
        <f>AL127</f>
        <v>1</v>
      </c>
      <c r="DB127">
        <f t="shared" si="32"/>
        <v>0</v>
      </c>
      <c r="DC127">
        <f t="shared" si="33"/>
        <v>0</v>
      </c>
      <c r="DD127" t="s">
        <v>3</v>
      </c>
      <c r="DE127" t="s">
        <v>3</v>
      </c>
      <c r="DF127">
        <f>ROUND(ROUND(AE127,2)*CX127,2)</f>
        <v>0</v>
      </c>
      <c r="DG127">
        <f t="shared" si="38"/>
        <v>0</v>
      </c>
      <c r="DH127">
        <f t="shared" si="26"/>
        <v>0</v>
      </c>
      <c r="DI127">
        <f t="shared" si="27"/>
        <v>0</v>
      </c>
      <c r="DJ127">
        <f>DI127</f>
        <v>0</v>
      </c>
      <c r="DK127">
        <v>0</v>
      </c>
      <c r="DL127" t="s">
        <v>3</v>
      </c>
      <c r="DM127">
        <v>0</v>
      </c>
      <c r="DN127" t="s">
        <v>3</v>
      </c>
      <c r="DO127">
        <v>0</v>
      </c>
    </row>
    <row r="128" spans="1:119" x14ac:dyDescent="0.2">
      <c r="A128">
        <f>ROW(Source!A138)</f>
        <v>138</v>
      </c>
      <c r="B128">
        <v>74014550</v>
      </c>
      <c r="C128">
        <v>74016431</v>
      </c>
      <c r="D128">
        <v>72647086</v>
      </c>
      <c r="E128">
        <v>1</v>
      </c>
      <c r="F128">
        <v>1</v>
      </c>
      <c r="G128">
        <v>1</v>
      </c>
      <c r="H128">
        <v>2</v>
      </c>
      <c r="I128" t="s">
        <v>657</v>
      </c>
      <c r="J128" t="s">
        <v>658</v>
      </c>
      <c r="K128" t="s">
        <v>659</v>
      </c>
      <c r="L128">
        <v>1368</v>
      </c>
      <c r="N128">
        <v>1011</v>
      </c>
      <c r="O128" t="s">
        <v>488</v>
      </c>
      <c r="P128" t="s">
        <v>488</v>
      </c>
      <c r="Q128">
        <v>1</v>
      </c>
      <c r="W128">
        <v>0</v>
      </c>
      <c r="X128">
        <v>-496688244</v>
      </c>
      <c r="Y128">
        <f t="shared" si="31"/>
        <v>0.18</v>
      </c>
      <c r="AA128">
        <v>0</v>
      </c>
      <c r="AB128">
        <v>1496.71</v>
      </c>
      <c r="AC128">
        <v>459.98</v>
      </c>
      <c r="AD128">
        <v>0</v>
      </c>
      <c r="AE128">
        <v>0</v>
      </c>
      <c r="AF128">
        <v>1069.08</v>
      </c>
      <c r="AG128">
        <v>459.98</v>
      </c>
      <c r="AH128">
        <v>0</v>
      </c>
      <c r="AI128">
        <v>1</v>
      </c>
      <c r="AJ128">
        <v>1.4</v>
      </c>
      <c r="AK128">
        <v>1</v>
      </c>
      <c r="AL128">
        <v>1</v>
      </c>
      <c r="AM128">
        <v>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0.18</v>
      </c>
      <c r="AU128" t="s">
        <v>3</v>
      </c>
      <c r="AV128">
        <v>1</v>
      </c>
      <c r="AW128">
        <v>2</v>
      </c>
      <c r="AX128">
        <v>74016439</v>
      </c>
      <c r="AY128">
        <v>1</v>
      </c>
      <c r="AZ128">
        <v>0</v>
      </c>
      <c r="BA128">
        <v>141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192.43439999999998</v>
      </c>
      <c r="BL128">
        <v>82.796400000000006</v>
      </c>
      <c r="BM128">
        <v>0</v>
      </c>
      <c r="BN128">
        <v>0</v>
      </c>
      <c r="BO128">
        <v>0.18</v>
      </c>
      <c r="BP128">
        <v>1</v>
      </c>
      <c r="BQ128">
        <v>0</v>
      </c>
      <c r="BR128">
        <v>192.43439999999998</v>
      </c>
      <c r="BS128">
        <v>82.796400000000006</v>
      </c>
      <c r="BT128">
        <v>0</v>
      </c>
      <c r="BU128">
        <v>0</v>
      </c>
      <c r="BV128">
        <v>0.18</v>
      </c>
      <c r="BW128">
        <v>1</v>
      </c>
      <c r="CV128">
        <v>0</v>
      </c>
      <c r="CW128">
        <f>ROUND(Y128*Source!I138*DO128,7)</f>
        <v>0.54</v>
      </c>
      <c r="CX128">
        <f>ROUND(Y128*Source!I138,7)</f>
        <v>0.54</v>
      </c>
      <c r="CY128">
        <f>AB128</f>
        <v>1496.71</v>
      </c>
      <c r="CZ128">
        <f>AF128</f>
        <v>1069.08</v>
      </c>
      <c r="DA128">
        <f>AJ128</f>
        <v>1.4</v>
      </c>
      <c r="DB128">
        <f t="shared" si="32"/>
        <v>192.43</v>
      </c>
      <c r="DC128">
        <f t="shared" si="33"/>
        <v>82.8</v>
      </c>
      <c r="DD128" t="s">
        <v>3</v>
      </c>
      <c r="DE128" t="s">
        <v>3</v>
      </c>
      <c r="DF128">
        <f>ROUND(ROUND(AE128,2)*CX128,2)</f>
        <v>0</v>
      </c>
      <c r="DG128">
        <f>ROUND(ROUND(AF128*AJ128,2)*CX128,2)</f>
        <v>808.22</v>
      </c>
      <c r="DH128">
        <f t="shared" si="26"/>
        <v>248.39</v>
      </c>
      <c r="DI128">
        <f t="shared" si="27"/>
        <v>0</v>
      </c>
      <c r="DJ128">
        <f>DG128+DH128</f>
        <v>1056.6100000000001</v>
      </c>
      <c r="DK128">
        <v>0</v>
      </c>
      <c r="DL128" t="s">
        <v>497</v>
      </c>
      <c r="DM128">
        <v>5</v>
      </c>
      <c r="DN128" t="s">
        <v>484</v>
      </c>
      <c r="DO128">
        <v>1</v>
      </c>
    </row>
    <row r="129" spans="1:119" x14ac:dyDescent="0.2">
      <c r="A129">
        <f>ROW(Source!A138)</f>
        <v>138</v>
      </c>
      <c r="B129">
        <v>74014550</v>
      </c>
      <c r="C129">
        <v>74016431</v>
      </c>
      <c r="D129">
        <v>72592092</v>
      </c>
      <c r="E129">
        <v>1</v>
      </c>
      <c r="F129">
        <v>1</v>
      </c>
      <c r="G129">
        <v>1</v>
      </c>
      <c r="H129">
        <v>3</v>
      </c>
      <c r="I129" t="s">
        <v>522</v>
      </c>
      <c r="J129" t="s">
        <v>523</v>
      </c>
      <c r="K129" t="s">
        <v>524</v>
      </c>
      <c r="L129">
        <v>1346</v>
      </c>
      <c r="N129">
        <v>1009</v>
      </c>
      <c r="O129" t="s">
        <v>314</v>
      </c>
      <c r="P129" t="s">
        <v>314</v>
      </c>
      <c r="Q129">
        <v>1</v>
      </c>
      <c r="W129">
        <v>0</v>
      </c>
      <c r="X129">
        <v>743240341</v>
      </c>
      <c r="Y129">
        <f t="shared" ref="Y129:Y160" si="41">AT129</f>
        <v>0.1</v>
      </c>
      <c r="AA129">
        <v>131.85</v>
      </c>
      <c r="AB129">
        <v>0</v>
      </c>
      <c r="AC129">
        <v>0</v>
      </c>
      <c r="AD129">
        <v>0</v>
      </c>
      <c r="AE129">
        <v>131.85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1</v>
      </c>
      <c r="AM129">
        <v>-2</v>
      </c>
      <c r="AN129">
        <v>0</v>
      </c>
      <c r="AO129">
        <v>0</v>
      </c>
      <c r="AP129">
        <v>1</v>
      </c>
      <c r="AQ129">
        <v>1</v>
      </c>
      <c r="AR129">
        <v>0</v>
      </c>
      <c r="AS129" t="s">
        <v>3</v>
      </c>
      <c r="AT129">
        <v>0.1</v>
      </c>
      <c r="AU129" t="s">
        <v>3</v>
      </c>
      <c r="AV129">
        <v>0</v>
      </c>
      <c r="AW129">
        <v>2</v>
      </c>
      <c r="AX129">
        <v>74016440</v>
      </c>
      <c r="AY129">
        <v>1</v>
      </c>
      <c r="AZ129">
        <v>0</v>
      </c>
      <c r="BA129">
        <v>142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13.185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13.185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CV129">
        <v>0</v>
      </c>
      <c r="CW129">
        <v>0</v>
      </c>
      <c r="CX129">
        <f>ROUND(Y129*Source!I138,7)</f>
        <v>0.3</v>
      </c>
      <c r="CY129">
        <f>AA129</f>
        <v>131.85</v>
      </c>
      <c r="CZ129">
        <f>AE129</f>
        <v>131.85</v>
      </c>
      <c r="DA129">
        <f>AI129</f>
        <v>1</v>
      </c>
      <c r="DB129">
        <f t="shared" ref="DB129:DB160" si="42">ROUND(ROUND(AT129*CZ129,2),6)</f>
        <v>13.19</v>
      </c>
      <c r="DC129">
        <f t="shared" ref="DC129:DC160" si="43">ROUND(ROUND(AT129*AG129,2),6)</f>
        <v>0</v>
      </c>
      <c r="DD129" t="s">
        <v>3</v>
      </c>
      <c r="DE129" t="s">
        <v>3</v>
      </c>
      <c r="DF129">
        <f>ROUND(ROUND(AE129,2)*CX129,2)</f>
        <v>39.56</v>
      </c>
      <c r="DG129">
        <f t="shared" ref="DG129:DG139" si="44">ROUND(ROUND(AF129,2)*CX129,2)</f>
        <v>0</v>
      </c>
      <c r="DH129">
        <f t="shared" ref="DH129:DH192" si="45">ROUND(ROUND(AG129,2)*CX129,2)</f>
        <v>0</v>
      </c>
      <c r="DI129">
        <f t="shared" ref="DI129:DI192" si="46">ROUND(ROUND(AH129,2)*CX129,2)</f>
        <v>0</v>
      </c>
      <c r="DJ129">
        <f>DF129</f>
        <v>39.56</v>
      </c>
      <c r="DK129">
        <v>1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ROW(Source!A138)</f>
        <v>138</v>
      </c>
      <c r="B130">
        <v>74014550</v>
      </c>
      <c r="C130">
        <v>74016431</v>
      </c>
      <c r="D130">
        <v>72630475</v>
      </c>
      <c r="E130">
        <v>1</v>
      </c>
      <c r="F130">
        <v>1</v>
      </c>
      <c r="G130">
        <v>1</v>
      </c>
      <c r="H130">
        <v>3</v>
      </c>
      <c r="I130" t="s">
        <v>279</v>
      </c>
      <c r="J130" t="s">
        <v>281</v>
      </c>
      <c r="K130" t="s">
        <v>280</v>
      </c>
      <c r="L130">
        <v>1371</v>
      </c>
      <c r="N130">
        <v>1013</v>
      </c>
      <c r="O130" t="s">
        <v>130</v>
      </c>
      <c r="P130" t="s">
        <v>130</v>
      </c>
      <c r="Q130">
        <v>1</v>
      </c>
      <c r="W130">
        <v>0</v>
      </c>
      <c r="X130">
        <v>-1570428</v>
      </c>
      <c r="Y130">
        <f t="shared" si="41"/>
        <v>1</v>
      </c>
      <c r="AA130">
        <v>380.36</v>
      </c>
      <c r="AB130">
        <v>0</v>
      </c>
      <c r="AC130">
        <v>0</v>
      </c>
      <c r="AD130">
        <v>0</v>
      </c>
      <c r="AE130">
        <v>355.48</v>
      </c>
      <c r="AF130">
        <v>0</v>
      </c>
      <c r="AG130">
        <v>0</v>
      </c>
      <c r="AH130">
        <v>0</v>
      </c>
      <c r="AI130">
        <v>1.07</v>
      </c>
      <c r="AJ130">
        <v>1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1</v>
      </c>
      <c r="AQ130">
        <v>0</v>
      </c>
      <c r="AR130">
        <v>0</v>
      </c>
      <c r="AS130" t="s">
        <v>3</v>
      </c>
      <c r="AT130">
        <v>1</v>
      </c>
      <c r="AU130" t="s">
        <v>3</v>
      </c>
      <c r="AV130">
        <v>0</v>
      </c>
      <c r="AW130">
        <v>1</v>
      </c>
      <c r="AX130">
        <v>-1</v>
      </c>
      <c r="AY130">
        <v>0</v>
      </c>
      <c r="AZ130">
        <v>0</v>
      </c>
      <c r="BA130" t="s">
        <v>3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CV130">
        <v>0</v>
      </c>
      <c r="CW130">
        <v>0</v>
      </c>
      <c r="CX130">
        <f>ROUND(Y130*Source!I138,7)</f>
        <v>3</v>
      </c>
      <c r="CY130">
        <f>AA130</f>
        <v>380.36</v>
      </c>
      <c r="CZ130">
        <f>AE130</f>
        <v>355.48</v>
      </c>
      <c r="DA130">
        <f>AI130</f>
        <v>1.07</v>
      </c>
      <c r="DB130">
        <f t="shared" si="42"/>
        <v>355.48</v>
      </c>
      <c r="DC130">
        <f t="shared" si="43"/>
        <v>0</v>
      </c>
      <c r="DD130" t="s">
        <v>3</v>
      </c>
      <c r="DE130" t="s">
        <v>3</v>
      </c>
      <c r="DF130">
        <f>ROUND(ROUND(AE130*AI130,2)*CX130,2)</f>
        <v>1141.08</v>
      </c>
      <c r="DG130">
        <f t="shared" si="44"/>
        <v>0</v>
      </c>
      <c r="DH130">
        <f t="shared" si="45"/>
        <v>0</v>
      </c>
      <c r="DI130">
        <f t="shared" si="46"/>
        <v>0</v>
      </c>
      <c r="DJ130">
        <f>DF130</f>
        <v>1141.08</v>
      </c>
      <c r="DK130">
        <v>0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ROW(Source!A140)</f>
        <v>140</v>
      </c>
      <c r="B131">
        <v>74014550</v>
      </c>
      <c r="C131">
        <v>74016443</v>
      </c>
      <c r="D131">
        <v>20054330</v>
      </c>
      <c r="E131">
        <v>119</v>
      </c>
      <c r="F131">
        <v>1</v>
      </c>
      <c r="G131">
        <v>1</v>
      </c>
      <c r="H131">
        <v>1</v>
      </c>
      <c r="I131" t="s">
        <v>503</v>
      </c>
      <c r="J131" t="s">
        <v>3</v>
      </c>
      <c r="K131" t="s">
        <v>504</v>
      </c>
      <c r="L131">
        <v>1191</v>
      </c>
      <c r="N131">
        <v>1013</v>
      </c>
      <c r="O131" t="s">
        <v>484</v>
      </c>
      <c r="P131" t="s">
        <v>484</v>
      </c>
      <c r="Q131">
        <v>1</v>
      </c>
      <c r="W131">
        <v>0</v>
      </c>
      <c r="X131">
        <v>-1461236815</v>
      </c>
      <c r="Y131">
        <f t="shared" si="41"/>
        <v>20.100000000000001</v>
      </c>
      <c r="AA131">
        <v>0</v>
      </c>
      <c r="AB131">
        <v>0</v>
      </c>
      <c r="AC131">
        <v>0</v>
      </c>
      <c r="AD131">
        <v>373.36</v>
      </c>
      <c r="AE131">
        <v>0</v>
      </c>
      <c r="AF131">
        <v>0</v>
      </c>
      <c r="AG131">
        <v>0</v>
      </c>
      <c r="AH131">
        <v>373.36</v>
      </c>
      <c r="AI131">
        <v>1</v>
      </c>
      <c r="AJ131">
        <v>1</v>
      </c>
      <c r="AK131">
        <v>1</v>
      </c>
      <c r="AL131">
        <v>1</v>
      </c>
      <c r="AM131">
        <v>-2</v>
      </c>
      <c r="AN131">
        <v>0</v>
      </c>
      <c r="AO131">
        <v>0</v>
      </c>
      <c r="AP131">
        <v>1</v>
      </c>
      <c r="AQ131">
        <v>1</v>
      </c>
      <c r="AR131">
        <v>0</v>
      </c>
      <c r="AS131" t="s">
        <v>3</v>
      </c>
      <c r="AT131">
        <v>20.100000000000001</v>
      </c>
      <c r="AU131" t="s">
        <v>3</v>
      </c>
      <c r="AV131">
        <v>1</v>
      </c>
      <c r="AW131">
        <v>2</v>
      </c>
      <c r="AX131">
        <v>74016450</v>
      </c>
      <c r="AY131">
        <v>1</v>
      </c>
      <c r="AZ131">
        <v>0</v>
      </c>
      <c r="BA131">
        <v>144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7504.536000000001</v>
      </c>
      <c r="BN131">
        <v>20.100000000000001</v>
      </c>
      <c r="BO131">
        <v>0</v>
      </c>
      <c r="BP131">
        <v>1</v>
      </c>
      <c r="BQ131">
        <v>0</v>
      </c>
      <c r="BR131">
        <v>0</v>
      </c>
      <c r="BS131">
        <v>0</v>
      </c>
      <c r="BT131">
        <v>7504.536000000001</v>
      </c>
      <c r="BU131">
        <v>20.100000000000001</v>
      </c>
      <c r="BV131">
        <v>0</v>
      </c>
      <c r="BW131">
        <v>1</v>
      </c>
      <c r="CU131">
        <f>ROUND(AT131*Source!I140*AH131*AL131,2)</f>
        <v>13.51</v>
      </c>
      <c r="CV131">
        <f>ROUND(Y131*Source!I140,7)</f>
        <v>3.6179999999999997E-2</v>
      </c>
      <c r="CW131">
        <v>0</v>
      </c>
      <c r="CX131">
        <f>ROUND(Y131*Source!I140,7)</f>
        <v>3.6179999999999997E-2</v>
      </c>
      <c r="CY131">
        <f>AD131</f>
        <v>373.36</v>
      </c>
      <c r="CZ131">
        <f>AH131</f>
        <v>373.36</v>
      </c>
      <c r="DA131">
        <f>AL131</f>
        <v>1</v>
      </c>
      <c r="DB131">
        <f t="shared" si="42"/>
        <v>7504.54</v>
      </c>
      <c r="DC131">
        <f t="shared" si="43"/>
        <v>0</v>
      </c>
      <c r="DD131" t="s">
        <v>3</v>
      </c>
      <c r="DE131" t="s">
        <v>3</v>
      </c>
      <c r="DF131">
        <f t="shared" ref="DF131:DF143" si="47">ROUND(ROUND(AE131,2)*CX131,2)</f>
        <v>0</v>
      </c>
      <c r="DG131">
        <f t="shared" si="44"/>
        <v>0</v>
      </c>
      <c r="DH131">
        <f t="shared" si="45"/>
        <v>0</v>
      </c>
      <c r="DI131">
        <f t="shared" si="46"/>
        <v>13.51</v>
      </c>
      <c r="DJ131">
        <f>DI131</f>
        <v>13.51</v>
      </c>
      <c r="DK131">
        <v>1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ROW(Source!A140)</f>
        <v>140</v>
      </c>
      <c r="B132">
        <v>74014550</v>
      </c>
      <c r="C132">
        <v>74016443</v>
      </c>
      <c r="D132">
        <v>20049115</v>
      </c>
      <c r="E132">
        <v>119</v>
      </c>
      <c r="F132">
        <v>1</v>
      </c>
      <c r="G132">
        <v>1</v>
      </c>
      <c r="H132">
        <v>1</v>
      </c>
      <c r="I132" t="s">
        <v>482</v>
      </c>
      <c r="J132" t="s">
        <v>3</v>
      </c>
      <c r="K132" t="s">
        <v>483</v>
      </c>
      <c r="L132">
        <v>1191</v>
      </c>
      <c r="N132">
        <v>1013</v>
      </c>
      <c r="O132" t="s">
        <v>484</v>
      </c>
      <c r="P132" t="s">
        <v>484</v>
      </c>
      <c r="Q132">
        <v>1</v>
      </c>
      <c r="W132">
        <v>0</v>
      </c>
      <c r="X132">
        <v>-1417349443</v>
      </c>
      <c r="Y132">
        <f t="shared" si="41"/>
        <v>6.25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1</v>
      </c>
      <c r="AK132">
        <v>1</v>
      </c>
      <c r="AL132">
        <v>1</v>
      </c>
      <c r="AM132">
        <v>-2</v>
      </c>
      <c r="AN132">
        <v>0</v>
      </c>
      <c r="AO132">
        <v>0</v>
      </c>
      <c r="AP132">
        <v>1</v>
      </c>
      <c r="AQ132">
        <v>1</v>
      </c>
      <c r="AR132">
        <v>0</v>
      </c>
      <c r="AS132" t="s">
        <v>3</v>
      </c>
      <c r="AT132">
        <v>6.25</v>
      </c>
      <c r="AU132" t="s">
        <v>3</v>
      </c>
      <c r="AV132">
        <v>2</v>
      </c>
      <c r="AW132">
        <v>2</v>
      </c>
      <c r="AX132">
        <v>74016451</v>
      </c>
      <c r="AY132">
        <v>1</v>
      </c>
      <c r="AZ132">
        <v>0</v>
      </c>
      <c r="BA132">
        <v>145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CV132">
        <v>0</v>
      </c>
      <c r="CW132">
        <v>0</v>
      </c>
      <c r="CX132">
        <f>ROUND(Y132*Source!I140,7)</f>
        <v>1.125E-2</v>
      </c>
      <c r="CY132">
        <f>AD132</f>
        <v>0</v>
      </c>
      <c r="CZ132">
        <f>AH132</f>
        <v>0</v>
      </c>
      <c r="DA132">
        <f>AL132</f>
        <v>1</v>
      </c>
      <c r="DB132">
        <f t="shared" si="42"/>
        <v>0</v>
      </c>
      <c r="DC132">
        <f t="shared" si="43"/>
        <v>0</v>
      </c>
      <c r="DD132" t="s">
        <v>3</v>
      </c>
      <c r="DE132" t="s">
        <v>3</v>
      </c>
      <c r="DF132">
        <f t="shared" si="47"/>
        <v>0</v>
      </c>
      <c r="DG132">
        <f t="shared" si="44"/>
        <v>0</v>
      </c>
      <c r="DH132">
        <f t="shared" si="45"/>
        <v>0</v>
      </c>
      <c r="DI132">
        <f t="shared" si="46"/>
        <v>0</v>
      </c>
      <c r="DJ132">
        <f>DI132</f>
        <v>0</v>
      </c>
      <c r="DK132">
        <v>0</v>
      </c>
      <c r="DL132" t="s">
        <v>3</v>
      </c>
      <c r="DM132">
        <v>0</v>
      </c>
      <c r="DN132" t="s">
        <v>3</v>
      </c>
      <c r="DO132">
        <v>0</v>
      </c>
    </row>
    <row r="133" spans="1:119" x14ac:dyDescent="0.2">
      <c r="A133">
        <f>ROW(Source!A140)</f>
        <v>140</v>
      </c>
      <c r="B133">
        <v>74014550</v>
      </c>
      <c r="C133">
        <v>74016443</v>
      </c>
      <c r="D133">
        <v>72646037</v>
      </c>
      <c r="E133">
        <v>1</v>
      </c>
      <c r="F133">
        <v>1</v>
      </c>
      <c r="G133">
        <v>1</v>
      </c>
      <c r="H133">
        <v>2</v>
      </c>
      <c r="I133" t="s">
        <v>636</v>
      </c>
      <c r="J133" t="s">
        <v>637</v>
      </c>
      <c r="K133" t="s">
        <v>638</v>
      </c>
      <c r="L133">
        <v>1368</v>
      </c>
      <c r="N133">
        <v>1011</v>
      </c>
      <c r="O133" t="s">
        <v>488</v>
      </c>
      <c r="P133" t="s">
        <v>488</v>
      </c>
      <c r="Q133">
        <v>1</v>
      </c>
      <c r="W133">
        <v>0</v>
      </c>
      <c r="X133">
        <v>-1791740122</v>
      </c>
      <c r="Y133">
        <f t="shared" si="41"/>
        <v>6.25</v>
      </c>
      <c r="AA133">
        <v>0</v>
      </c>
      <c r="AB133">
        <v>1836.16</v>
      </c>
      <c r="AC133">
        <v>537.64</v>
      </c>
      <c r="AD133">
        <v>0</v>
      </c>
      <c r="AE133">
        <v>0</v>
      </c>
      <c r="AF133">
        <v>1836.16</v>
      </c>
      <c r="AG133">
        <v>537.64</v>
      </c>
      <c r="AH133">
        <v>0</v>
      </c>
      <c r="AI133">
        <v>1</v>
      </c>
      <c r="AJ133">
        <v>1</v>
      </c>
      <c r="AK133">
        <v>1</v>
      </c>
      <c r="AL133">
        <v>1</v>
      </c>
      <c r="AM133">
        <v>-2</v>
      </c>
      <c r="AN133">
        <v>0</v>
      </c>
      <c r="AO133">
        <v>0</v>
      </c>
      <c r="AP133">
        <v>1</v>
      </c>
      <c r="AQ133">
        <v>1</v>
      </c>
      <c r="AR133">
        <v>0</v>
      </c>
      <c r="AS133" t="s">
        <v>3</v>
      </c>
      <c r="AT133">
        <v>6.25</v>
      </c>
      <c r="AU133" t="s">
        <v>3</v>
      </c>
      <c r="AV133">
        <v>1</v>
      </c>
      <c r="AW133">
        <v>2</v>
      </c>
      <c r="AX133">
        <v>74016452</v>
      </c>
      <c r="AY133">
        <v>1</v>
      </c>
      <c r="AZ133">
        <v>0</v>
      </c>
      <c r="BA133">
        <v>146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11476</v>
      </c>
      <c r="BL133">
        <v>3360.25</v>
      </c>
      <c r="BM133">
        <v>0</v>
      </c>
      <c r="BN133">
        <v>0</v>
      </c>
      <c r="BO133">
        <v>6.25</v>
      </c>
      <c r="BP133">
        <v>1</v>
      </c>
      <c r="BQ133">
        <v>0</v>
      </c>
      <c r="BR133">
        <v>11476</v>
      </c>
      <c r="BS133">
        <v>3360.25</v>
      </c>
      <c r="BT133">
        <v>0</v>
      </c>
      <c r="BU133">
        <v>0</v>
      </c>
      <c r="BV133">
        <v>6.25</v>
      </c>
      <c r="BW133">
        <v>1</v>
      </c>
      <c r="CV133">
        <v>0</v>
      </c>
      <c r="CW133">
        <f>ROUND(Y133*Source!I140*DO133,7)</f>
        <v>1.125E-2</v>
      </c>
      <c r="CX133">
        <f>ROUND(Y133*Source!I140,7)</f>
        <v>1.125E-2</v>
      </c>
      <c r="CY133">
        <f>AB133</f>
        <v>1836.16</v>
      </c>
      <c r="CZ133">
        <f>AF133</f>
        <v>1836.16</v>
      </c>
      <c r="DA133">
        <f>AJ133</f>
        <v>1</v>
      </c>
      <c r="DB133">
        <f t="shared" si="42"/>
        <v>11476</v>
      </c>
      <c r="DC133">
        <f t="shared" si="43"/>
        <v>3360.25</v>
      </c>
      <c r="DD133" t="s">
        <v>3</v>
      </c>
      <c r="DE133" t="s">
        <v>3</v>
      </c>
      <c r="DF133">
        <f t="shared" si="47"/>
        <v>0</v>
      </c>
      <c r="DG133">
        <f t="shared" si="44"/>
        <v>20.66</v>
      </c>
      <c r="DH133">
        <f t="shared" si="45"/>
        <v>6.05</v>
      </c>
      <c r="DI133">
        <f t="shared" si="46"/>
        <v>0</v>
      </c>
      <c r="DJ133">
        <f>DG133+DH133</f>
        <v>26.71</v>
      </c>
      <c r="DK133">
        <v>1</v>
      </c>
      <c r="DL133" t="s">
        <v>489</v>
      </c>
      <c r="DM133">
        <v>6</v>
      </c>
      <c r="DN133" t="s">
        <v>484</v>
      </c>
      <c r="DO133">
        <v>1</v>
      </c>
    </row>
    <row r="134" spans="1:119" x14ac:dyDescent="0.2">
      <c r="A134">
        <f>ROW(Source!A140)</f>
        <v>140</v>
      </c>
      <c r="B134">
        <v>74014550</v>
      </c>
      <c r="C134">
        <v>74016443</v>
      </c>
      <c r="D134">
        <v>72647129</v>
      </c>
      <c r="E134">
        <v>1</v>
      </c>
      <c r="F134">
        <v>1</v>
      </c>
      <c r="G134">
        <v>1</v>
      </c>
      <c r="H134">
        <v>2</v>
      </c>
      <c r="I134" t="s">
        <v>508</v>
      </c>
      <c r="J134" t="s">
        <v>509</v>
      </c>
      <c r="K134" t="s">
        <v>510</v>
      </c>
      <c r="L134">
        <v>1368</v>
      </c>
      <c r="N134">
        <v>1011</v>
      </c>
      <c r="O134" t="s">
        <v>488</v>
      </c>
      <c r="P134" t="s">
        <v>488</v>
      </c>
      <c r="Q134">
        <v>1</v>
      </c>
      <c r="W134">
        <v>0</v>
      </c>
      <c r="X134">
        <v>1678177714</v>
      </c>
      <c r="Y134">
        <f t="shared" si="41"/>
        <v>2.29</v>
      </c>
      <c r="AA134">
        <v>0</v>
      </c>
      <c r="AB134">
        <v>43.87</v>
      </c>
      <c r="AC134">
        <v>0</v>
      </c>
      <c r="AD134">
        <v>0</v>
      </c>
      <c r="AE134">
        <v>0</v>
      </c>
      <c r="AF134">
        <v>43.87</v>
      </c>
      <c r="AG134">
        <v>0</v>
      </c>
      <c r="AH134">
        <v>0</v>
      </c>
      <c r="AI134">
        <v>1</v>
      </c>
      <c r="AJ134">
        <v>1</v>
      </c>
      <c r="AK134">
        <v>1</v>
      </c>
      <c r="AL134">
        <v>1</v>
      </c>
      <c r="AM134">
        <v>-2</v>
      </c>
      <c r="AN134">
        <v>0</v>
      </c>
      <c r="AO134">
        <v>0</v>
      </c>
      <c r="AP134">
        <v>1</v>
      </c>
      <c r="AQ134">
        <v>1</v>
      </c>
      <c r="AR134">
        <v>0</v>
      </c>
      <c r="AS134" t="s">
        <v>3</v>
      </c>
      <c r="AT134">
        <v>2.29</v>
      </c>
      <c r="AU134" t="s">
        <v>3</v>
      </c>
      <c r="AV134">
        <v>1</v>
      </c>
      <c r="AW134">
        <v>2</v>
      </c>
      <c r="AX134">
        <v>74016453</v>
      </c>
      <c r="AY134">
        <v>1</v>
      </c>
      <c r="AZ134">
        <v>0</v>
      </c>
      <c r="BA134">
        <v>147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100.4623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0</v>
      </c>
      <c r="BR134">
        <v>100.4623</v>
      </c>
      <c r="BS134">
        <v>0</v>
      </c>
      <c r="BT134">
        <v>0</v>
      </c>
      <c r="BU134">
        <v>0</v>
      </c>
      <c r="BV134">
        <v>0</v>
      </c>
      <c r="BW134">
        <v>1</v>
      </c>
      <c r="CV134">
        <v>0</v>
      </c>
      <c r="CW134">
        <f>ROUND(Y134*Source!I140*DO134,7)</f>
        <v>0</v>
      </c>
      <c r="CX134">
        <f>ROUND(Y134*Source!I140,7)</f>
        <v>4.1219999999999998E-3</v>
      </c>
      <c r="CY134">
        <f>AB134</f>
        <v>43.87</v>
      </c>
      <c r="CZ134">
        <f>AF134</f>
        <v>43.87</v>
      </c>
      <c r="DA134">
        <f>AJ134</f>
        <v>1</v>
      </c>
      <c r="DB134">
        <f t="shared" si="42"/>
        <v>100.46</v>
      </c>
      <c r="DC134">
        <f t="shared" si="43"/>
        <v>0</v>
      </c>
      <c r="DD134" t="s">
        <v>3</v>
      </c>
      <c r="DE134" t="s">
        <v>3</v>
      </c>
      <c r="DF134">
        <f t="shared" si="47"/>
        <v>0</v>
      </c>
      <c r="DG134">
        <f t="shared" si="44"/>
        <v>0.18</v>
      </c>
      <c r="DH134">
        <f t="shared" si="45"/>
        <v>0</v>
      </c>
      <c r="DI134">
        <f t="shared" si="46"/>
        <v>0</v>
      </c>
      <c r="DJ134">
        <f>DG134+DH134</f>
        <v>0.18</v>
      </c>
      <c r="DK134">
        <v>1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ROW(Source!A140)</f>
        <v>140</v>
      </c>
      <c r="B135">
        <v>74014550</v>
      </c>
      <c r="C135">
        <v>74016443</v>
      </c>
      <c r="D135">
        <v>72591353</v>
      </c>
      <c r="E135">
        <v>1</v>
      </c>
      <c r="F135">
        <v>1</v>
      </c>
      <c r="G135">
        <v>1</v>
      </c>
      <c r="H135">
        <v>3</v>
      </c>
      <c r="I135" t="s">
        <v>518</v>
      </c>
      <c r="J135" t="s">
        <v>519</v>
      </c>
      <c r="K135" t="s">
        <v>520</v>
      </c>
      <c r="L135">
        <v>1383</v>
      </c>
      <c r="N135">
        <v>1013</v>
      </c>
      <c r="O135" t="s">
        <v>521</v>
      </c>
      <c r="P135" t="s">
        <v>521</v>
      </c>
      <c r="Q135">
        <v>1</v>
      </c>
      <c r="W135">
        <v>0</v>
      </c>
      <c r="X135">
        <v>86017057</v>
      </c>
      <c r="Y135">
        <f t="shared" si="41"/>
        <v>1.26</v>
      </c>
      <c r="AA135">
        <v>9.5500000000000007</v>
      </c>
      <c r="AB135">
        <v>0</v>
      </c>
      <c r="AC135">
        <v>0</v>
      </c>
      <c r="AD135">
        <v>0</v>
      </c>
      <c r="AE135">
        <v>9.5500000000000007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1</v>
      </c>
      <c r="AM135">
        <v>-2</v>
      </c>
      <c r="AN135">
        <v>0</v>
      </c>
      <c r="AO135">
        <v>0</v>
      </c>
      <c r="AP135">
        <v>1</v>
      </c>
      <c r="AQ135">
        <v>1</v>
      </c>
      <c r="AR135">
        <v>0</v>
      </c>
      <c r="AS135" t="s">
        <v>3</v>
      </c>
      <c r="AT135">
        <v>1.26</v>
      </c>
      <c r="AU135" t="s">
        <v>3</v>
      </c>
      <c r="AV135">
        <v>0</v>
      </c>
      <c r="AW135">
        <v>2</v>
      </c>
      <c r="AX135">
        <v>74016454</v>
      </c>
      <c r="AY135">
        <v>1</v>
      </c>
      <c r="AZ135">
        <v>0</v>
      </c>
      <c r="BA135">
        <v>148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12.033000000000001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12.033000000000001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CV135">
        <v>0</v>
      </c>
      <c r="CW135">
        <v>0</v>
      </c>
      <c r="CX135">
        <f>ROUND(Y135*Source!I140,7)</f>
        <v>2.2680000000000001E-3</v>
      </c>
      <c r="CY135">
        <f>AA135</f>
        <v>9.5500000000000007</v>
      </c>
      <c r="CZ135">
        <f>AE135</f>
        <v>9.5500000000000007</v>
      </c>
      <c r="DA135">
        <f>AI135</f>
        <v>1</v>
      </c>
      <c r="DB135">
        <f t="shared" si="42"/>
        <v>12.03</v>
      </c>
      <c r="DC135">
        <f t="shared" si="43"/>
        <v>0</v>
      </c>
      <c r="DD135" t="s">
        <v>3</v>
      </c>
      <c r="DE135" t="s">
        <v>3</v>
      </c>
      <c r="DF135">
        <f t="shared" si="47"/>
        <v>0.02</v>
      </c>
      <c r="DG135">
        <f t="shared" si="44"/>
        <v>0</v>
      </c>
      <c r="DH135">
        <f t="shared" si="45"/>
        <v>0</v>
      </c>
      <c r="DI135">
        <f t="shared" si="46"/>
        <v>0</v>
      </c>
      <c r="DJ135">
        <f>DF135</f>
        <v>0.02</v>
      </c>
      <c r="DK135">
        <v>1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ROW(Source!A140)</f>
        <v>140</v>
      </c>
      <c r="B136">
        <v>74014550</v>
      </c>
      <c r="C136">
        <v>74016443</v>
      </c>
      <c r="D136">
        <v>72592092</v>
      </c>
      <c r="E136">
        <v>1</v>
      </c>
      <c r="F136">
        <v>1</v>
      </c>
      <c r="G136">
        <v>1</v>
      </c>
      <c r="H136">
        <v>3</v>
      </c>
      <c r="I136" t="s">
        <v>522</v>
      </c>
      <c r="J136" t="s">
        <v>523</v>
      </c>
      <c r="K136" t="s">
        <v>524</v>
      </c>
      <c r="L136">
        <v>1346</v>
      </c>
      <c r="N136">
        <v>1009</v>
      </c>
      <c r="O136" t="s">
        <v>314</v>
      </c>
      <c r="P136" t="s">
        <v>314</v>
      </c>
      <c r="Q136">
        <v>1</v>
      </c>
      <c r="W136">
        <v>0</v>
      </c>
      <c r="X136">
        <v>743240341</v>
      </c>
      <c r="Y136">
        <f t="shared" si="41"/>
        <v>0.35</v>
      </c>
      <c r="AA136">
        <v>131.85</v>
      </c>
      <c r="AB136">
        <v>0</v>
      </c>
      <c r="AC136">
        <v>0</v>
      </c>
      <c r="AD136">
        <v>0</v>
      </c>
      <c r="AE136">
        <v>131.85</v>
      </c>
      <c r="AF136">
        <v>0</v>
      </c>
      <c r="AG136">
        <v>0</v>
      </c>
      <c r="AH136">
        <v>0</v>
      </c>
      <c r="AI136">
        <v>1</v>
      </c>
      <c r="AJ136">
        <v>1</v>
      </c>
      <c r="AK136">
        <v>1</v>
      </c>
      <c r="AL136">
        <v>1</v>
      </c>
      <c r="AM136">
        <v>-2</v>
      </c>
      <c r="AN136">
        <v>0</v>
      </c>
      <c r="AO136">
        <v>0</v>
      </c>
      <c r="AP136">
        <v>1</v>
      </c>
      <c r="AQ136">
        <v>1</v>
      </c>
      <c r="AR136">
        <v>0</v>
      </c>
      <c r="AS136" t="s">
        <v>3</v>
      </c>
      <c r="AT136">
        <v>0.35</v>
      </c>
      <c r="AU136" t="s">
        <v>3</v>
      </c>
      <c r="AV136">
        <v>0</v>
      </c>
      <c r="AW136">
        <v>2</v>
      </c>
      <c r="AX136">
        <v>74016455</v>
      </c>
      <c r="AY136">
        <v>1</v>
      </c>
      <c r="AZ136">
        <v>0</v>
      </c>
      <c r="BA136">
        <v>149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46.147499999999994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46.147499999999994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CV136">
        <v>0</v>
      </c>
      <c r="CW136">
        <v>0</v>
      </c>
      <c r="CX136">
        <f>ROUND(Y136*Source!I140,7)</f>
        <v>6.3000000000000003E-4</v>
      </c>
      <c r="CY136">
        <f>AA136</f>
        <v>131.85</v>
      </c>
      <c r="CZ136">
        <f>AE136</f>
        <v>131.85</v>
      </c>
      <c r="DA136">
        <f>AI136</f>
        <v>1</v>
      </c>
      <c r="DB136">
        <f t="shared" si="42"/>
        <v>46.15</v>
      </c>
      <c r="DC136">
        <f t="shared" si="43"/>
        <v>0</v>
      </c>
      <c r="DD136" t="s">
        <v>3</v>
      </c>
      <c r="DE136" t="s">
        <v>3</v>
      </c>
      <c r="DF136">
        <f t="shared" si="47"/>
        <v>0.08</v>
      </c>
      <c r="DG136">
        <f t="shared" si="44"/>
        <v>0</v>
      </c>
      <c r="DH136">
        <f t="shared" si="45"/>
        <v>0</v>
      </c>
      <c r="DI136">
        <f t="shared" si="46"/>
        <v>0</v>
      </c>
      <c r="DJ136">
        <f>DF136</f>
        <v>0.08</v>
      </c>
      <c r="DK136">
        <v>1</v>
      </c>
      <c r="DL136" t="s">
        <v>3</v>
      </c>
      <c r="DM136">
        <v>0</v>
      </c>
      <c r="DN136" t="s">
        <v>3</v>
      </c>
      <c r="DO136">
        <v>0</v>
      </c>
    </row>
    <row r="137" spans="1:119" x14ac:dyDescent="0.2">
      <c r="A137">
        <f>ROW(Source!A143)</f>
        <v>143</v>
      </c>
      <c r="B137">
        <v>74014550</v>
      </c>
      <c r="C137">
        <v>74016459</v>
      </c>
      <c r="D137">
        <v>20050979</v>
      </c>
      <c r="E137">
        <v>119</v>
      </c>
      <c r="F137">
        <v>1</v>
      </c>
      <c r="G137">
        <v>1</v>
      </c>
      <c r="H137">
        <v>1</v>
      </c>
      <c r="I137" t="s">
        <v>660</v>
      </c>
      <c r="J137" t="s">
        <v>3</v>
      </c>
      <c r="K137" t="s">
        <v>661</v>
      </c>
      <c r="L137">
        <v>1191</v>
      </c>
      <c r="N137">
        <v>1013</v>
      </c>
      <c r="O137" t="s">
        <v>484</v>
      </c>
      <c r="P137" t="s">
        <v>484</v>
      </c>
      <c r="Q137">
        <v>1</v>
      </c>
      <c r="W137">
        <v>0</v>
      </c>
      <c r="X137">
        <v>1014935341</v>
      </c>
      <c r="Y137">
        <f t="shared" si="41"/>
        <v>394</v>
      </c>
      <c r="AA137">
        <v>0</v>
      </c>
      <c r="AB137">
        <v>0</v>
      </c>
      <c r="AC137">
        <v>0</v>
      </c>
      <c r="AD137">
        <v>352.45</v>
      </c>
      <c r="AE137">
        <v>0</v>
      </c>
      <c r="AF137">
        <v>0</v>
      </c>
      <c r="AG137">
        <v>0</v>
      </c>
      <c r="AH137">
        <v>352.45</v>
      </c>
      <c r="AI137">
        <v>1</v>
      </c>
      <c r="AJ137">
        <v>1</v>
      </c>
      <c r="AK137">
        <v>1</v>
      </c>
      <c r="AL137">
        <v>1</v>
      </c>
      <c r="AM137">
        <v>-2</v>
      </c>
      <c r="AN137">
        <v>0</v>
      </c>
      <c r="AO137">
        <v>0</v>
      </c>
      <c r="AP137">
        <v>1</v>
      </c>
      <c r="AQ137">
        <v>1</v>
      </c>
      <c r="AR137">
        <v>0</v>
      </c>
      <c r="AS137" t="s">
        <v>3</v>
      </c>
      <c r="AT137">
        <v>394</v>
      </c>
      <c r="AU137" t="s">
        <v>3</v>
      </c>
      <c r="AV137">
        <v>1</v>
      </c>
      <c r="AW137">
        <v>2</v>
      </c>
      <c r="AX137">
        <v>74016477</v>
      </c>
      <c r="AY137">
        <v>1</v>
      </c>
      <c r="AZ137">
        <v>0</v>
      </c>
      <c r="BA137">
        <v>151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138865.29999999999</v>
      </c>
      <c r="BN137">
        <v>394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138865.29999999999</v>
      </c>
      <c r="BU137">
        <v>394</v>
      </c>
      <c r="BV137">
        <v>0</v>
      </c>
      <c r="BW137">
        <v>1</v>
      </c>
      <c r="CU137">
        <f>ROUND(AT137*Source!I143*AH137*AL137,2)</f>
        <v>66.66</v>
      </c>
      <c r="CV137">
        <f>ROUND(Y137*Source!I143,7)</f>
        <v>0.18912000000000001</v>
      </c>
      <c r="CW137">
        <v>0</v>
      </c>
      <c r="CX137">
        <f>ROUND(Y137*Source!I143,7)</f>
        <v>0.18912000000000001</v>
      </c>
      <c r="CY137">
        <f>AD137</f>
        <v>352.45</v>
      </c>
      <c r="CZ137">
        <f>AH137</f>
        <v>352.45</v>
      </c>
      <c r="DA137">
        <f>AL137</f>
        <v>1</v>
      </c>
      <c r="DB137">
        <f t="shared" si="42"/>
        <v>138865.29999999999</v>
      </c>
      <c r="DC137">
        <f t="shared" si="43"/>
        <v>0</v>
      </c>
      <c r="DD137" t="s">
        <v>3</v>
      </c>
      <c r="DE137" t="s">
        <v>3</v>
      </c>
      <c r="DF137">
        <f t="shared" si="47"/>
        <v>0</v>
      </c>
      <c r="DG137">
        <f t="shared" si="44"/>
        <v>0</v>
      </c>
      <c r="DH137">
        <f t="shared" si="45"/>
        <v>0</v>
      </c>
      <c r="DI137">
        <f t="shared" si="46"/>
        <v>66.66</v>
      </c>
      <c r="DJ137">
        <f>DI137</f>
        <v>66.66</v>
      </c>
      <c r="DK137">
        <v>1</v>
      </c>
      <c r="DL137" t="s">
        <v>3</v>
      </c>
      <c r="DM137">
        <v>0</v>
      </c>
      <c r="DN137" t="s">
        <v>3</v>
      </c>
      <c r="DO137">
        <v>0</v>
      </c>
    </row>
    <row r="138" spans="1:119" x14ac:dyDescent="0.2">
      <c r="A138">
        <f>ROW(Source!A143)</f>
        <v>143</v>
      </c>
      <c r="B138">
        <v>74014550</v>
      </c>
      <c r="C138">
        <v>74016459</v>
      </c>
      <c r="D138">
        <v>20049115</v>
      </c>
      <c r="E138">
        <v>119</v>
      </c>
      <c r="F138">
        <v>1</v>
      </c>
      <c r="G138">
        <v>1</v>
      </c>
      <c r="H138">
        <v>1</v>
      </c>
      <c r="I138" t="s">
        <v>482</v>
      </c>
      <c r="J138" t="s">
        <v>3</v>
      </c>
      <c r="K138" t="s">
        <v>483</v>
      </c>
      <c r="L138">
        <v>1191</v>
      </c>
      <c r="N138">
        <v>1013</v>
      </c>
      <c r="O138" t="s">
        <v>484</v>
      </c>
      <c r="P138" t="s">
        <v>484</v>
      </c>
      <c r="Q138">
        <v>1</v>
      </c>
      <c r="W138">
        <v>0</v>
      </c>
      <c r="X138">
        <v>-1417349443</v>
      </c>
      <c r="Y138">
        <f t="shared" si="41"/>
        <v>35.869999999999997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1</v>
      </c>
      <c r="AK138">
        <v>1</v>
      </c>
      <c r="AL138">
        <v>1</v>
      </c>
      <c r="AM138">
        <v>-2</v>
      </c>
      <c r="AN138">
        <v>0</v>
      </c>
      <c r="AO138">
        <v>0</v>
      </c>
      <c r="AP138">
        <v>1</v>
      </c>
      <c r="AQ138">
        <v>1</v>
      </c>
      <c r="AR138">
        <v>0</v>
      </c>
      <c r="AS138" t="s">
        <v>3</v>
      </c>
      <c r="AT138">
        <v>35.869999999999997</v>
      </c>
      <c r="AU138" t="s">
        <v>3</v>
      </c>
      <c r="AV138">
        <v>2</v>
      </c>
      <c r="AW138">
        <v>2</v>
      </c>
      <c r="AX138">
        <v>74016478</v>
      </c>
      <c r="AY138">
        <v>1</v>
      </c>
      <c r="AZ138">
        <v>0</v>
      </c>
      <c r="BA138">
        <v>152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CV138">
        <v>0</v>
      </c>
      <c r="CW138">
        <v>0</v>
      </c>
      <c r="CX138">
        <f>ROUND(Y138*Source!I143,7)</f>
        <v>1.72176E-2</v>
      </c>
      <c r="CY138">
        <f>AD138</f>
        <v>0</v>
      </c>
      <c r="CZ138">
        <f>AH138</f>
        <v>0</v>
      </c>
      <c r="DA138">
        <f>AL138</f>
        <v>1</v>
      </c>
      <c r="DB138">
        <f t="shared" si="42"/>
        <v>0</v>
      </c>
      <c r="DC138">
        <f t="shared" si="43"/>
        <v>0</v>
      </c>
      <c r="DD138" t="s">
        <v>3</v>
      </c>
      <c r="DE138" t="s">
        <v>3</v>
      </c>
      <c r="DF138">
        <f t="shared" si="47"/>
        <v>0</v>
      </c>
      <c r="DG138">
        <f t="shared" si="44"/>
        <v>0</v>
      </c>
      <c r="DH138">
        <f t="shared" si="45"/>
        <v>0</v>
      </c>
      <c r="DI138">
        <f t="shared" si="46"/>
        <v>0</v>
      </c>
      <c r="DJ138">
        <f>DI138</f>
        <v>0</v>
      </c>
      <c r="DK138">
        <v>0</v>
      </c>
      <c r="DL138" t="s">
        <v>3</v>
      </c>
      <c r="DM138">
        <v>0</v>
      </c>
      <c r="DN138" t="s">
        <v>3</v>
      </c>
      <c r="DO138">
        <v>0</v>
      </c>
    </row>
    <row r="139" spans="1:119" x14ac:dyDescent="0.2">
      <c r="A139">
        <f>ROW(Source!A143)</f>
        <v>143</v>
      </c>
      <c r="B139">
        <v>74014550</v>
      </c>
      <c r="C139">
        <v>74016459</v>
      </c>
      <c r="D139">
        <v>72646037</v>
      </c>
      <c r="E139">
        <v>1</v>
      </c>
      <c r="F139">
        <v>1</v>
      </c>
      <c r="G139">
        <v>1</v>
      </c>
      <c r="H139">
        <v>2</v>
      </c>
      <c r="I139" t="s">
        <v>636</v>
      </c>
      <c r="J139" t="s">
        <v>637</v>
      </c>
      <c r="K139" t="s">
        <v>638</v>
      </c>
      <c r="L139">
        <v>1368</v>
      </c>
      <c r="N139">
        <v>1011</v>
      </c>
      <c r="O139" t="s">
        <v>488</v>
      </c>
      <c r="P139" t="s">
        <v>488</v>
      </c>
      <c r="Q139">
        <v>1</v>
      </c>
      <c r="W139">
        <v>0</v>
      </c>
      <c r="X139">
        <v>-1791740122</v>
      </c>
      <c r="Y139">
        <f t="shared" si="41"/>
        <v>0.96</v>
      </c>
      <c r="AA139">
        <v>0</v>
      </c>
      <c r="AB139">
        <v>1836.16</v>
      </c>
      <c r="AC139">
        <v>537.64</v>
      </c>
      <c r="AD139">
        <v>0</v>
      </c>
      <c r="AE139">
        <v>0</v>
      </c>
      <c r="AF139">
        <v>1836.16</v>
      </c>
      <c r="AG139">
        <v>537.64</v>
      </c>
      <c r="AH139">
        <v>0</v>
      </c>
      <c r="AI139">
        <v>1</v>
      </c>
      <c r="AJ139">
        <v>1</v>
      </c>
      <c r="AK139">
        <v>1</v>
      </c>
      <c r="AL139">
        <v>1</v>
      </c>
      <c r="AM139">
        <v>-2</v>
      </c>
      <c r="AN139">
        <v>0</v>
      </c>
      <c r="AO139">
        <v>0</v>
      </c>
      <c r="AP139">
        <v>1</v>
      </c>
      <c r="AQ139">
        <v>1</v>
      </c>
      <c r="AR139">
        <v>0</v>
      </c>
      <c r="AS139" t="s">
        <v>3</v>
      </c>
      <c r="AT139">
        <v>0.96</v>
      </c>
      <c r="AU139" t="s">
        <v>3</v>
      </c>
      <c r="AV139">
        <v>1</v>
      </c>
      <c r="AW139">
        <v>2</v>
      </c>
      <c r="AX139">
        <v>74016479</v>
      </c>
      <c r="AY139">
        <v>1</v>
      </c>
      <c r="AZ139">
        <v>0</v>
      </c>
      <c r="BA139">
        <v>153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1762.7136</v>
      </c>
      <c r="BL139">
        <v>516.13439999999991</v>
      </c>
      <c r="BM139">
        <v>0</v>
      </c>
      <c r="BN139">
        <v>0</v>
      </c>
      <c r="BO139">
        <v>0.96</v>
      </c>
      <c r="BP139">
        <v>1</v>
      </c>
      <c r="BQ139">
        <v>0</v>
      </c>
      <c r="BR139">
        <v>1762.7136</v>
      </c>
      <c r="BS139">
        <v>516.13439999999991</v>
      </c>
      <c r="BT139">
        <v>0</v>
      </c>
      <c r="BU139">
        <v>0</v>
      </c>
      <c r="BV139">
        <v>0.96</v>
      </c>
      <c r="BW139">
        <v>1</v>
      </c>
      <c r="CV139">
        <v>0</v>
      </c>
      <c r="CW139">
        <f>ROUND(Y139*Source!I143*DO139,7)</f>
        <v>4.6079999999999998E-4</v>
      </c>
      <c r="CX139">
        <f>ROUND(Y139*Source!I143,7)</f>
        <v>4.6079999999999998E-4</v>
      </c>
      <c r="CY139">
        <f>AB139</f>
        <v>1836.16</v>
      </c>
      <c r="CZ139">
        <f>AF139</f>
        <v>1836.16</v>
      </c>
      <c r="DA139">
        <f>AJ139</f>
        <v>1</v>
      </c>
      <c r="DB139">
        <f t="shared" si="42"/>
        <v>1762.71</v>
      </c>
      <c r="DC139">
        <f t="shared" si="43"/>
        <v>516.13</v>
      </c>
      <c r="DD139" t="s">
        <v>3</v>
      </c>
      <c r="DE139" t="s">
        <v>3</v>
      </c>
      <c r="DF139">
        <f t="shared" si="47"/>
        <v>0</v>
      </c>
      <c r="DG139">
        <f t="shared" si="44"/>
        <v>0.85</v>
      </c>
      <c r="DH139">
        <f t="shared" si="45"/>
        <v>0.25</v>
      </c>
      <c r="DI139">
        <f t="shared" si="46"/>
        <v>0</v>
      </c>
      <c r="DJ139">
        <f>DG139+DH139</f>
        <v>1.1000000000000001</v>
      </c>
      <c r="DK139">
        <v>1</v>
      </c>
      <c r="DL139" t="s">
        <v>489</v>
      </c>
      <c r="DM139">
        <v>6</v>
      </c>
      <c r="DN139" t="s">
        <v>484</v>
      </c>
      <c r="DO139">
        <v>1</v>
      </c>
    </row>
    <row r="140" spans="1:119" x14ac:dyDescent="0.2">
      <c r="A140">
        <f>ROW(Source!A143)</f>
        <v>143</v>
      </c>
      <c r="B140">
        <v>74014550</v>
      </c>
      <c r="C140">
        <v>74016459</v>
      </c>
      <c r="D140">
        <v>72646046</v>
      </c>
      <c r="E140">
        <v>1</v>
      </c>
      <c r="F140">
        <v>1</v>
      </c>
      <c r="G140">
        <v>1</v>
      </c>
      <c r="H140">
        <v>2</v>
      </c>
      <c r="I140" t="s">
        <v>662</v>
      </c>
      <c r="J140" t="s">
        <v>663</v>
      </c>
      <c r="K140" t="s">
        <v>664</v>
      </c>
      <c r="L140">
        <v>1368</v>
      </c>
      <c r="N140">
        <v>1011</v>
      </c>
      <c r="O140" t="s">
        <v>488</v>
      </c>
      <c r="P140" t="s">
        <v>488</v>
      </c>
      <c r="Q140">
        <v>1</v>
      </c>
      <c r="W140">
        <v>0</v>
      </c>
      <c r="X140">
        <v>-1753360770</v>
      </c>
      <c r="Y140">
        <f t="shared" si="41"/>
        <v>33.26</v>
      </c>
      <c r="AA140">
        <v>0</v>
      </c>
      <c r="AB140">
        <v>2503.85</v>
      </c>
      <c r="AC140">
        <v>537.64</v>
      </c>
      <c r="AD140">
        <v>0</v>
      </c>
      <c r="AE140">
        <v>0</v>
      </c>
      <c r="AF140">
        <v>1703.3</v>
      </c>
      <c r="AG140">
        <v>537.64</v>
      </c>
      <c r="AH140">
        <v>0</v>
      </c>
      <c r="AI140">
        <v>1</v>
      </c>
      <c r="AJ140">
        <v>1.47</v>
      </c>
      <c r="AK140">
        <v>1</v>
      </c>
      <c r="AL140">
        <v>1</v>
      </c>
      <c r="AM140">
        <v>2</v>
      </c>
      <c r="AN140">
        <v>0</v>
      </c>
      <c r="AO140">
        <v>0</v>
      </c>
      <c r="AP140">
        <v>1</v>
      </c>
      <c r="AQ140">
        <v>1</v>
      </c>
      <c r="AR140">
        <v>0</v>
      </c>
      <c r="AS140" t="s">
        <v>3</v>
      </c>
      <c r="AT140">
        <v>33.26</v>
      </c>
      <c r="AU140" t="s">
        <v>3</v>
      </c>
      <c r="AV140">
        <v>1</v>
      </c>
      <c r="AW140">
        <v>2</v>
      </c>
      <c r="AX140">
        <v>74016480</v>
      </c>
      <c r="AY140">
        <v>1</v>
      </c>
      <c r="AZ140">
        <v>0</v>
      </c>
      <c r="BA140">
        <v>154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56651.757999999994</v>
      </c>
      <c r="BL140">
        <v>17881.9064</v>
      </c>
      <c r="BM140">
        <v>0</v>
      </c>
      <c r="BN140">
        <v>0</v>
      </c>
      <c r="BO140">
        <v>33.26</v>
      </c>
      <c r="BP140">
        <v>1</v>
      </c>
      <c r="BQ140">
        <v>0</v>
      </c>
      <c r="BR140">
        <v>56651.757999999994</v>
      </c>
      <c r="BS140">
        <v>17881.9064</v>
      </c>
      <c r="BT140">
        <v>0</v>
      </c>
      <c r="BU140">
        <v>0</v>
      </c>
      <c r="BV140">
        <v>33.26</v>
      </c>
      <c r="BW140">
        <v>1</v>
      </c>
      <c r="CV140">
        <v>0</v>
      </c>
      <c r="CW140">
        <f>ROUND(Y140*Source!I143*DO140,7)</f>
        <v>1.5964800000000001E-2</v>
      </c>
      <c r="CX140">
        <f>ROUND(Y140*Source!I143,7)</f>
        <v>1.5964800000000001E-2</v>
      </c>
      <c r="CY140">
        <f>AB140</f>
        <v>2503.85</v>
      </c>
      <c r="CZ140">
        <f>AF140</f>
        <v>1703.3</v>
      </c>
      <c r="DA140">
        <f>AJ140</f>
        <v>1.47</v>
      </c>
      <c r="DB140">
        <f t="shared" si="42"/>
        <v>56651.76</v>
      </c>
      <c r="DC140">
        <f t="shared" si="43"/>
        <v>17881.91</v>
      </c>
      <c r="DD140" t="s">
        <v>3</v>
      </c>
      <c r="DE140" t="s">
        <v>3</v>
      </c>
      <c r="DF140">
        <f t="shared" si="47"/>
        <v>0</v>
      </c>
      <c r="DG140">
        <f>ROUND(ROUND(AF140*AJ140,2)*CX140,2)</f>
        <v>39.97</v>
      </c>
      <c r="DH140">
        <f t="shared" si="45"/>
        <v>8.58</v>
      </c>
      <c r="DI140">
        <f t="shared" si="46"/>
        <v>0</v>
      </c>
      <c r="DJ140">
        <f>DG140+DH140</f>
        <v>48.55</v>
      </c>
      <c r="DK140">
        <v>0</v>
      </c>
      <c r="DL140" t="s">
        <v>489</v>
      </c>
      <c r="DM140">
        <v>6</v>
      </c>
      <c r="DN140" t="s">
        <v>484</v>
      </c>
      <c r="DO140">
        <v>1</v>
      </c>
    </row>
    <row r="141" spans="1:119" x14ac:dyDescent="0.2">
      <c r="A141">
        <f>ROW(Source!A143)</f>
        <v>143</v>
      </c>
      <c r="B141">
        <v>74014550</v>
      </c>
      <c r="C141">
        <v>74016459</v>
      </c>
      <c r="D141">
        <v>72646194</v>
      </c>
      <c r="E141">
        <v>1</v>
      </c>
      <c r="F141">
        <v>1</v>
      </c>
      <c r="G141">
        <v>1</v>
      </c>
      <c r="H141">
        <v>2</v>
      </c>
      <c r="I141" t="s">
        <v>494</v>
      </c>
      <c r="J141" t="s">
        <v>495</v>
      </c>
      <c r="K141" t="s">
        <v>496</v>
      </c>
      <c r="L141">
        <v>1368</v>
      </c>
      <c r="N141">
        <v>1011</v>
      </c>
      <c r="O141" t="s">
        <v>488</v>
      </c>
      <c r="P141" t="s">
        <v>488</v>
      </c>
      <c r="Q141">
        <v>1</v>
      </c>
      <c r="W141">
        <v>0</v>
      </c>
      <c r="X141">
        <v>-1368259184</v>
      </c>
      <c r="Y141">
        <f t="shared" si="41"/>
        <v>0.25</v>
      </c>
      <c r="AA141">
        <v>0</v>
      </c>
      <c r="AB141">
        <v>1681.82</v>
      </c>
      <c r="AC141">
        <v>459.98</v>
      </c>
      <c r="AD141">
        <v>0</v>
      </c>
      <c r="AE141">
        <v>0</v>
      </c>
      <c r="AF141">
        <v>1681.82</v>
      </c>
      <c r="AG141">
        <v>459.98</v>
      </c>
      <c r="AH141">
        <v>0</v>
      </c>
      <c r="AI141">
        <v>1</v>
      </c>
      <c r="AJ141">
        <v>1</v>
      </c>
      <c r="AK141">
        <v>1</v>
      </c>
      <c r="AL141">
        <v>1</v>
      </c>
      <c r="AM141">
        <v>-2</v>
      </c>
      <c r="AN141">
        <v>0</v>
      </c>
      <c r="AO141">
        <v>0</v>
      </c>
      <c r="AP141">
        <v>1</v>
      </c>
      <c r="AQ141">
        <v>1</v>
      </c>
      <c r="AR141">
        <v>0</v>
      </c>
      <c r="AS141" t="s">
        <v>3</v>
      </c>
      <c r="AT141">
        <v>0.25</v>
      </c>
      <c r="AU141" t="s">
        <v>3</v>
      </c>
      <c r="AV141">
        <v>1</v>
      </c>
      <c r="AW141">
        <v>2</v>
      </c>
      <c r="AX141">
        <v>74016481</v>
      </c>
      <c r="AY141">
        <v>1</v>
      </c>
      <c r="AZ141">
        <v>0</v>
      </c>
      <c r="BA141">
        <v>155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420.45499999999998</v>
      </c>
      <c r="BL141">
        <v>114.995</v>
      </c>
      <c r="BM141">
        <v>0</v>
      </c>
      <c r="BN141">
        <v>0</v>
      </c>
      <c r="BO141">
        <v>0.25</v>
      </c>
      <c r="BP141">
        <v>1</v>
      </c>
      <c r="BQ141">
        <v>0</v>
      </c>
      <c r="BR141">
        <v>420.45499999999998</v>
      </c>
      <c r="BS141">
        <v>114.995</v>
      </c>
      <c r="BT141">
        <v>0</v>
      </c>
      <c r="BU141">
        <v>0</v>
      </c>
      <c r="BV141">
        <v>0.25</v>
      </c>
      <c r="BW141">
        <v>1</v>
      </c>
      <c r="CV141">
        <v>0</v>
      </c>
      <c r="CW141">
        <f>ROUND(Y141*Source!I143*DO141,7)</f>
        <v>1.2E-4</v>
      </c>
      <c r="CX141">
        <f>ROUND(Y141*Source!I143,7)</f>
        <v>1.2E-4</v>
      </c>
      <c r="CY141">
        <f>AB141</f>
        <v>1681.82</v>
      </c>
      <c r="CZ141">
        <f>AF141</f>
        <v>1681.82</v>
      </c>
      <c r="DA141">
        <f>AJ141</f>
        <v>1</v>
      </c>
      <c r="DB141">
        <f t="shared" si="42"/>
        <v>420.46</v>
      </c>
      <c r="DC141">
        <f t="shared" si="43"/>
        <v>115</v>
      </c>
      <c r="DD141" t="s">
        <v>3</v>
      </c>
      <c r="DE141" t="s">
        <v>3</v>
      </c>
      <c r="DF141">
        <f t="shared" si="47"/>
        <v>0</v>
      </c>
      <c r="DG141">
        <f>ROUND(ROUND(AF141,2)*CX141,2)</f>
        <v>0.2</v>
      </c>
      <c r="DH141">
        <f t="shared" si="45"/>
        <v>0.06</v>
      </c>
      <c r="DI141">
        <f t="shared" si="46"/>
        <v>0</v>
      </c>
      <c r="DJ141">
        <f>DG141+DH141</f>
        <v>0.26</v>
      </c>
      <c r="DK141">
        <v>1</v>
      </c>
      <c r="DL141" t="s">
        <v>497</v>
      </c>
      <c r="DM141">
        <v>5</v>
      </c>
      <c r="DN141" t="s">
        <v>484</v>
      </c>
      <c r="DO141">
        <v>1</v>
      </c>
    </row>
    <row r="142" spans="1:119" x14ac:dyDescent="0.2">
      <c r="A142">
        <f>ROW(Source!A143)</f>
        <v>143</v>
      </c>
      <c r="B142">
        <v>74014550</v>
      </c>
      <c r="C142">
        <v>74016459</v>
      </c>
      <c r="D142">
        <v>72646293</v>
      </c>
      <c r="E142">
        <v>1</v>
      </c>
      <c r="F142">
        <v>1</v>
      </c>
      <c r="G142">
        <v>1</v>
      </c>
      <c r="H142">
        <v>2</v>
      </c>
      <c r="I142" t="s">
        <v>665</v>
      </c>
      <c r="J142" t="s">
        <v>666</v>
      </c>
      <c r="K142" t="s">
        <v>667</v>
      </c>
      <c r="L142">
        <v>1368</v>
      </c>
      <c r="N142">
        <v>1011</v>
      </c>
      <c r="O142" t="s">
        <v>488</v>
      </c>
      <c r="P142" t="s">
        <v>488</v>
      </c>
      <c r="Q142">
        <v>1</v>
      </c>
      <c r="W142">
        <v>0</v>
      </c>
      <c r="X142">
        <v>-804492372</v>
      </c>
      <c r="Y142">
        <f t="shared" si="41"/>
        <v>21</v>
      </c>
      <c r="AA142">
        <v>0</v>
      </c>
      <c r="AB142">
        <v>13.27</v>
      </c>
      <c r="AC142">
        <v>0</v>
      </c>
      <c r="AD142">
        <v>0</v>
      </c>
      <c r="AE142">
        <v>0</v>
      </c>
      <c r="AF142">
        <v>10.37</v>
      </c>
      <c r="AG142">
        <v>0</v>
      </c>
      <c r="AH142">
        <v>0</v>
      </c>
      <c r="AI142">
        <v>1</v>
      </c>
      <c r="AJ142">
        <v>1.28</v>
      </c>
      <c r="AK142">
        <v>1</v>
      </c>
      <c r="AL142">
        <v>1</v>
      </c>
      <c r="AM142">
        <v>2</v>
      </c>
      <c r="AN142">
        <v>0</v>
      </c>
      <c r="AO142">
        <v>0</v>
      </c>
      <c r="AP142">
        <v>1</v>
      </c>
      <c r="AQ142">
        <v>1</v>
      </c>
      <c r="AR142">
        <v>0</v>
      </c>
      <c r="AS142" t="s">
        <v>3</v>
      </c>
      <c r="AT142">
        <v>21</v>
      </c>
      <c r="AU142" t="s">
        <v>3</v>
      </c>
      <c r="AV142">
        <v>1</v>
      </c>
      <c r="AW142">
        <v>2</v>
      </c>
      <c r="AX142">
        <v>74016482</v>
      </c>
      <c r="AY142">
        <v>1</v>
      </c>
      <c r="AZ142">
        <v>0</v>
      </c>
      <c r="BA142">
        <v>156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217.76999999999998</v>
      </c>
      <c r="BL142">
        <v>0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217.76999999999998</v>
      </c>
      <c r="BS142">
        <v>0</v>
      </c>
      <c r="BT142">
        <v>0</v>
      </c>
      <c r="BU142">
        <v>0</v>
      </c>
      <c r="BV142">
        <v>0</v>
      </c>
      <c r="BW142">
        <v>1</v>
      </c>
      <c r="CV142">
        <v>0</v>
      </c>
      <c r="CW142">
        <f>ROUND(Y142*Source!I143*DO142,7)</f>
        <v>0</v>
      </c>
      <c r="CX142">
        <f>ROUND(Y142*Source!I143,7)</f>
        <v>1.008E-2</v>
      </c>
      <c r="CY142">
        <f>AB142</f>
        <v>13.27</v>
      </c>
      <c r="CZ142">
        <f>AF142</f>
        <v>10.37</v>
      </c>
      <c r="DA142">
        <f>AJ142</f>
        <v>1.28</v>
      </c>
      <c r="DB142">
        <f t="shared" si="42"/>
        <v>217.77</v>
      </c>
      <c r="DC142">
        <f t="shared" si="43"/>
        <v>0</v>
      </c>
      <c r="DD142" t="s">
        <v>3</v>
      </c>
      <c r="DE142" t="s">
        <v>3</v>
      </c>
      <c r="DF142">
        <f t="shared" si="47"/>
        <v>0</v>
      </c>
      <c r="DG142">
        <f>ROUND(ROUND(AF142*AJ142,2)*CX142,2)</f>
        <v>0.13</v>
      </c>
      <c r="DH142">
        <f t="shared" si="45"/>
        <v>0</v>
      </c>
      <c r="DI142">
        <f t="shared" si="46"/>
        <v>0</v>
      </c>
      <c r="DJ142">
        <f>DG142+DH142</f>
        <v>0.13</v>
      </c>
      <c r="DK142">
        <v>0</v>
      </c>
      <c r="DL142" t="s">
        <v>3</v>
      </c>
      <c r="DM142">
        <v>0</v>
      </c>
      <c r="DN142" t="s">
        <v>3</v>
      </c>
      <c r="DO142">
        <v>0</v>
      </c>
    </row>
    <row r="143" spans="1:119" x14ac:dyDescent="0.2">
      <c r="A143">
        <f>ROW(Source!A143)</f>
        <v>143</v>
      </c>
      <c r="B143">
        <v>74014550</v>
      </c>
      <c r="C143">
        <v>74016459</v>
      </c>
      <c r="D143">
        <v>72646931</v>
      </c>
      <c r="E143">
        <v>1</v>
      </c>
      <c r="F143">
        <v>1</v>
      </c>
      <c r="G143">
        <v>1</v>
      </c>
      <c r="H143">
        <v>2</v>
      </c>
      <c r="I143" t="s">
        <v>545</v>
      </c>
      <c r="J143" t="s">
        <v>546</v>
      </c>
      <c r="K143" t="s">
        <v>547</v>
      </c>
      <c r="L143">
        <v>1368</v>
      </c>
      <c r="N143">
        <v>1011</v>
      </c>
      <c r="O143" t="s">
        <v>488</v>
      </c>
      <c r="P143" t="s">
        <v>488</v>
      </c>
      <c r="Q143">
        <v>1</v>
      </c>
      <c r="W143">
        <v>0</v>
      </c>
      <c r="X143">
        <v>4063365</v>
      </c>
      <c r="Y143">
        <f t="shared" si="41"/>
        <v>1.4</v>
      </c>
      <c r="AA143">
        <v>0</v>
      </c>
      <c r="AB143">
        <v>655.95</v>
      </c>
      <c r="AC143">
        <v>400.24</v>
      </c>
      <c r="AD143">
        <v>0</v>
      </c>
      <c r="AE143">
        <v>0</v>
      </c>
      <c r="AF143">
        <v>655.95</v>
      </c>
      <c r="AG143">
        <v>400.24</v>
      </c>
      <c r="AH143">
        <v>0</v>
      </c>
      <c r="AI143">
        <v>1</v>
      </c>
      <c r="AJ143">
        <v>1</v>
      </c>
      <c r="AK143">
        <v>1</v>
      </c>
      <c r="AL143">
        <v>1</v>
      </c>
      <c r="AM143">
        <v>-2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1.4</v>
      </c>
      <c r="AU143" t="s">
        <v>3</v>
      </c>
      <c r="AV143">
        <v>1</v>
      </c>
      <c r="AW143">
        <v>2</v>
      </c>
      <c r="AX143">
        <v>74016483</v>
      </c>
      <c r="AY143">
        <v>1</v>
      </c>
      <c r="AZ143">
        <v>0</v>
      </c>
      <c r="BA143">
        <v>157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918.33</v>
      </c>
      <c r="BL143">
        <v>560.33600000000001</v>
      </c>
      <c r="BM143">
        <v>0</v>
      </c>
      <c r="BN143">
        <v>0</v>
      </c>
      <c r="BO143">
        <v>1.4</v>
      </c>
      <c r="BP143">
        <v>1</v>
      </c>
      <c r="BQ143">
        <v>0</v>
      </c>
      <c r="BR143">
        <v>918.33</v>
      </c>
      <c r="BS143">
        <v>560.33600000000001</v>
      </c>
      <c r="BT143">
        <v>0</v>
      </c>
      <c r="BU143">
        <v>0</v>
      </c>
      <c r="BV143">
        <v>1.4</v>
      </c>
      <c r="BW143">
        <v>1</v>
      </c>
      <c r="CV143">
        <v>0</v>
      </c>
      <c r="CW143">
        <f>ROUND(Y143*Source!I143*DO143,7)</f>
        <v>6.7199999999999996E-4</v>
      </c>
      <c r="CX143">
        <f>ROUND(Y143*Source!I143,7)</f>
        <v>6.7199999999999996E-4</v>
      </c>
      <c r="CY143">
        <f>AB143</f>
        <v>655.95</v>
      </c>
      <c r="CZ143">
        <f>AF143</f>
        <v>655.95</v>
      </c>
      <c r="DA143">
        <f>AJ143</f>
        <v>1</v>
      </c>
      <c r="DB143">
        <f t="shared" si="42"/>
        <v>918.33</v>
      </c>
      <c r="DC143">
        <f t="shared" si="43"/>
        <v>560.34</v>
      </c>
      <c r="DD143" t="s">
        <v>3</v>
      </c>
      <c r="DE143" t="s">
        <v>3</v>
      </c>
      <c r="DF143">
        <f t="shared" si="47"/>
        <v>0</v>
      </c>
      <c r="DG143">
        <f t="shared" ref="DG143:DG155" si="48">ROUND(ROUND(AF143,2)*CX143,2)</f>
        <v>0.44</v>
      </c>
      <c r="DH143">
        <f t="shared" si="45"/>
        <v>0.27</v>
      </c>
      <c r="DI143">
        <f t="shared" si="46"/>
        <v>0</v>
      </c>
      <c r="DJ143">
        <f>DG143+DH143</f>
        <v>0.71</v>
      </c>
      <c r="DK143">
        <v>1</v>
      </c>
      <c r="DL143" t="s">
        <v>514</v>
      </c>
      <c r="DM143">
        <v>4</v>
      </c>
      <c r="DN143" t="s">
        <v>484</v>
      </c>
      <c r="DO143">
        <v>1</v>
      </c>
    </row>
    <row r="144" spans="1:119" x14ac:dyDescent="0.2">
      <c r="A144">
        <f>ROW(Source!A143)</f>
        <v>143</v>
      </c>
      <c r="B144">
        <v>74014550</v>
      </c>
      <c r="C144">
        <v>74016459</v>
      </c>
      <c r="D144">
        <v>72591341</v>
      </c>
      <c r="E144">
        <v>1</v>
      </c>
      <c r="F144">
        <v>1</v>
      </c>
      <c r="G144">
        <v>1</v>
      </c>
      <c r="H144">
        <v>3</v>
      </c>
      <c r="I144" t="s">
        <v>627</v>
      </c>
      <c r="J144" t="s">
        <v>628</v>
      </c>
      <c r="K144" t="s">
        <v>629</v>
      </c>
      <c r="L144">
        <v>1339</v>
      </c>
      <c r="N144">
        <v>1007</v>
      </c>
      <c r="O144" t="s">
        <v>48</v>
      </c>
      <c r="P144" t="s">
        <v>48</v>
      </c>
      <c r="Q144">
        <v>1</v>
      </c>
      <c r="W144">
        <v>0</v>
      </c>
      <c r="X144">
        <v>-1357846128</v>
      </c>
      <c r="Y144">
        <f t="shared" si="41"/>
        <v>1.75</v>
      </c>
      <c r="AA144">
        <v>31.42</v>
      </c>
      <c r="AB144">
        <v>0</v>
      </c>
      <c r="AC144">
        <v>0</v>
      </c>
      <c r="AD144">
        <v>0</v>
      </c>
      <c r="AE144">
        <v>35.71</v>
      </c>
      <c r="AF144">
        <v>0</v>
      </c>
      <c r="AG144">
        <v>0</v>
      </c>
      <c r="AH144">
        <v>0</v>
      </c>
      <c r="AI144">
        <v>0.88</v>
      </c>
      <c r="AJ144">
        <v>1</v>
      </c>
      <c r="AK144">
        <v>1</v>
      </c>
      <c r="AL144">
        <v>1</v>
      </c>
      <c r="AM144">
        <v>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1.75</v>
      </c>
      <c r="AU144" t="s">
        <v>3</v>
      </c>
      <c r="AV144">
        <v>0</v>
      </c>
      <c r="AW144">
        <v>2</v>
      </c>
      <c r="AX144">
        <v>74016484</v>
      </c>
      <c r="AY144">
        <v>1</v>
      </c>
      <c r="AZ144">
        <v>0</v>
      </c>
      <c r="BA144">
        <v>158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62.4925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62.4925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CV144">
        <v>0</v>
      </c>
      <c r="CW144">
        <v>0</v>
      </c>
      <c r="CX144">
        <f>ROUND(Y144*Source!I143,7)</f>
        <v>8.4000000000000003E-4</v>
      </c>
      <c r="CY144">
        <f t="shared" ref="CY144:CY153" si="49">AA144</f>
        <v>31.42</v>
      </c>
      <c r="CZ144">
        <f t="shared" ref="CZ144:CZ153" si="50">AE144</f>
        <v>35.71</v>
      </c>
      <c r="DA144">
        <f t="shared" ref="DA144:DA153" si="51">AI144</f>
        <v>0.88</v>
      </c>
      <c r="DB144">
        <f t="shared" si="42"/>
        <v>62.49</v>
      </c>
      <c r="DC144">
        <f t="shared" si="43"/>
        <v>0</v>
      </c>
      <c r="DD144" t="s">
        <v>3</v>
      </c>
      <c r="DE144" t="s">
        <v>3</v>
      </c>
      <c r="DF144">
        <f>ROUND(ROUND(AE144*AI144,2)*CX144,2)</f>
        <v>0.03</v>
      </c>
      <c r="DG144">
        <f t="shared" si="48"/>
        <v>0</v>
      </c>
      <c r="DH144">
        <f t="shared" si="45"/>
        <v>0</v>
      </c>
      <c r="DI144">
        <f t="shared" si="46"/>
        <v>0</v>
      </c>
      <c r="DJ144">
        <f t="shared" ref="DJ144:DJ153" si="52">DF144</f>
        <v>0.03</v>
      </c>
      <c r="DK144">
        <v>0</v>
      </c>
      <c r="DL144" t="s">
        <v>3</v>
      </c>
      <c r="DM144">
        <v>0</v>
      </c>
      <c r="DN144" t="s">
        <v>3</v>
      </c>
      <c r="DO144">
        <v>0</v>
      </c>
    </row>
    <row r="145" spans="1:119" x14ac:dyDescent="0.2">
      <c r="A145">
        <f>ROW(Source!A143)</f>
        <v>143</v>
      </c>
      <c r="B145">
        <v>74014550</v>
      </c>
      <c r="C145">
        <v>74016459</v>
      </c>
      <c r="D145">
        <v>72591353</v>
      </c>
      <c r="E145">
        <v>1</v>
      </c>
      <c r="F145">
        <v>1</v>
      </c>
      <c r="G145">
        <v>1</v>
      </c>
      <c r="H145">
        <v>3</v>
      </c>
      <c r="I145" t="s">
        <v>518</v>
      </c>
      <c r="J145" t="s">
        <v>519</v>
      </c>
      <c r="K145" t="s">
        <v>520</v>
      </c>
      <c r="L145">
        <v>1383</v>
      </c>
      <c r="N145">
        <v>1013</v>
      </c>
      <c r="O145" t="s">
        <v>521</v>
      </c>
      <c r="P145" t="s">
        <v>521</v>
      </c>
      <c r="Q145">
        <v>1</v>
      </c>
      <c r="W145">
        <v>0</v>
      </c>
      <c r="X145">
        <v>86017057</v>
      </c>
      <c r="Y145">
        <f t="shared" si="41"/>
        <v>2.64</v>
      </c>
      <c r="AA145">
        <v>9.5500000000000007</v>
      </c>
      <c r="AB145">
        <v>0</v>
      </c>
      <c r="AC145">
        <v>0</v>
      </c>
      <c r="AD145">
        <v>0</v>
      </c>
      <c r="AE145">
        <v>9.5500000000000007</v>
      </c>
      <c r="AF145">
        <v>0</v>
      </c>
      <c r="AG145">
        <v>0</v>
      </c>
      <c r="AH145">
        <v>0</v>
      </c>
      <c r="AI145">
        <v>1</v>
      </c>
      <c r="AJ145">
        <v>1</v>
      </c>
      <c r="AK145">
        <v>1</v>
      </c>
      <c r="AL145">
        <v>1</v>
      </c>
      <c r="AM145">
        <v>-2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2.64</v>
      </c>
      <c r="AU145" t="s">
        <v>3</v>
      </c>
      <c r="AV145">
        <v>0</v>
      </c>
      <c r="AW145">
        <v>2</v>
      </c>
      <c r="AX145">
        <v>74016485</v>
      </c>
      <c r="AY145">
        <v>1</v>
      </c>
      <c r="AZ145">
        <v>0</v>
      </c>
      <c r="BA145">
        <v>159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25.212000000000003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25.212000000000003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CV145">
        <v>0</v>
      </c>
      <c r="CW145">
        <v>0</v>
      </c>
      <c r="CX145">
        <f>ROUND(Y145*Source!I143,7)</f>
        <v>1.2672E-3</v>
      </c>
      <c r="CY145">
        <f t="shared" si="49"/>
        <v>9.5500000000000007</v>
      </c>
      <c r="CZ145">
        <f t="shared" si="50"/>
        <v>9.5500000000000007</v>
      </c>
      <c r="DA145">
        <f t="shared" si="51"/>
        <v>1</v>
      </c>
      <c r="DB145">
        <f t="shared" si="42"/>
        <v>25.21</v>
      </c>
      <c r="DC145">
        <f t="shared" si="43"/>
        <v>0</v>
      </c>
      <c r="DD145" t="s">
        <v>3</v>
      </c>
      <c r="DE145" t="s">
        <v>3</v>
      </c>
      <c r="DF145">
        <f>ROUND(ROUND(AE145,2)*CX145,2)</f>
        <v>0.01</v>
      </c>
      <c r="DG145">
        <f t="shared" si="48"/>
        <v>0</v>
      </c>
      <c r="DH145">
        <f t="shared" si="45"/>
        <v>0</v>
      </c>
      <c r="DI145">
        <f t="shared" si="46"/>
        <v>0</v>
      </c>
      <c r="DJ145">
        <f t="shared" si="52"/>
        <v>0.01</v>
      </c>
      <c r="DK145">
        <v>1</v>
      </c>
      <c r="DL145" t="s">
        <v>3</v>
      </c>
      <c r="DM145">
        <v>0</v>
      </c>
      <c r="DN145" t="s">
        <v>3</v>
      </c>
      <c r="DO145">
        <v>0</v>
      </c>
    </row>
    <row r="146" spans="1:119" x14ac:dyDescent="0.2">
      <c r="A146">
        <f>ROW(Source!A143)</f>
        <v>143</v>
      </c>
      <c r="B146">
        <v>74014550</v>
      </c>
      <c r="C146">
        <v>74016459</v>
      </c>
      <c r="D146">
        <v>72591655</v>
      </c>
      <c r="E146">
        <v>1</v>
      </c>
      <c r="F146">
        <v>1</v>
      </c>
      <c r="G146">
        <v>1</v>
      </c>
      <c r="H146">
        <v>3</v>
      </c>
      <c r="I146" t="s">
        <v>630</v>
      </c>
      <c r="J146" t="s">
        <v>631</v>
      </c>
      <c r="K146" t="s">
        <v>632</v>
      </c>
      <c r="L146">
        <v>1327</v>
      </c>
      <c r="N146">
        <v>1005</v>
      </c>
      <c r="O146" t="s">
        <v>633</v>
      </c>
      <c r="P146" t="s">
        <v>633</v>
      </c>
      <c r="Q146">
        <v>1</v>
      </c>
      <c r="W146">
        <v>0</v>
      </c>
      <c r="X146">
        <v>1456637857</v>
      </c>
      <c r="Y146">
        <f t="shared" si="41"/>
        <v>5.6</v>
      </c>
      <c r="AA146">
        <v>13.98</v>
      </c>
      <c r="AB146">
        <v>0</v>
      </c>
      <c r="AC146">
        <v>0</v>
      </c>
      <c r="AD146">
        <v>0</v>
      </c>
      <c r="AE146">
        <v>12.83</v>
      </c>
      <c r="AF146">
        <v>0</v>
      </c>
      <c r="AG146">
        <v>0</v>
      </c>
      <c r="AH146">
        <v>0</v>
      </c>
      <c r="AI146">
        <v>1.0900000000000001</v>
      </c>
      <c r="AJ146">
        <v>1</v>
      </c>
      <c r="AK146">
        <v>1</v>
      </c>
      <c r="AL146">
        <v>1</v>
      </c>
      <c r="AM146">
        <v>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5.6</v>
      </c>
      <c r="AU146" t="s">
        <v>3</v>
      </c>
      <c r="AV146">
        <v>0</v>
      </c>
      <c r="AW146">
        <v>2</v>
      </c>
      <c r="AX146">
        <v>74016486</v>
      </c>
      <c r="AY146">
        <v>1</v>
      </c>
      <c r="AZ146">
        <v>0</v>
      </c>
      <c r="BA146">
        <v>160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71.847999999999999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71.847999999999999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</v>
      </c>
      <c r="CV146">
        <v>0</v>
      </c>
      <c r="CW146">
        <v>0</v>
      </c>
      <c r="CX146">
        <f>ROUND(Y146*Source!I143,7)</f>
        <v>2.6879999999999999E-3</v>
      </c>
      <c r="CY146">
        <f t="shared" si="49"/>
        <v>13.98</v>
      </c>
      <c r="CZ146">
        <f t="shared" si="50"/>
        <v>12.83</v>
      </c>
      <c r="DA146">
        <f t="shared" si="51"/>
        <v>1.0900000000000001</v>
      </c>
      <c r="DB146">
        <f t="shared" si="42"/>
        <v>71.849999999999994</v>
      </c>
      <c r="DC146">
        <f t="shared" si="43"/>
        <v>0</v>
      </c>
      <c r="DD146" t="s">
        <v>3</v>
      </c>
      <c r="DE146" t="s">
        <v>3</v>
      </c>
      <c r="DF146">
        <f t="shared" ref="DF146:DF153" si="53">ROUND(ROUND(AE146*AI146,2)*CX146,2)</f>
        <v>0.04</v>
      </c>
      <c r="DG146">
        <f t="shared" si="48"/>
        <v>0</v>
      </c>
      <c r="DH146">
        <f t="shared" si="45"/>
        <v>0</v>
      </c>
      <c r="DI146">
        <f t="shared" si="46"/>
        <v>0</v>
      </c>
      <c r="DJ146">
        <f t="shared" si="52"/>
        <v>0.04</v>
      </c>
      <c r="DK146">
        <v>0</v>
      </c>
      <c r="DL146" t="s">
        <v>3</v>
      </c>
      <c r="DM146">
        <v>0</v>
      </c>
      <c r="DN146" t="s">
        <v>3</v>
      </c>
      <c r="DO146">
        <v>0</v>
      </c>
    </row>
    <row r="147" spans="1:119" x14ac:dyDescent="0.2">
      <c r="A147">
        <f>ROW(Source!A143)</f>
        <v>143</v>
      </c>
      <c r="B147">
        <v>74014550</v>
      </c>
      <c r="C147">
        <v>74016459</v>
      </c>
      <c r="D147">
        <v>72592919</v>
      </c>
      <c r="E147">
        <v>1</v>
      </c>
      <c r="F147">
        <v>1</v>
      </c>
      <c r="G147">
        <v>1</v>
      </c>
      <c r="H147">
        <v>3</v>
      </c>
      <c r="I147" t="s">
        <v>668</v>
      </c>
      <c r="J147" t="s">
        <v>669</v>
      </c>
      <c r="K147" t="s">
        <v>670</v>
      </c>
      <c r="L147">
        <v>1348</v>
      </c>
      <c r="N147">
        <v>1009</v>
      </c>
      <c r="O147" t="s">
        <v>243</v>
      </c>
      <c r="P147" t="s">
        <v>243</v>
      </c>
      <c r="Q147">
        <v>1000</v>
      </c>
      <c r="W147">
        <v>0</v>
      </c>
      <c r="X147">
        <v>-1473390480</v>
      </c>
      <c r="Y147">
        <f t="shared" si="41"/>
        <v>3.6999999999999998E-2</v>
      </c>
      <c r="AA147">
        <v>79434.710000000006</v>
      </c>
      <c r="AB147">
        <v>0</v>
      </c>
      <c r="AC147">
        <v>0</v>
      </c>
      <c r="AD147">
        <v>0</v>
      </c>
      <c r="AE147">
        <v>70296.2</v>
      </c>
      <c r="AF147">
        <v>0</v>
      </c>
      <c r="AG147">
        <v>0</v>
      </c>
      <c r="AH147">
        <v>0</v>
      </c>
      <c r="AI147">
        <v>1.1299999999999999</v>
      </c>
      <c r="AJ147">
        <v>1</v>
      </c>
      <c r="AK147">
        <v>1</v>
      </c>
      <c r="AL147">
        <v>1</v>
      </c>
      <c r="AM147">
        <v>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3.6999999999999998E-2</v>
      </c>
      <c r="AU147" t="s">
        <v>3</v>
      </c>
      <c r="AV147">
        <v>0</v>
      </c>
      <c r="AW147">
        <v>2</v>
      </c>
      <c r="AX147">
        <v>74016487</v>
      </c>
      <c r="AY147">
        <v>1</v>
      </c>
      <c r="AZ147">
        <v>0</v>
      </c>
      <c r="BA147">
        <v>161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2600.9593999999997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2600.9593999999997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CV147">
        <v>0</v>
      </c>
      <c r="CW147">
        <v>0</v>
      </c>
      <c r="CX147">
        <f>ROUND(Y147*Source!I143,7)</f>
        <v>1.7799999999999999E-5</v>
      </c>
      <c r="CY147">
        <f t="shared" si="49"/>
        <v>79434.710000000006</v>
      </c>
      <c r="CZ147">
        <f t="shared" si="50"/>
        <v>70296.2</v>
      </c>
      <c r="DA147">
        <f t="shared" si="51"/>
        <v>1.1299999999999999</v>
      </c>
      <c r="DB147">
        <f t="shared" si="42"/>
        <v>2600.96</v>
      </c>
      <c r="DC147">
        <f t="shared" si="43"/>
        <v>0</v>
      </c>
      <c r="DD147" t="s">
        <v>3</v>
      </c>
      <c r="DE147" t="s">
        <v>3</v>
      </c>
      <c r="DF147">
        <f t="shared" si="53"/>
        <v>1.41</v>
      </c>
      <c r="DG147">
        <f t="shared" si="48"/>
        <v>0</v>
      </c>
      <c r="DH147">
        <f t="shared" si="45"/>
        <v>0</v>
      </c>
      <c r="DI147">
        <f t="shared" si="46"/>
        <v>0</v>
      </c>
      <c r="DJ147">
        <f t="shared" si="52"/>
        <v>1.41</v>
      </c>
      <c r="DK147">
        <v>0</v>
      </c>
      <c r="DL147" t="s">
        <v>3</v>
      </c>
      <c r="DM147">
        <v>0</v>
      </c>
      <c r="DN147" t="s">
        <v>3</v>
      </c>
      <c r="DO147">
        <v>0</v>
      </c>
    </row>
    <row r="148" spans="1:119" x14ac:dyDescent="0.2">
      <c r="A148">
        <f>ROW(Source!A143)</f>
        <v>143</v>
      </c>
      <c r="B148">
        <v>74014550</v>
      </c>
      <c r="C148">
        <v>74016459</v>
      </c>
      <c r="D148">
        <v>72594740</v>
      </c>
      <c r="E148">
        <v>1</v>
      </c>
      <c r="F148">
        <v>1</v>
      </c>
      <c r="G148">
        <v>1</v>
      </c>
      <c r="H148">
        <v>3</v>
      </c>
      <c r="I148" t="s">
        <v>671</v>
      </c>
      <c r="J148" t="s">
        <v>672</v>
      </c>
      <c r="K148" t="s">
        <v>673</v>
      </c>
      <c r="L148">
        <v>1348</v>
      </c>
      <c r="N148">
        <v>1009</v>
      </c>
      <c r="O148" t="s">
        <v>243</v>
      </c>
      <c r="P148" t="s">
        <v>243</v>
      </c>
      <c r="Q148">
        <v>1000</v>
      </c>
      <c r="W148">
        <v>0</v>
      </c>
      <c r="X148">
        <v>266581772</v>
      </c>
      <c r="Y148">
        <f t="shared" si="41"/>
        <v>0.05</v>
      </c>
      <c r="AA148">
        <v>7068.57</v>
      </c>
      <c r="AB148">
        <v>0</v>
      </c>
      <c r="AC148">
        <v>0</v>
      </c>
      <c r="AD148">
        <v>0</v>
      </c>
      <c r="AE148">
        <v>5275.05</v>
      </c>
      <c r="AF148">
        <v>0</v>
      </c>
      <c r="AG148">
        <v>0</v>
      </c>
      <c r="AH148">
        <v>0</v>
      </c>
      <c r="AI148">
        <v>1.34</v>
      </c>
      <c r="AJ148">
        <v>1</v>
      </c>
      <c r="AK148">
        <v>1</v>
      </c>
      <c r="AL148">
        <v>1</v>
      </c>
      <c r="AM148">
        <v>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0.05</v>
      </c>
      <c r="AU148" t="s">
        <v>3</v>
      </c>
      <c r="AV148">
        <v>0</v>
      </c>
      <c r="AW148">
        <v>2</v>
      </c>
      <c r="AX148">
        <v>74016488</v>
      </c>
      <c r="AY148">
        <v>1</v>
      </c>
      <c r="AZ148">
        <v>0</v>
      </c>
      <c r="BA148">
        <v>162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263.7525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263.7525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CV148">
        <v>0</v>
      </c>
      <c r="CW148">
        <v>0</v>
      </c>
      <c r="CX148">
        <f>ROUND(Y148*Source!I143,7)</f>
        <v>2.4000000000000001E-5</v>
      </c>
      <c r="CY148">
        <f t="shared" si="49"/>
        <v>7068.57</v>
      </c>
      <c r="CZ148">
        <f t="shared" si="50"/>
        <v>5275.05</v>
      </c>
      <c r="DA148">
        <f t="shared" si="51"/>
        <v>1.34</v>
      </c>
      <c r="DB148">
        <f t="shared" si="42"/>
        <v>263.75</v>
      </c>
      <c r="DC148">
        <f t="shared" si="43"/>
        <v>0</v>
      </c>
      <c r="DD148" t="s">
        <v>3</v>
      </c>
      <c r="DE148" t="s">
        <v>3</v>
      </c>
      <c r="DF148">
        <f t="shared" si="53"/>
        <v>0.17</v>
      </c>
      <c r="DG148">
        <f t="shared" si="48"/>
        <v>0</v>
      </c>
      <c r="DH148">
        <f t="shared" si="45"/>
        <v>0</v>
      </c>
      <c r="DI148">
        <f t="shared" si="46"/>
        <v>0</v>
      </c>
      <c r="DJ148">
        <f t="shared" si="52"/>
        <v>0.17</v>
      </c>
      <c r="DK148">
        <v>0</v>
      </c>
      <c r="DL148" t="s">
        <v>3</v>
      </c>
      <c r="DM148">
        <v>0</v>
      </c>
      <c r="DN148" t="s">
        <v>3</v>
      </c>
      <c r="DO148">
        <v>0</v>
      </c>
    </row>
    <row r="149" spans="1:119" x14ac:dyDescent="0.2">
      <c r="A149">
        <f>ROW(Source!A143)</f>
        <v>143</v>
      </c>
      <c r="B149">
        <v>74014550</v>
      </c>
      <c r="C149">
        <v>74016459</v>
      </c>
      <c r="D149">
        <v>72600383</v>
      </c>
      <c r="E149">
        <v>1</v>
      </c>
      <c r="F149">
        <v>1</v>
      </c>
      <c r="G149">
        <v>1</v>
      </c>
      <c r="H149">
        <v>3</v>
      </c>
      <c r="I149" t="s">
        <v>674</v>
      </c>
      <c r="J149" t="s">
        <v>675</v>
      </c>
      <c r="K149" t="s">
        <v>676</v>
      </c>
      <c r="L149">
        <v>1348</v>
      </c>
      <c r="N149">
        <v>1009</v>
      </c>
      <c r="O149" t="s">
        <v>243</v>
      </c>
      <c r="P149" t="s">
        <v>243</v>
      </c>
      <c r="Q149">
        <v>1000</v>
      </c>
      <c r="W149">
        <v>0</v>
      </c>
      <c r="X149">
        <v>-920134698</v>
      </c>
      <c r="Y149">
        <f t="shared" si="41"/>
        <v>0.04</v>
      </c>
      <c r="AA149">
        <v>53629.8</v>
      </c>
      <c r="AB149">
        <v>0</v>
      </c>
      <c r="AC149">
        <v>0</v>
      </c>
      <c r="AD149">
        <v>0</v>
      </c>
      <c r="AE149">
        <v>60258.2</v>
      </c>
      <c r="AF149">
        <v>0</v>
      </c>
      <c r="AG149">
        <v>0</v>
      </c>
      <c r="AH149">
        <v>0</v>
      </c>
      <c r="AI149">
        <v>0.89</v>
      </c>
      <c r="AJ149">
        <v>1</v>
      </c>
      <c r="AK149">
        <v>1</v>
      </c>
      <c r="AL149">
        <v>1</v>
      </c>
      <c r="AM149">
        <v>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0.04</v>
      </c>
      <c r="AU149" t="s">
        <v>3</v>
      </c>
      <c r="AV149">
        <v>0</v>
      </c>
      <c r="AW149">
        <v>2</v>
      </c>
      <c r="AX149">
        <v>74016490</v>
      </c>
      <c r="AY149">
        <v>1</v>
      </c>
      <c r="AZ149">
        <v>0</v>
      </c>
      <c r="BA149">
        <v>164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2410.328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2410.328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CV149">
        <v>0</v>
      </c>
      <c r="CW149">
        <v>0</v>
      </c>
      <c r="CX149">
        <f>ROUND(Y149*Source!I143,7)</f>
        <v>1.9199999999999999E-5</v>
      </c>
      <c r="CY149">
        <f t="shared" si="49"/>
        <v>53629.8</v>
      </c>
      <c r="CZ149">
        <f t="shared" si="50"/>
        <v>60258.2</v>
      </c>
      <c r="DA149">
        <f t="shared" si="51"/>
        <v>0.89</v>
      </c>
      <c r="DB149">
        <f t="shared" si="42"/>
        <v>2410.33</v>
      </c>
      <c r="DC149">
        <f t="shared" si="43"/>
        <v>0</v>
      </c>
      <c r="DD149" t="s">
        <v>3</v>
      </c>
      <c r="DE149" t="s">
        <v>3</v>
      </c>
      <c r="DF149">
        <f t="shared" si="53"/>
        <v>1.03</v>
      </c>
      <c r="DG149">
        <f t="shared" si="48"/>
        <v>0</v>
      </c>
      <c r="DH149">
        <f t="shared" si="45"/>
        <v>0</v>
      </c>
      <c r="DI149">
        <f t="shared" si="46"/>
        <v>0</v>
      </c>
      <c r="DJ149">
        <f t="shared" si="52"/>
        <v>1.03</v>
      </c>
      <c r="DK149">
        <v>0</v>
      </c>
      <c r="DL149" t="s">
        <v>3</v>
      </c>
      <c r="DM149">
        <v>0</v>
      </c>
      <c r="DN149" t="s">
        <v>3</v>
      </c>
      <c r="DO149">
        <v>0</v>
      </c>
    </row>
    <row r="150" spans="1:119" x14ac:dyDescent="0.2">
      <c r="A150">
        <f>ROW(Source!A143)</f>
        <v>143</v>
      </c>
      <c r="B150">
        <v>74014550</v>
      </c>
      <c r="C150">
        <v>74016459</v>
      </c>
      <c r="D150">
        <v>72602544</v>
      </c>
      <c r="E150">
        <v>1</v>
      </c>
      <c r="F150">
        <v>1</v>
      </c>
      <c r="G150">
        <v>1</v>
      </c>
      <c r="H150">
        <v>3</v>
      </c>
      <c r="I150" t="s">
        <v>677</v>
      </c>
      <c r="J150" t="s">
        <v>678</v>
      </c>
      <c r="K150" t="s">
        <v>679</v>
      </c>
      <c r="L150">
        <v>1339</v>
      </c>
      <c r="N150">
        <v>1007</v>
      </c>
      <c r="O150" t="s">
        <v>48</v>
      </c>
      <c r="P150" t="s">
        <v>48</v>
      </c>
      <c r="Q150">
        <v>1</v>
      </c>
      <c r="W150">
        <v>0</v>
      </c>
      <c r="X150">
        <v>1778353042</v>
      </c>
      <c r="Y150">
        <f t="shared" si="41"/>
        <v>0.69</v>
      </c>
      <c r="AA150">
        <v>5797.85</v>
      </c>
      <c r="AB150">
        <v>0</v>
      </c>
      <c r="AC150">
        <v>0</v>
      </c>
      <c r="AD150">
        <v>0</v>
      </c>
      <c r="AE150">
        <v>6442.06</v>
      </c>
      <c r="AF150">
        <v>0</v>
      </c>
      <c r="AG150">
        <v>0</v>
      </c>
      <c r="AH150">
        <v>0</v>
      </c>
      <c r="AI150">
        <v>0.9</v>
      </c>
      <c r="AJ150">
        <v>1</v>
      </c>
      <c r="AK150">
        <v>1</v>
      </c>
      <c r="AL150">
        <v>1</v>
      </c>
      <c r="AM150">
        <v>2</v>
      </c>
      <c r="AN150">
        <v>0</v>
      </c>
      <c r="AO150">
        <v>0</v>
      </c>
      <c r="AP150">
        <v>1</v>
      </c>
      <c r="AQ150">
        <v>1</v>
      </c>
      <c r="AR150">
        <v>0</v>
      </c>
      <c r="AS150" t="s">
        <v>3</v>
      </c>
      <c r="AT150">
        <v>0.69</v>
      </c>
      <c r="AU150" t="s">
        <v>3</v>
      </c>
      <c r="AV150">
        <v>0</v>
      </c>
      <c r="AW150">
        <v>2</v>
      </c>
      <c r="AX150">
        <v>74016491</v>
      </c>
      <c r="AY150">
        <v>1</v>
      </c>
      <c r="AZ150">
        <v>0</v>
      </c>
      <c r="BA150">
        <v>165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4445.0213999999996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4445.0213999999996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CV150">
        <v>0</v>
      </c>
      <c r="CW150">
        <v>0</v>
      </c>
      <c r="CX150">
        <f>ROUND(Y150*Source!I143,7)</f>
        <v>3.3119999999999997E-4</v>
      </c>
      <c r="CY150">
        <f t="shared" si="49"/>
        <v>5797.85</v>
      </c>
      <c r="CZ150">
        <f t="shared" si="50"/>
        <v>6442.06</v>
      </c>
      <c r="DA150">
        <f t="shared" si="51"/>
        <v>0.9</v>
      </c>
      <c r="DB150">
        <f t="shared" si="42"/>
        <v>4445.0200000000004</v>
      </c>
      <c r="DC150">
        <f t="shared" si="43"/>
        <v>0</v>
      </c>
      <c r="DD150" t="s">
        <v>3</v>
      </c>
      <c r="DE150" t="s">
        <v>3</v>
      </c>
      <c r="DF150">
        <f t="shared" si="53"/>
        <v>1.92</v>
      </c>
      <c r="DG150">
        <f t="shared" si="48"/>
        <v>0</v>
      </c>
      <c r="DH150">
        <f t="shared" si="45"/>
        <v>0</v>
      </c>
      <c r="DI150">
        <f t="shared" si="46"/>
        <v>0</v>
      </c>
      <c r="DJ150">
        <f t="shared" si="52"/>
        <v>1.92</v>
      </c>
      <c r="DK150">
        <v>0</v>
      </c>
      <c r="DL150" t="s">
        <v>3</v>
      </c>
      <c r="DM150">
        <v>0</v>
      </c>
      <c r="DN150" t="s">
        <v>3</v>
      </c>
      <c r="DO150">
        <v>0</v>
      </c>
    </row>
    <row r="151" spans="1:119" x14ac:dyDescent="0.2">
      <c r="A151">
        <f>ROW(Source!A143)</f>
        <v>143</v>
      </c>
      <c r="B151">
        <v>74014550</v>
      </c>
      <c r="C151">
        <v>74016459</v>
      </c>
      <c r="D151">
        <v>72602574</v>
      </c>
      <c r="E151">
        <v>1</v>
      </c>
      <c r="F151">
        <v>1</v>
      </c>
      <c r="G151">
        <v>1</v>
      </c>
      <c r="H151">
        <v>3</v>
      </c>
      <c r="I151" t="s">
        <v>680</v>
      </c>
      <c r="J151" t="s">
        <v>681</v>
      </c>
      <c r="K151" t="s">
        <v>682</v>
      </c>
      <c r="L151">
        <v>1339</v>
      </c>
      <c r="N151">
        <v>1007</v>
      </c>
      <c r="O151" t="s">
        <v>48</v>
      </c>
      <c r="P151" t="s">
        <v>48</v>
      </c>
      <c r="Q151">
        <v>1</v>
      </c>
      <c r="W151">
        <v>0</v>
      </c>
      <c r="X151">
        <v>1566994403</v>
      </c>
      <c r="Y151">
        <f t="shared" si="41"/>
        <v>0.08</v>
      </c>
      <c r="AA151">
        <v>16825.95</v>
      </c>
      <c r="AB151">
        <v>0</v>
      </c>
      <c r="AC151">
        <v>0</v>
      </c>
      <c r="AD151">
        <v>0</v>
      </c>
      <c r="AE151">
        <v>16496.03</v>
      </c>
      <c r="AF151">
        <v>0</v>
      </c>
      <c r="AG151">
        <v>0</v>
      </c>
      <c r="AH151">
        <v>0</v>
      </c>
      <c r="AI151">
        <v>1.02</v>
      </c>
      <c r="AJ151">
        <v>1</v>
      </c>
      <c r="AK151">
        <v>1</v>
      </c>
      <c r="AL151">
        <v>1</v>
      </c>
      <c r="AM151">
        <v>2</v>
      </c>
      <c r="AN151">
        <v>0</v>
      </c>
      <c r="AO151">
        <v>0</v>
      </c>
      <c r="AP151">
        <v>1</v>
      </c>
      <c r="AQ151">
        <v>1</v>
      </c>
      <c r="AR151">
        <v>0</v>
      </c>
      <c r="AS151" t="s">
        <v>3</v>
      </c>
      <c r="AT151">
        <v>0.08</v>
      </c>
      <c r="AU151" t="s">
        <v>3</v>
      </c>
      <c r="AV151">
        <v>0</v>
      </c>
      <c r="AW151">
        <v>2</v>
      </c>
      <c r="AX151">
        <v>74016492</v>
      </c>
      <c r="AY151">
        <v>1</v>
      </c>
      <c r="AZ151">
        <v>0</v>
      </c>
      <c r="BA151">
        <v>166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1319.6823999999999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1319.6823999999999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CV151">
        <v>0</v>
      </c>
      <c r="CW151">
        <v>0</v>
      </c>
      <c r="CX151">
        <f>ROUND(Y151*Source!I143,7)</f>
        <v>3.8399999999999998E-5</v>
      </c>
      <c r="CY151">
        <f t="shared" si="49"/>
        <v>16825.95</v>
      </c>
      <c r="CZ151">
        <f t="shared" si="50"/>
        <v>16496.03</v>
      </c>
      <c r="DA151">
        <f t="shared" si="51"/>
        <v>1.02</v>
      </c>
      <c r="DB151">
        <f t="shared" si="42"/>
        <v>1319.68</v>
      </c>
      <c r="DC151">
        <f t="shared" si="43"/>
        <v>0</v>
      </c>
      <c r="DD151" t="s">
        <v>3</v>
      </c>
      <c r="DE151" t="s">
        <v>3</v>
      </c>
      <c r="DF151">
        <f t="shared" si="53"/>
        <v>0.65</v>
      </c>
      <c r="DG151">
        <f t="shared" si="48"/>
        <v>0</v>
      </c>
      <c r="DH151">
        <f t="shared" si="45"/>
        <v>0</v>
      </c>
      <c r="DI151">
        <f t="shared" si="46"/>
        <v>0</v>
      </c>
      <c r="DJ151">
        <f t="shared" si="52"/>
        <v>0.65</v>
      </c>
      <c r="DK151">
        <v>0</v>
      </c>
      <c r="DL151" t="s">
        <v>3</v>
      </c>
      <c r="DM151">
        <v>0</v>
      </c>
      <c r="DN151" t="s">
        <v>3</v>
      </c>
      <c r="DO151">
        <v>0</v>
      </c>
    </row>
    <row r="152" spans="1:119" x14ac:dyDescent="0.2">
      <c r="A152">
        <f>ROW(Source!A143)</f>
        <v>143</v>
      </c>
      <c r="B152">
        <v>74014550</v>
      </c>
      <c r="C152">
        <v>74016459</v>
      </c>
      <c r="D152">
        <v>72602619</v>
      </c>
      <c r="E152">
        <v>1</v>
      </c>
      <c r="F152">
        <v>1</v>
      </c>
      <c r="G152">
        <v>1</v>
      </c>
      <c r="H152">
        <v>3</v>
      </c>
      <c r="I152" t="s">
        <v>683</v>
      </c>
      <c r="J152" t="s">
        <v>684</v>
      </c>
      <c r="K152" t="s">
        <v>685</v>
      </c>
      <c r="L152">
        <v>1339</v>
      </c>
      <c r="N152">
        <v>1007</v>
      </c>
      <c r="O152" t="s">
        <v>48</v>
      </c>
      <c r="P152" t="s">
        <v>48</v>
      </c>
      <c r="Q152">
        <v>1</v>
      </c>
      <c r="W152">
        <v>0</v>
      </c>
      <c r="X152">
        <v>-1885336137</v>
      </c>
      <c r="Y152">
        <f t="shared" si="41"/>
        <v>0.2</v>
      </c>
      <c r="AA152">
        <v>8992.5</v>
      </c>
      <c r="AB152">
        <v>0</v>
      </c>
      <c r="AC152">
        <v>0</v>
      </c>
      <c r="AD152">
        <v>0</v>
      </c>
      <c r="AE152">
        <v>5764.42</v>
      </c>
      <c r="AF152">
        <v>0</v>
      </c>
      <c r="AG152">
        <v>0</v>
      </c>
      <c r="AH152">
        <v>0</v>
      </c>
      <c r="AI152">
        <v>1.56</v>
      </c>
      <c r="AJ152">
        <v>1</v>
      </c>
      <c r="AK152">
        <v>1</v>
      </c>
      <c r="AL152">
        <v>1</v>
      </c>
      <c r="AM152">
        <v>2</v>
      </c>
      <c r="AN152">
        <v>0</v>
      </c>
      <c r="AO152">
        <v>0</v>
      </c>
      <c r="AP152">
        <v>1</v>
      </c>
      <c r="AQ152">
        <v>1</v>
      </c>
      <c r="AR152">
        <v>0</v>
      </c>
      <c r="AS152" t="s">
        <v>3</v>
      </c>
      <c r="AT152">
        <v>0.2</v>
      </c>
      <c r="AU152" t="s">
        <v>3</v>
      </c>
      <c r="AV152">
        <v>0</v>
      </c>
      <c r="AW152">
        <v>2</v>
      </c>
      <c r="AX152">
        <v>74016494</v>
      </c>
      <c r="AY152">
        <v>1</v>
      </c>
      <c r="AZ152">
        <v>0</v>
      </c>
      <c r="BA152">
        <v>168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1152.884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1152.884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CV152">
        <v>0</v>
      </c>
      <c r="CW152">
        <v>0</v>
      </c>
      <c r="CX152">
        <f>ROUND(Y152*Source!I143,7)</f>
        <v>9.6000000000000002E-5</v>
      </c>
      <c r="CY152">
        <f t="shared" si="49"/>
        <v>8992.5</v>
      </c>
      <c r="CZ152">
        <f t="shared" si="50"/>
        <v>5764.42</v>
      </c>
      <c r="DA152">
        <f t="shared" si="51"/>
        <v>1.56</v>
      </c>
      <c r="DB152">
        <f t="shared" si="42"/>
        <v>1152.8800000000001</v>
      </c>
      <c r="DC152">
        <f t="shared" si="43"/>
        <v>0</v>
      </c>
      <c r="DD152" t="s">
        <v>3</v>
      </c>
      <c r="DE152" t="s">
        <v>3</v>
      </c>
      <c r="DF152">
        <f t="shared" si="53"/>
        <v>0.86</v>
      </c>
      <c r="DG152">
        <f t="shared" si="48"/>
        <v>0</v>
      </c>
      <c r="DH152">
        <f t="shared" si="45"/>
        <v>0</v>
      </c>
      <c r="DI152">
        <f t="shared" si="46"/>
        <v>0</v>
      </c>
      <c r="DJ152">
        <f t="shared" si="52"/>
        <v>0.86</v>
      </c>
      <c r="DK152">
        <v>0</v>
      </c>
      <c r="DL152" t="s">
        <v>3</v>
      </c>
      <c r="DM152">
        <v>0</v>
      </c>
      <c r="DN152" t="s">
        <v>3</v>
      </c>
      <c r="DO152">
        <v>0</v>
      </c>
    </row>
    <row r="153" spans="1:119" x14ac:dyDescent="0.2">
      <c r="A153">
        <f>ROW(Source!A143)</f>
        <v>143</v>
      </c>
      <c r="B153">
        <v>74014550</v>
      </c>
      <c r="C153">
        <v>74016459</v>
      </c>
      <c r="D153">
        <v>72602627</v>
      </c>
      <c r="E153">
        <v>1</v>
      </c>
      <c r="F153">
        <v>1</v>
      </c>
      <c r="G153">
        <v>1</v>
      </c>
      <c r="H153">
        <v>3</v>
      </c>
      <c r="I153" t="s">
        <v>686</v>
      </c>
      <c r="J153" t="s">
        <v>687</v>
      </c>
      <c r="K153" t="s">
        <v>688</v>
      </c>
      <c r="L153">
        <v>1339</v>
      </c>
      <c r="N153">
        <v>1007</v>
      </c>
      <c r="O153" t="s">
        <v>48</v>
      </c>
      <c r="P153" t="s">
        <v>48</v>
      </c>
      <c r="Q153">
        <v>1</v>
      </c>
      <c r="W153">
        <v>0</v>
      </c>
      <c r="X153">
        <v>38323332</v>
      </c>
      <c r="Y153">
        <f t="shared" si="41"/>
        <v>0.69</v>
      </c>
      <c r="AA153">
        <v>8992.5</v>
      </c>
      <c r="AB153">
        <v>0</v>
      </c>
      <c r="AC153">
        <v>0</v>
      </c>
      <c r="AD153">
        <v>0</v>
      </c>
      <c r="AE153">
        <v>5764.42</v>
      </c>
      <c r="AF153">
        <v>0</v>
      </c>
      <c r="AG153">
        <v>0</v>
      </c>
      <c r="AH153">
        <v>0</v>
      </c>
      <c r="AI153">
        <v>1.56</v>
      </c>
      <c r="AJ153">
        <v>1</v>
      </c>
      <c r="AK153">
        <v>1</v>
      </c>
      <c r="AL153">
        <v>1</v>
      </c>
      <c r="AM153">
        <v>2</v>
      </c>
      <c r="AN153">
        <v>0</v>
      </c>
      <c r="AO153">
        <v>0</v>
      </c>
      <c r="AP153">
        <v>1</v>
      </c>
      <c r="AQ153">
        <v>1</v>
      </c>
      <c r="AR153">
        <v>0</v>
      </c>
      <c r="AS153" t="s">
        <v>3</v>
      </c>
      <c r="AT153">
        <v>0.69</v>
      </c>
      <c r="AU153" t="s">
        <v>3</v>
      </c>
      <c r="AV153">
        <v>0</v>
      </c>
      <c r="AW153">
        <v>2</v>
      </c>
      <c r="AX153">
        <v>74016495</v>
      </c>
      <c r="AY153">
        <v>1</v>
      </c>
      <c r="AZ153">
        <v>0</v>
      </c>
      <c r="BA153">
        <v>169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3977.4497999999999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3977.4497999999999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CV153">
        <v>0</v>
      </c>
      <c r="CW153">
        <v>0</v>
      </c>
      <c r="CX153">
        <f>ROUND(Y153*Source!I143,7)</f>
        <v>3.3119999999999997E-4</v>
      </c>
      <c r="CY153">
        <f t="shared" si="49"/>
        <v>8992.5</v>
      </c>
      <c r="CZ153">
        <f t="shared" si="50"/>
        <v>5764.42</v>
      </c>
      <c r="DA153">
        <f t="shared" si="51"/>
        <v>1.56</v>
      </c>
      <c r="DB153">
        <f t="shared" si="42"/>
        <v>3977.45</v>
      </c>
      <c r="DC153">
        <f t="shared" si="43"/>
        <v>0</v>
      </c>
      <c r="DD153" t="s">
        <v>3</v>
      </c>
      <c r="DE153" t="s">
        <v>3</v>
      </c>
      <c r="DF153">
        <f t="shared" si="53"/>
        <v>2.98</v>
      </c>
      <c r="DG153">
        <f t="shared" si="48"/>
        <v>0</v>
      </c>
      <c r="DH153">
        <f t="shared" si="45"/>
        <v>0</v>
      </c>
      <c r="DI153">
        <f t="shared" si="46"/>
        <v>0</v>
      </c>
      <c r="DJ153">
        <f t="shared" si="52"/>
        <v>2.98</v>
      </c>
      <c r="DK153">
        <v>0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ROW(Source!A146)</f>
        <v>146</v>
      </c>
      <c r="B154">
        <v>74014550</v>
      </c>
      <c r="C154">
        <v>74016498</v>
      </c>
      <c r="D154">
        <v>20049117</v>
      </c>
      <c r="E154">
        <v>119</v>
      </c>
      <c r="F154">
        <v>1</v>
      </c>
      <c r="G154">
        <v>1</v>
      </c>
      <c r="H154">
        <v>1</v>
      </c>
      <c r="I154" t="s">
        <v>689</v>
      </c>
      <c r="J154" t="s">
        <v>3</v>
      </c>
      <c r="K154" t="s">
        <v>690</v>
      </c>
      <c r="L154">
        <v>1191</v>
      </c>
      <c r="N154">
        <v>1013</v>
      </c>
      <c r="O154" t="s">
        <v>484</v>
      </c>
      <c r="P154" t="s">
        <v>484</v>
      </c>
      <c r="Q154">
        <v>1</v>
      </c>
      <c r="W154">
        <v>0</v>
      </c>
      <c r="X154">
        <v>44848675</v>
      </c>
      <c r="Y154">
        <f t="shared" si="41"/>
        <v>203</v>
      </c>
      <c r="AA154">
        <v>0</v>
      </c>
      <c r="AB154">
        <v>0</v>
      </c>
      <c r="AC154">
        <v>0</v>
      </c>
      <c r="AD154">
        <v>391.28</v>
      </c>
      <c r="AE154">
        <v>0</v>
      </c>
      <c r="AF154">
        <v>0</v>
      </c>
      <c r="AG154">
        <v>0</v>
      </c>
      <c r="AH154">
        <v>391.28</v>
      </c>
      <c r="AI154">
        <v>1</v>
      </c>
      <c r="AJ154">
        <v>1</v>
      </c>
      <c r="AK154">
        <v>1</v>
      </c>
      <c r="AL154">
        <v>1</v>
      </c>
      <c r="AM154">
        <v>-2</v>
      </c>
      <c r="AN154">
        <v>0</v>
      </c>
      <c r="AO154">
        <v>0</v>
      </c>
      <c r="AP154">
        <v>1</v>
      </c>
      <c r="AQ154">
        <v>1</v>
      </c>
      <c r="AR154">
        <v>0</v>
      </c>
      <c r="AS154" t="s">
        <v>3</v>
      </c>
      <c r="AT154">
        <v>203</v>
      </c>
      <c r="AU154" t="s">
        <v>3</v>
      </c>
      <c r="AV154">
        <v>1</v>
      </c>
      <c r="AW154">
        <v>2</v>
      </c>
      <c r="AX154">
        <v>74016512</v>
      </c>
      <c r="AY154">
        <v>1</v>
      </c>
      <c r="AZ154">
        <v>0</v>
      </c>
      <c r="BA154">
        <v>170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79429.84</v>
      </c>
      <c r="BN154">
        <v>203</v>
      </c>
      <c r="BO154">
        <v>0</v>
      </c>
      <c r="BP154">
        <v>1</v>
      </c>
      <c r="BQ154">
        <v>0</v>
      </c>
      <c r="BR154">
        <v>0</v>
      </c>
      <c r="BS154">
        <v>0</v>
      </c>
      <c r="BT154">
        <v>79429.84</v>
      </c>
      <c r="BU154">
        <v>203</v>
      </c>
      <c r="BV154">
        <v>0</v>
      </c>
      <c r="BW154">
        <v>1</v>
      </c>
      <c r="CU154">
        <f>ROUND(AT154*Source!I146*AH154*AL154,2)</f>
        <v>9.5299999999999994</v>
      </c>
      <c r="CV154">
        <f>ROUND(Y154*Source!I146,7)</f>
        <v>2.436E-2</v>
      </c>
      <c r="CW154">
        <v>0</v>
      </c>
      <c r="CX154">
        <f>ROUND(Y154*Source!I146,7)</f>
        <v>2.436E-2</v>
      </c>
      <c r="CY154">
        <f>AD154</f>
        <v>391.28</v>
      </c>
      <c r="CZ154">
        <f>AH154</f>
        <v>391.28</v>
      </c>
      <c r="DA154">
        <f>AL154</f>
        <v>1</v>
      </c>
      <c r="DB154">
        <f t="shared" si="42"/>
        <v>79429.84</v>
      </c>
      <c r="DC154">
        <f t="shared" si="43"/>
        <v>0</v>
      </c>
      <c r="DD154" t="s">
        <v>3</v>
      </c>
      <c r="DE154" t="s">
        <v>3</v>
      </c>
      <c r="DF154">
        <f>ROUND(ROUND(AE154,2)*CX154,2)</f>
        <v>0</v>
      </c>
      <c r="DG154">
        <f t="shared" si="48"/>
        <v>0</v>
      </c>
      <c r="DH154">
        <f t="shared" si="45"/>
        <v>0</v>
      </c>
      <c r="DI154">
        <f t="shared" si="46"/>
        <v>9.5299999999999994</v>
      </c>
      <c r="DJ154">
        <f>DI154</f>
        <v>9.5299999999999994</v>
      </c>
      <c r="DK154">
        <v>1</v>
      </c>
      <c r="DL154" t="s">
        <v>3</v>
      </c>
      <c r="DM154">
        <v>0</v>
      </c>
      <c r="DN154" t="s">
        <v>3</v>
      </c>
      <c r="DO154">
        <v>0</v>
      </c>
    </row>
    <row r="155" spans="1:119" x14ac:dyDescent="0.2">
      <c r="A155">
        <f>ROW(Source!A146)</f>
        <v>146</v>
      </c>
      <c r="B155">
        <v>74014550</v>
      </c>
      <c r="C155">
        <v>74016498</v>
      </c>
      <c r="D155">
        <v>20049115</v>
      </c>
      <c r="E155">
        <v>119</v>
      </c>
      <c r="F155">
        <v>1</v>
      </c>
      <c r="G155">
        <v>1</v>
      </c>
      <c r="H155">
        <v>1</v>
      </c>
      <c r="I155" t="s">
        <v>482</v>
      </c>
      <c r="J155" t="s">
        <v>3</v>
      </c>
      <c r="K155" t="s">
        <v>483</v>
      </c>
      <c r="L155">
        <v>1191</v>
      </c>
      <c r="N155">
        <v>1013</v>
      </c>
      <c r="O155" t="s">
        <v>484</v>
      </c>
      <c r="P155" t="s">
        <v>484</v>
      </c>
      <c r="Q155">
        <v>1</v>
      </c>
      <c r="W155">
        <v>0</v>
      </c>
      <c r="X155">
        <v>-1417349443</v>
      </c>
      <c r="Y155">
        <f t="shared" si="41"/>
        <v>0.09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1</v>
      </c>
      <c r="AK155">
        <v>1</v>
      </c>
      <c r="AL155">
        <v>1</v>
      </c>
      <c r="AM155">
        <v>-2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0.09</v>
      </c>
      <c r="AU155" t="s">
        <v>3</v>
      </c>
      <c r="AV155">
        <v>2</v>
      </c>
      <c r="AW155">
        <v>2</v>
      </c>
      <c r="AX155">
        <v>74016513</v>
      </c>
      <c r="AY155">
        <v>1</v>
      </c>
      <c r="AZ155">
        <v>0</v>
      </c>
      <c r="BA155">
        <v>171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CV155">
        <v>0</v>
      </c>
      <c r="CW155">
        <v>0</v>
      </c>
      <c r="CX155">
        <f>ROUND(Y155*Source!I146,7)</f>
        <v>1.08E-5</v>
      </c>
      <c r="CY155">
        <f>AD155</f>
        <v>0</v>
      </c>
      <c r="CZ155">
        <f>AH155</f>
        <v>0</v>
      </c>
      <c r="DA155">
        <f>AL155</f>
        <v>1</v>
      </c>
      <c r="DB155">
        <f t="shared" si="42"/>
        <v>0</v>
      </c>
      <c r="DC155">
        <f t="shared" si="43"/>
        <v>0</v>
      </c>
      <c r="DD155" t="s">
        <v>3</v>
      </c>
      <c r="DE155" t="s">
        <v>3</v>
      </c>
      <c r="DF155">
        <f>ROUND(ROUND(AE155,2)*CX155,2)</f>
        <v>0</v>
      </c>
      <c r="DG155">
        <f t="shared" si="48"/>
        <v>0</v>
      </c>
      <c r="DH155">
        <f t="shared" si="45"/>
        <v>0</v>
      </c>
      <c r="DI155">
        <f t="shared" si="46"/>
        <v>0</v>
      </c>
      <c r="DJ155">
        <f>DI155</f>
        <v>0</v>
      </c>
      <c r="DK155">
        <v>0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ROW(Source!A146)</f>
        <v>146</v>
      </c>
      <c r="B156">
        <v>74014550</v>
      </c>
      <c r="C156">
        <v>74016498</v>
      </c>
      <c r="D156">
        <v>72646162</v>
      </c>
      <c r="E156">
        <v>1</v>
      </c>
      <c r="F156">
        <v>1</v>
      </c>
      <c r="G156">
        <v>1</v>
      </c>
      <c r="H156">
        <v>2</v>
      </c>
      <c r="I156" t="s">
        <v>691</v>
      </c>
      <c r="J156" t="s">
        <v>692</v>
      </c>
      <c r="K156" t="s">
        <v>693</v>
      </c>
      <c r="L156">
        <v>1368</v>
      </c>
      <c r="N156">
        <v>1011</v>
      </c>
      <c r="O156" t="s">
        <v>488</v>
      </c>
      <c r="P156" t="s">
        <v>488</v>
      </c>
      <c r="Q156">
        <v>1</v>
      </c>
      <c r="W156">
        <v>0</v>
      </c>
      <c r="X156">
        <v>2118917869</v>
      </c>
      <c r="Y156">
        <f t="shared" si="41"/>
        <v>69.099999999999994</v>
      </c>
      <c r="AA156">
        <v>0</v>
      </c>
      <c r="AB156">
        <v>2.2799999999999998</v>
      </c>
      <c r="AC156">
        <v>0</v>
      </c>
      <c r="AD156">
        <v>0</v>
      </c>
      <c r="AE156">
        <v>0</v>
      </c>
      <c r="AF156">
        <v>1.4</v>
      </c>
      <c r="AG156">
        <v>0</v>
      </c>
      <c r="AH156">
        <v>0</v>
      </c>
      <c r="AI156">
        <v>1</v>
      </c>
      <c r="AJ156">
        <v>1.63</v>
      </c>
      <c r="AK156">
        <v>1</v>
      </c>
      <c r="AL156">
        <v>1</v>
      </c>
      <c r="AM156">
        <v>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69.099999999999994</v>
      </c>
      <c r="AU156" t="s">
        <v>3</v>
      </c>
      <c r="AV156">
        <v>1</v>
      </c>
      <c r="AW156">
        <v>2</v>
      </c>
      <c r="AX156">
        <v>74016514</v>
      </c>
      <c r="AY156">
        <v>1</v>
      </c>
      <c r="AZ156">
        <v>0</v>
      </c>
      <c r="BA156">
        <v>172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96.739999999999981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96.739999999999981</v>
      </c>
      <c r="BS156">
        <v>0</v>
      </c>
      <c r="BT156">
        <v>0</v>
      </c>
      <c r="BU156">
        <v>0</v>
      </c>
      <c r="BV156">
        <v>0</v>
      </c>
      <c r="BW156">
        <v>1</v>
      </c>
      <c r="CV156">
        <v>0</v>
      </c>
      <c r="CW156">
        <f>ROUND(Y156*Source!I146*DO156,7)</f>
        <v>0</v>
      </c>
      <c r="CX156">
        <f>ROUND(Y156*Source!I146,7)</f>
        <v>8.2920000000000008E-3</v>
      </c>
      <c r="CY156">
        <f>AB156</f>
        <v>2.2799999999999998</v>
      </c>
      <c r="CZ156">
        <f>AF156</f>
        <v>1.4</v>
      </c>
      <c r="DA156">
        <f>AJ156</f>
        <v>1.63</v>
      </c>
      <c r="DB156">
        <f t="shared" si="42"/>
        <v>96.74</v>
      </c>
      <c r="DC156">
        <f t="shared" si="43"/>
        <v>0</v>
      </c>
      <c r="DD156" t="s">
        <v>3</v>
      </c>
      <c r="DE156" t="s">
        <v>3</v>
      </c>
      <c r="DF156">
        <f>ROUND(ROUND(AE156,2)*CX156,2)</f>
        <v>0</v>
      </c>
      <c r="DG156">
        <f>ROUND(ROUND(AF156*AJ156,2)*CX156,2)</f>
        <v>0.02</v>
      </c>
      <c r="DH156">
        <f t="shared" si="45"/>
        <v>0</v>
      </c>
      <c r="DI156">
        <f t="shared" si="46"/>
        <v>0</v>
      </c>
      <c r="DJ156">
        <f>DG156+DH156</f>
        <v>0.02</v>
      </c>
      <c r="DK156">
        <v>0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ROW(Source!A146)</f>
        <v>146</v>
      </c>
      <c r="B157">
        <v>74014550</v>
      </c>
      <c r="C157">
        <v>74016498</v>
      </c>
      <c r="D157">
        <v>72646194</v>
      </c>
      <c r="E157">
        <v>1</v>
      </c>
      <c r="F157">
        <v>1</v>
      </c>
      <c r="G157">
        <v>1</v>
      </c>
      <c r="H157">
        <v>2</v>
      </c>
      <c r="I157" t="s">
        <v>494</v>
      </c>
      <c r="J157" t="s">
        <v>495</v>
      </c>
      <c r="K157" t="s">
        <v>496</v>
      </c>
      <c r="L157">
        <v>1368</v>
      </c>
      <c r="N157">
        <v>1011</v>
      </c>
      <c r="O157" t="s">
        <v>488</v>
      </c>
      <c r="P157" t="s">
        <v>488</v>
      </c>
      <c r="Q157">
        <v>1</v>
      </c>
      <c r="W157">
        <v>0</v>
      </c>
      <c r="X157">
        <v>-1368259184</v>
      </c>
      <c r="Y157">
        <f t="shared" si="41"/>
        <v>0.09</v>
      </c>
      <c r="AA157">
        <v>0</v>
      </c>
      <c r="AB157">
        <v>1681.82</v>
      </c>
      <c r="AC157">
        <v>459.98</v>
      </c>
      <c r="AD157">
        <v>0</v>
      </c>
      <c r="AE157">
        <v>0</v>
      </c>
      <c r="AF157">
        <v>1681.82</v>
      </c>
      <c r="AG157">
        <v>459.98</v>
      </c>
      <c r="AH157">
        <v>0</v>
      </c>
      <c r="AI157">
        <v>1</v>
      </c>
      <c r="AJ157">
        <v>1</v>
      </c>
      <c r="AK157">
        <v>1</v>
      </c>
      <c r="AL157">
        <v>1</v>
      </c>
      <c r="AM157">
        <v>-2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0.09</v>
      </c>
      <c r="AU157" t="s">
        <v>3</v>
      </c>
      <c r="AV157">
        <v>1</v>
      </c>
      <c r="AW157">
        <v>2</v>
      </c>
      <c r="AX157">
        <v>74016515</v>
      </c>
      <c r="AY157">
        <v>1</v>
      </c>
      <c r="AZ157">
        <v>0</v>
      </c>
      <c r="BA157">
        <v>173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151.3638</v>
      </c>
      <c r="BL157">
        <v>41.398200000000003</v>
      </c>
      <c r="BM157">
        <v>0</v>
      </c>
      <c r="BN157">
        <v>0</v>
      </c>
      <c r="BO157">
        <v>0.09</v>
      </c>
      <c r="BP157">
        <v>1</v>
      </c>
      <c r="BQ157">
        <v>0</v>
      </c>
      <c r="BR157">
        <v>151.3638</v>
      </c>
      <c r="BS157">
        <v>41.398200000000003</v>
      </c>
      <c r="BT157">
        <v>0</v>
      </c>
      <c r="BU157">
        <v>0</v>
      </c>
      <c r="BV157">
        <v>0.09</v>
      </c>
      <c r="BW157">
        <v>1</v>
      </c>
      <c r="CV157">
        <v>0</v>
      </c>
      <c r="CW157">
        <f>ROUND(Y157*Source!I146*DO157,7)</f>
        <v>1.08E-5</v>
      </c>
      <c r="CX157">
        <f>ROUND(Y157*Source!I146,7)</f>
        <v>1.08E-5</v>
      </c>
      <c r="CY157">
        <f>AB157</f>
        <v>1681.82</v>
      </c>
      <c r="CZ157">
        <f>AF157</f>
        <v>1681.82</v>
      </c>
      <c r="DA157">
        <f>AJ157</f>
        <v>1</v>
      </c>
      <c r="DB157">
        <f t="shared" si="42"/>
        <v>151.36000000000001</v>
      </c>
      <c r="DC157">
        <f t="shared" si="43"/>
        <v>41.4</v>
      </c>
      <c r="DD157" t="s">
        <v>3</v>
      </c>
      <c r="DE157" t="s">
        <v>3</v>
      </c>
      <c r="DF157">
        <f>ROUND(ROUND(AE157,2)*CX157,2)</f>
        <v>0</v>
      </c>
      <c r="DG157">
        <f>ROUND(ROUND(AF157,2)*CX157,2)</f>
        <v>0.02</v>
      </c>
      <c r="DH157">
        <f t="shared" si="45"/>
        <v>0</v>
      </c>
      <c r="DI157">
        <f t="shared" si="46"/>
        <v>0</v>
      </c>
      <c r="DJ157">
        <f>DG157+DH157</f>
        <v>0.02</v>
      </c>
      <c r="DK157">
        <v>1</v>
      </c>
      <c r="DL157" t="s">
        <v>497</v>
      </c>
      <c r="DM157">
        <v>5</v>
      </c>
      <c r="DN157" t="s">
        <v>484</v>
      </c>
      <c r="DO157">
        <v>1</v>
      </c>
    </row>
    <row r="158" spans="1:119" x14ac:dyDescent="0.2">
      <c r="A158">
        <f>ROW(Source!A146)</f>
        <v>146</v>
      </c>
      <c r="B158">
        <v>74014550</v>
      </c>
      <c r="C158">
        <v>74016498</v>
      </c>
      <c r="D158">
        <v>72646408</v>
      </c>
      <c r="E158">
        <v>1</v>
      </c>
      <c r="F158">
        <v>1</v>
      </c>
      <c r="G158">
        <v>1</v>
      </c>
      <c r="H158">
        <v>2</v>
      </c>
      <c r="I158" t="s">
        <v>694</v>
      </c>
      <c r="J158" t="s">
        <v>695</v>
      </c>
      <c r="K158" t="s">
        <v>696</v>
      </c>
      <c r="L158">
        <v>1368</v>
      </c>
      <c r="N158">
        <v>1011</v>
      </c>
      <c r="O158" t="s">
        <v>488</v>
      </c>
      <c r="P158" t="s">
        <v>488</v>
      </c>
      <c r="Q158">
        <v>1</v>
      </c>
      <c r="W158">
        <v>0</v>
      </c>
      <c r="X158">
        <v>1824442164</v>
      </c>
      <c r="Y158">
        <f t="shared" si="41"/>
        <v>29.84</v>
      </c>
      <c r="AA158">
        <v>0</v>
      </c>
      <c r="AB158">
        <v>202.61</v>
      </c>
      <c r="AC158">
        <v>0</v>
      </c>
      <c r="AD158">
        <v>0</v>
      </c>
      <c r="AE158">
        <v>0</v>
      </c>
      <c r="AF158">
        <v>119.89</v>
      </c>
      <c r="AG158">
        <v>0</v>
      </c>
      <c r="AH158">
        <v>0</v>
      </c>
      <c r="AI158">
        <v>1</v>
      </c>
      <c r="AJ158">
        <v>1.69</v>
      </c>
      <c r="AK158">
        <v>1</v>
      </c>
      <c r="AL158">
        <v>1</v>
      </c>
      <c r="AM158">
        <v>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29.84</v>
      </c>
      <c r="AU158" t="s">
        <v>3</v>
      </c>
      <c r="AV158">
        <v>1</v>
      </c>
      <c r="AW158">
        <v>2</v>
      </c>
      <c r="AX158">
        <v>74016516</v>
      </c>
      <c r="AY158">
        <v>1</v>
      </c>
      <c r="AZ158">
        <v>0</v>
      </c>
      <c r="BA158">
        <v>174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3577.5176000000001</v>
      </c>
      <c r="BL158">
        <v>0</v>
      </c>
      <c r="BM158">
        <v>0</v>
      </c>
      <c r="BN158">
        <v>0</v>
      </c>
      <c r="BO158">
        <v>0</v>
      </c>
      <c r="BP158">
        <v>1</v>
      </c>
      <c r="BQ158">
        <v>0</v>
      </c>
      <c r="BR158">
        <v>3577.5176000000001</v>
      </c>
      <c r="BS158">
        <v>0</v>
      </c>
      <c r="BT158">
        <v>0</v>
      </c>
      <c r="BU158">
        <v>0</v>
      </c>
      <c r="BV158">
        <v>0</v>
      </c>
      <c r="BW158">
        <v>1</v>
      </c>
      <c r="CV158">
        <v>0</v>
      </c>
      <c r="CW158">
        <f>ROUND(Y158*Source!I146*DO158,7)</f>
        <v>0</v>
      </c>
      <c r="CX158">
        <f>ROUND(Y158*Source!I146,7)</f>
        <v>3.5807999999999999E-3</v>
      </c>
      <c r="CY158">
        <f>AB158</f>
        <v>202.61</v>
      </c>
      <c r="CZ158">
        <f>AF158</f>
        <v>119.89</v>
      </c>
      <c r="DA158">
        <f>AJ158</f>
        <v>1.69</v>
      </c>
      <c r="DB158">
        <f t="shared" si="42"/>
        <v>3577.52</v>
      </c>
      <c r="DC158">
        <f t="shared" si="43"/>
        <v>0</v>
      </c>
      <c r="DD158" t="s">
        <v>3</v>
      </c>
      <c r="DE158" t="s">
        <v>3</v>
      </c>
      <c r="DF158">
        <f>ROUND(ROUND(AE158,2)*CX158,2)</f>
        <v>0</v>
      </c>
      <c r="DG158">
        <f>ROUND(ROUND(AF158*AJ158,2)*CX158,2)</f>
        <v>0.73</v>
      </c>
      <c r="DH158">
        <f t="shared" si="45"/>
        <v>0</v>
      </c>
      <c r="DI158">
        <f t="shared" si="46"/>
        <v>0</v>
      </c>
      <c r="DJ158">
        <f>DG158+DH158</f>
        <v>0.73</v>
      </c>
      <c r="DK158">
        <v>0</v>
      </c>
      <c r="DL158" t="s">
        <v>3</v>
      </c>
      <c r="DM158">
        <v>0</v>
      </c>
      <c r="DN158" t="s">
        <v>3</v>
      </c>
      <c r="DO158">
        <v>0</v>
      </c>
    </row>
    <row r="159" spans="1:119" x14ac:dyDescent="0.2">
      <c r="A159">
        <f>ROW(Source!A146)</f>
        <v>146</v>
      </c>
      <c r="B159">
        <v>74014550</v>
      </c>
      <c r="C159">
        <v>74016498</v>
      </c>
      <c r="D159">
        <v>72589177</v>
      </c>
      <c r="E159">
        <v>1</v>
      </c>
      <c r="F159">
        <v>1</v>
      </c>
      <c r="G159">
        <v>1</v>
      </c>
      <c r="H159">
        <v>3</v>
      </c>
      <c r="I159" t="s">
        <v>308</v>
      </c>
      <c r="J159" t="s">
        <v>310</v>
      </c>
      <c r="K159" t="s">
        <v>309</v>
      </c>
      <c r="L159">
        <v>1348</v>
      </c>
      <c r="N159">
        <v>1009</v>
      </c>
      <c r="O159" t="s">
        <v>243</v>
      </c>
      <c r="P159" t="s">
        <v>243</v>
      </c>
      <c r="Q159">
        <v>1000</v>
      </c>
      <c r="W159">
        <v>0</v>
      </c>
      <c r="X159">
        <v>-413789965</v>
      </c>
      <c r="Y159">
        <f t="shared" si="41"/>
        <v>4.1666667000000004</v>
      </c>
      <c r="AA159">
        <v>190542.13</v>
      </c>
      <c r="AB159">
        <v>0</v>
      </c>
      <c r="AC159">
        <v>0</v>
      </c>
      <c r="AD159">
        <v>0</v>
      </c>
      <c r="AE159">
        <v>112746.82</v>
      </c>
      <c r="AF159">
        <v>0</v>
      </c>
      <c r="AG159">
        <v>0</v>
      </c>
      <c r="AH159">
        <v>0</v>
      </c>
      <c r="AI159">
        <v>1.69</v>
      </c>
      <c r="AJ159">
        <v>1</v>
      </c>
      <c r="AK159">
        <v>1</v>
      </c>
      <c r="AL159">
        <v>1</v>
      </c>
      <c r="AM159">
        <v>0</v>
      </c>
      <c r="AN159">
        <v>1</v>
      </c>
      <c r="AO159">
        <v>0</v>
      </c>
      <c r="AP159">
        <v>1</v>
      </c>
      <c r="AQ159">
        <v>0</v>
      </c>
      <c r="AR159">
        <v>0</v>
      </c>
      <c r="AS159" t="s">
        <v>3</v>
      </c>
      <c r="AT159">
        <v>4.1666667000000004</v>
      </c>
      <c r="AU159" t="s">
        <v>3</v>
      </c>
      <c r="AV159">
        <v>0</v>
      </c>
      <c r="AW159">
        <v>1</v>
      </c>
      <c r="AX159">
        <v>-1</v>
      </c>
      <c r="AY159">
        <v>0</v>
      </c>
      <c r="AZ159">
        <v>0</v>
      </c>
      <c r="BA159" t="s">
        <v>3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CV159">
        <v>0</v>
      </c>
      <c r="CW159">
        <v>0</v>
      </c>
      <c r="CX159">
        <f>ROUND(Y159*Source!I146,7)</f>
        <v>5.0000000000000001E-4</v>
      </c>
      <c r="CY159">
        <f t="shared" ref="CY159:CY166" si="54">AA159</f>
        <v>190542.13</v>
      </c>
      <c r="CZ159">
        <f t="shared" ref="CZ159:CZ166" si="55">AE159</f>
        <v>112746.82</v>
      </c>
      <c r="DA159">
        <f t="shared" ref="DA159:DA166" si="56">AI159</f>
        <v>1.69</v>
      </c>
      <c r="DB159">
        <f t="shared" si="42"/>
        <v>469778.42</v>
      </c>
      <c r="DC159">
        <f t="shared" si="43"/>
        <v>0</v>
      </c>
      <c r="DD159" t="s">
        <v>3</v>
      </c>
      <c r="DE159" t="s">
        <v>3</v>
      </c>
      <c r="DF159">
        <f>ROUND(ROUND(AE159*AI159,2)*CX159,2)</f>
        <v>95.27</v>
      </c>
      <c r="DG159">
        <f t="shared" ref="DG159:DG167" si="57">ROUND(ROUND(AF159,2)*CX159,2)</f>
        <v>0</v>
      </c>
      <c r="DH159">
        <f t="shared" si="45"/>
        <v>0</v>
      </c>
      <c r="DI159">
        <f t="shared" si="46"/>
        <v>0</v>
      </c>
      <c r="DJ159">
        <f t="shared" ref="DJ159:DJ166" si="58">DF159</f>
        <v>95.27</v>
      </c>
      <c r="DK159">
        <v>0</v>
      </c>
      <c r="DL159" t="s">
        <v>3</v>
      </c>
      <c r="DM159">
        <v>0</v>
      </c>
      <c r="DN159" t="s">
        <v>3</v>
      </c>
      <c r="DO159">
        <v>0</v>
      </c>
    </row>
    <row r="160" spans="1:119" x14ac:dyDescent="0.2">
      <c r="A160">
        <f>ROW(Source!A146)</f>
        <v>146</v>
      </c>
      <c r="B160">
        <v>74014550</v>
      </c>
      <c r="C160">
        <v>74016498</v>
      </c>
      <c r="D160">
        <v>72589187</v>
      </c>
      <c r="E160">
        <v>1</v>
      </c>
      <c r="F160">
        <v>1</v>
      </c>
      <c r="G160">
        <v>1</v>
      </c>
      <c r="H160">
        <v>3</v>
      </c>
      <c r="I160" t="s">
        <v>312</v>
      </c>
      <c r="J160" t="s">
        <v>315</v>
      </c>
      <c r="K160" t="s">
        <v>313</v>
      </c>
      <c r="L160">
        <v>1346</v>
      </c>
      <c r="N160">
        <v>1009</v>
      </c>
      <c r="O160" t="s">
        <v>314</v>
      </c>
      <c r="P160" t="s">
        <v>314</v>
      </c>
      <c r="Q160">
        <v>1</v>
      </c>
      <c r="W160">
        <v>0</v>
      </c>
      <c r="X160">
        <v>-1647963506</v>
      </c>
      <c r="Y160">
        <f t="shared" si="41"/>
        <v>1730</v>
      </c>
      <c r="AA160">
        <v>207.84</v>
      </c>
      <c r="AB160">
        <v>0</v>
      </c>
      <c r="AC160">
        <v>0</v>
      </c>
      <c r="AD160">
        <v>0</v>
      </c>
      <c r="AE160">
        <v>122.98</v>
      </c>
      <c r="AF160">
        <v>0</v>
      </c>
      <c r="AG160">
        <v>0</v>
      </c>
      <c r="AH160">
        <v>0</v>
      </c>
      <c r="AI160">
        <v>1.69</v>
      </c>
      <c r="AJ160">
        <v>1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0</v>
      </c>
      <c r="AS160" t="s">
        <v>3</v>
      </c>
      <c r="AT160">
        <v>1730</v>
      </c>
      <c r="AU160" t="s">
        <v>3</v>
      </c>
      <c r="AV160">
        <v>0</v>
      </c>
      <c r="AW160">
        <v>1</v>
      </c>
      <c r="AX160">
        <v>-1</v>
      </c>
      <c r="AY160">
        <v>0</v>
      </c>
      <c r="AZ160">
        <v>0</v>
      </c>
      <c r="BA160" t="s">
        <v>3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CV160">
        <v>0</v>
      </c>
      <c r="CW160">
        <v>0</v>
      </c>
      <c r="CX160">
        <f>ROUND(Y160*Source!I146,7)</f>
        <v>0.20760000000000001</v>
      </c>
      <c r="CY160">
        <f t="shared" si="54"/>
        <v>207.84</v>
      </c>
      <c r="CZ160">
        <f t="shared" si="55"/>
        <v>122.98</v>
      </c>
      <c r="DA160">
        <f t="shared" si="56"/>
        <v>1.69</v>
      </c>
      <c r="DB160">
        <f t="shared" si="42"/>
        <v>212755.4</v>
      </c>
      <c r="DC160">
        <f t="shared" si="43"/>
        <v>0</v>
      </c>
      <c r="DD160" t="s">
        <v>3</v>
      </c>
      <c r="DE160" t="s">
        <v>3</v>
      </c>
      <c r="DF160">
        <f>ROUND(ROUND(AE160*AI160,2)*CX160,2)</f>
        <v>43.15</v>
      </c>
      <c r="DG160">
        <f t="shared" si="57"/>
        <v>0</v>
      </c>
      <c r="DH160">
        <f t="shared" si="45"/>
        <v>0</v>
      </c>
      <c r="DI160">
        <f t="shared" si="46"/>
        <v>0</v>
      </c>
      <c r="DJ160">
        <f t="shared" si="58"/>
        <v>43.15</v>
      </c>
      <c r="DK160">
        <v>0</v>
      </c>
      <c r="DL160" t="s">
        <v>3</v>
      </c>
      <c r="DM160">
        <v>0</v>
      </c>
      <c r="DN160" t="s">
        <v>3</v>
      </c>
      <c r="DO160">
        <v>0</v>
      </c>
    </row>
    <row r="161" spans="1:119" x14ac:dyDescent="0.2">
      <c r="A161">
        <f>ROW(Source!A146)</f>
        <v>146</v>
      </c>
      <c r="B161">
        <v>74014550</v>
      </c>
      <c r="C161">
        <v>74016498</v>
      </c>
      <c r="D161">
        <v>72591306</v>
      </c>
      <c r="E161">
        <v>1</v>
      </c>
      <c r="F161">
        <v>1</v>
      </c>
      <c r="G161">
        <v>1</v>
      </c>
      <c r="H161">
        <v>3</v>
      </c>
      <c r="I161" t="s">
        <v>697</v>
      </c>
      <c r="J161" t="s">
        <v>698</v>
      </c>
      <c r="K161" t="s">
        <v>699</v>
      </c>
      <c r="L161">
        <v>1329</v>
      </c>
      <c r="N161">
        <v>1005</v>
      </c>
      <c r="O161" t="s">
        <v>700</v>
      </c>
      <c r="P161" t="s">
        <v>700</v>
      </c>
      <c r="Q161">
        <v>1000</v>
      </c>
      <c r="W161">
        <v>0</v>
      </c>
      <c r="X161">
        <v>-114203978</v>
      </c>
      <c r="Y161">
        <f t="shared" ref="Y161:Y170" si="59">AT161</f>
        <v>0.37</v>
      </c>
      <c r="AA161">
        <v>6108.35</v>
      </c>
      <c r="AB161">
        <v>0</v>
      </c>
      <c r="AC161">
        <v>0</v>
      </c>
      <c r="AD161">
        <v>0</v>
      </c>
      <c r="AE161">
        <v>7186.29</v>
      </c>
      <c r="AF161">
        <v>0</v>
      </c>
      <c r="AG161">
        <v>0</v>
      </c>
      <c r="AH161">
        <v>0</v>
      </c>
      <c r="AI161">
        <v>0.85</v>
      </c>
      <c r="AJ161">
        <v>1</v>
      </c>
      <c r="AK161">
        <v>1</v>
      </c>
      <c r="AL161">
        <v>1</v>
      </c>
      <c r="AM161">
        <v>2</v>
      </c>
      <c r="AN161">
        <v>0</v>
      </c>
      <c r="AO161">
        <v>0</v>
      </c>
      <c r="AP161">
        <v>1</v>
      </c>
      <c r="AQ161">
        <v>1</v>
      </c>
      <c r="AR161">
        <v>0</v>
      </c>
      <c r="AS161" t="s">
        <v>3</v>
      </c>
      <c r="AT161">
        <v>0.37</v>
      </c>
      <c r="AU161" t="s">
        <v>3</v>
      </c>
      <c r="AV161">
        <v>0</v>
      </c>
      <c r="AW161">
        <v>2</v>
      </c>
      <c r="AX161">
        <v>74016519</v>
      </c>
      <c r="AY161">
        <v>1</v>
      </c>
      <c r="AZ161">
        <v>0</v>
      </c>
      <c r="BA161">
        <v>177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2658.9272999999998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</v>
      </c>
      <c r="BQ161">
        <v>2658.9272999999998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CV161">
        <v>0</v>
      </c>
      <c r="CW161">
        <v>0</v>
      </c>
      <c r="CX161">
        <f>ROUND(Y161*Source!I146,7)</f>
        <v>4.4400000000000002E-5</v>
      </c>
      <c r="CY161">
        <f t="shared" si="54"/>
        <v>6108.35</v>
      </c>
      <c r="CZ161">
        <f t="shared" si="55"/>
        <v>7186.29</v>
      </c>
      <c r="DA161">
        <f t="shared" si="56"/>
        <v>0.85</v>
      </c>
      <c r="DB161">
        <f t="shared" ref="DB161:DB170" si="60">ROUND(ROUND(AT161*CZ161,2),6)</f>
        <v>2658.93</v>
      </c>
      <c r="DC161">
        <f t="shared" ref="DC161:DC170" si="61">ROUND(ROUND(AT161*AG161,2),6)</f>
        <v>0</v>
      </c>
      <c r="DD161" t="s">
        <v>3</v>
      </c>
      <c r="DE161" t="s">
        <v>3</v>
      </c>
      <c r="DF161">
        <f>ROUND(ROUND(AE161*AI161,2)*CX161,2)</f>
        <v>0.27</v>
      </c>
      <c r="DG161">
        <f t="shared" si="57"/>
        <v>0</v>
      </c>
      <c r="DH161">
        <f t="shared" si="45"/>
        <v>0</v>
      </c>
      <c r="DI161">
        <f t="shared" si="46"/>
        <v>0</v>
      </c>
      <c r="DJ161">
        <f t="shared" si="58"/>
        <v>0.27</v>
      </c>
      <c r="DK161">
        <v>0</v>
      </c>
      <c r="DL161" t="s">
        <v>3</v>
      </c>
      <c r="DM161">
        <v>0</v>
      </c>
      <c r="DN161" t="s">
        <v>3</v>
      </c>
      <c r="DO161">
        <v>0</v>
      </c>
    </row>
    <row r="162" spans="1:119" x14ac:dyDescent="0.2">
      <c r="A162">
        <f>ROW(Source!A146)</f>
        <v>146</v>
      </c>
      <c r="B162">
        <v>74014550</v>
      </c>
      <c r="C162">
        <v>74016498</v>
      </c>
      <c r="D162">
        <v>72591353</v>
      </c>
      <c r="E162">
        <v>1</v>
      </c>
      <c r="F162">
        <v>1</v>
      </c>
      <c r="G162">
        <v>1</v>
      </c>
      <c r="H162">
        <v>3</v>
      </c>
      <c r="I162" t="s">
        <v>518</v>
      </c>
      <c r="J162" t="s">
        <v>519</v>
      </c>
      <c r="K162" t="s">
        <v>520</v>
      </c>
      <c r="L162">
        <v>1383</v>
      </c>
      <c r="N162">
        <v>1013</v>
      </c>
      <c r="O162" t="s">
        <v>521</v>
      </c>
      <c r="P162" t="s">
        <v>521</v>
      </c>
      <c r="Q162">
        <v>1</v>
      </c>
      <c r="W162">
        <v>0</v>
      </c>
      <c r="X162">
        <v>86017057</v>
      </c>
      <c r="Y162">
        <f t="shared" si="59"/>
        <v>49.761000000000003</v>
      </c>
      <c r="AA162">
        <v>9.5500000000000007</v>
      </c>
      <c r="AB162">
        <v>0</v>
      </c>
      <c r="AC162">
        <v>0</v>
      </c>
      <c r="AD162">
        <v>0</v>
      </c>
      <c r="AE162">
        <v>9.5500000000000007</v>
      </c>
      <c r="AF162">
        <v>0</v>
      </c>
      <c r="AG162">
        <v>0</v>
      </c>
      <c r="AH162">
        <v>0</v>
      </c>
      <c r="AI162">
        <v>1</v>
      </c>
      <c r="AJ162">
        <v>1</v>
      </c>
      <c r="AK162">
        <v>1</v>
      </c>
      <c r="AL162">
        <v>1</v>
      </c>
      <c r="AM162">
        <v>-2</v>
      </c>
      <c r="AN162">
        <v>0</v>
      </c>
      <c r="AO162">
        <v>0</v>
      </c>
      <c r="AP162">
        <v>1</v>
      </c>
      <c r="AQ162">
        <v>1</v>
      </c>
      <c r="AR162">
        <v>0</v>
      </c>
      <c r="AS162" t="s">
        <v>3</v>
      </c>
      <c r="AT162">
        <v>49.761000000000003</v>
      </c>
      <c r="AU162" t="s">
        <v>3</v>
      </c>
      <c r="AV162">
        <v>0</v>
      </c>
      <c r="AW162">
        <v>2</v>
      </c>
      <c r="AX162">
        <v>74016520</v>
      </c>
      <c r="AY162">
        <v>1</v>
      </c>
      <c r="AZ162">
        <v>0</v>
      </c>
      <c r="BA162">
        <v>178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475.21755000000007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475.21755000000007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CV162">
        <v>0</v>
      </c>
      <c r="CW162">
        <v>0</v>
      </c>
      <c r="CX162">
        <f>ROUND(Y162*Source!I146,7)</f>
        <v>5.9712999999999997E-3</v>
      </c>
      <c r="CY162">
        <f t="shared" si="54"/>
        <v>9.5500000000000007</v>
      </c>
      <c r="CZ162">
        <f t="shared" si="55"/>
        <v>9.5500000000000007</v>
      </c>
      <c r="DA162">
        <f t="shared" si="56"/>
        <v>1</v>
      </c>
      <c r="DB162">
        <f t="shared" si="60"/>
        <v>475.22</v>
      </c>
      <c r="DC162">
        <f t="shared" si="61"/>
        <v>0</v>
      </c>
      <c r="DD162" t="s">
        <v>3</v>
      </c>
      <c r="DE162" t="s">
        <v>3</v>
      </c>
      <c r="DF162">
        <f>ROUND(ROUND(AE162,2)*CX162,2)</f>
        <v>0.06</v>
      </c>
      <c r="DG162">
        <f t="shared" si="57"/>
        <v>0</v>
      </c>
      <c r="DH162">
        <f t="shared" si="45"/>
        <v>0</v>
      </c>
      <c r="DI162">
        <f t="shared" si="46"/>
        <v>0</v>
      </c>
      <c r="DJ162">
        <f t="shared" si="58"/>
        <v>0.06</v>
      </c>
      <c r="DK162">
        <v>1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ROW(Source!A146)</f>
        <v>146</v>
      </c>
      <c r="B163">
        <v>74014550</v>
      </c>
      <c r="C163">
        <v>74016498</v>
      </c>
      <c r="D163">
        <v>72594022</v>
      </c>
      <c r="E163">
        <v>1</v>
      </c>
      <c r="F163">
        <v>1</v>
      </c>
      <c r="G163">
        <v>1</v>
      </c>
      <c r="H163">
        <v>3</v>
      </c>
      <c r="I163" t="s">
        <v>701</v>
      </c>
      <c r="J163" t="s">
        <v>702</v>
      </c>
      <c r="K163" t="s">
        <v>703</v>
      </c>
      <c r="L163">
        <v>1327</v>
      </c>
      <c r="N163">
        <v>1005</v>
      </c>
      <c r="O163" t="s">
        <v>633</v>
      </c>
      <c r="P163" t="s">
        <v>633</v>
      </c>
      <c r="Q163">
        <v>1</v>
      </c>
      <c r="W163">
        <v>0</v>
      </c>
      <c r="X163">
        <v>934346343</v>
      </c>
      <c r="Y163">
        <f t="shared" si="59"/>
        <v>1.2</v>
      </c>
      <c r="AA163">
        <v>177.15</v>
      </c>
      <c r="AB163">
        <v>0</v>
      </c>
      <c r="AC163">
        <v>0</v>
      </c>
      <c r="AD163">
        <v>0</v>
      </c>
      <c r="AE163">
        <v>108.68</v>
      </c>
      <c r="AF163">
        <v>0</v>
      </c>
      <c r="AG163">
        <v>0</v>
      </c>
      <c r="AH163">
        <v>0</v>
      </c>
      <c r="AI163">
        <v>1.63</v>
      </c>
      <c r="AJ163">
        <v>1</v>
      </c>
      <c r="AK163">
        <v>1</v>
      </c>
      <c r="AL163">
        <v>1</v>
      </c>
      <c r="AM163">
        <v>2</v>
      </c>
      <c r="AN163">
        <v>0</v>
      </c>
      <c r="AO163">
        <v>0</v>
      </c>
      <c r="AP163">
        <v>1</v>
      </c>
      <c r="AQ163">
        <v>1</v>
      </c>
      <c r="AR163">
        <v>0</v>
      </c>
      <c r="AS163" t="s">
        <v>3</v>
      </c>
      <c r="AT163">
        <v>1.2</v>
      </c>
      <c r="AU163" t="s">
        <v>3</v>
      </c>
      <c r="AV163">
        <v>0</v>
      </c>
      <c r="AW163">
        <v>2</v>
      </c>
      <c r="AX163">
        <v>74016521</v>
      </c>
      <c r="AY163">
        <v>1</v>
      </c>
      <c r="AZ163">
        <v>0</v>
      </c>
      <c r="BA163">
        <v>179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130.416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130.416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CV163">
        <v>0</v>
      </c>
      <c r="CW163">
        <v>0</v>
      </c>
      <c r="CX163">
        <f>ROUND(Y163*Source!I146,7)</f>
        <v>1.44E-4</v>
      </c>
      <c r="CY163">
        <f t="shared" si="54"/>
        <v>177.15</v>
      </c>
      <c r="CZ163">
        <f t="shared" si="55"/>
        <v>108.68</v>
      </c>
      <c r="DA163">
        <f t="shared" si="56"/>
        <v>1.63</v>
      </c>
      <c r="DB163">
        <f t="shared" si="60"/>
        <v>130.41999999999999</v>
      </c>
      <c r="DC163">
        <f t="shared" si="61"/>
        <v>0</v>
      </c>
      <c r="DD163" t="s">
        <v>3</v>
      </c>
      <c r="DE163" t="s">
        <v>3</v>
      </c>
      <c r="DF163">
        <f>ROUND(ROUND(AE163*AI163,2)*CX163,2)</f>
        <v>0.03</v>
      </c>
      <c r="DG163">
        <f t="shared" si="57"/>
        <v>0</v>
      </c>
      <c r="DH163">
        <f t="shared" si="45"/>
        <v>0</v>
      </c>
      <c r="DI163">
        <f t="shared" si="46"/>
        <v>0</v>
      </c>
      <c r="DJ163">
        <f t="shared" si="58"/>
        <v>0.03</v>
      </c>
      <c r="DK163">
        <v>0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ROW(Source!A146)</f>
        <v>146</v>
      </c>
      <c r="B164">
        <v>74014550</v>
      </c>
      <c r="C164">
        <v>74016498</v>
      </c>
      <c r="D164">
        <v>72594035</v>
      </c>
      <c r="E164">
        <v>1</v>
      </c>
      <c r="F164">
        <v>1</v>
      </c>
      <c r="G164">
        <v>1</v>
      </c>
      <c r="H164">
        <v>3</v>
      </c>
      <c r="I164" t="s">
        <v>704</v>
      </c>
      <c r="J164" t="s">
        <v>705</v>
      </c>
      <c r="K164" t="s">
        <v>706</v>
      </c>
      <c r="L164">
        <v>1330</v>
      </c>
      <c r="N164">
        <v>1005</v>
      </c>
      <c r="O164" t="s">
        <v>707</v>
      </c>
      <c r="P164" t="s">
        <v>707</v>
      </c>
      <c r="Q164">
        <v>10</v>
      </c>
      <c r="W164">
        <v>0</v>
      </c>
      <c r="X164">
        <v>-623321735</v>
      </c>
      <c r="Y164">
        <f t="shared" si="59"/>
        <v>0.31</v>
      </c>
      <c r="AA164">
        <v>965.03</v>
      </c>
      <c r="AB164">
        <v>0</v>
      </c>
      <c r="AC164">
        <v>0</v>
      </c>
      <c r="AD164">
        <v>0</v>
      </c>
      <c r="AE164">
        <v>592.04</v>
      </c>
      <c r="AF164">
        <v>0</v>
      </c>
      <c r="AG164">
        <v>0</v>
      </c>
      <c r="AH164">
        <v>0</v>
      </c>
      <c r="AI164">
        <v>1.63</v>
      </c>
      <c r="AJ164">
        <v>1</v>
      </c>
      <c r="AK164">
        <v>1</v>
      </c>
      <c r="AL164">
        <v>1</v>
      </c>
      <c r="AM164">
        <v>2</v>
      </c>
      <c r="AN164">
        <v>0</v>
      </c>
      <c r="AO164">
        <v>0</v>
      </c>
      <c r="AP164">
        <v>1</v>
      </c>
      <c r="AQ164">
        <v>1</v>
      </c>
      <c r="AR164">
        <v>0</v>
      </c>
      <c r="AS164" t="s">
        <v>3</v>
      </c>
      <c r="AT164">
        <v>0.31</v>
      </c>
      <c r="AU164" t="s">
        <v>3</v>
      </c>
      <c r="AV164">
        <v>0</v>
      </c>
      <c r="AW164">
        <v>2</v>
      </c>
      <c r="AX164">
        <v>74016522</v>
      </c>
      <c r="AY164">
        <v>1</v>
      </c>
      <c r="AZ164">
        <v>0</v>
      </c>
      <c r="BA164">
        <v>180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183.5324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183.5324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CV164">
        <v>0</v>
      </c>
      <c r="CW164">
        <v>0</v>
      </c>
      <c r="CX164">
        <f>ROUND(Y164*Source!I146,7)</f>
        <v>3.7200000000000003E-5</v>
      </c>
      <c r="CY164">
        <f t="shared" si="54"/>
        <v>965.03</v>
      </c>
      <c r="CZ164">
        <f t="shared" si="55"/>
        <v>592.04</v>
      </c>
      <c r="DA164">
        <f t="shared" si="56"/>
        <v>1.63</v>
      </c>
      <c r="DB164">
        <f t="shared" si="60"/>
        <v>183.53</v>
      </c>
      <c r="DC164">
        <f t="shared" si="61"/>
        <v>0</v>
      </c>
      <c r="DD164" t="s">
        <v>3</v>
      </c>
      <c r="DE164" t="s">
        <v>3</v>
      </c>
      <c r="DF164">
        <f>ROUND(ROUND(AE164*AI164,2)*CX164,2)</f>
        <v>0.04</v>
      </c>
      <c r="DG164">
        <f t="shared" si="57"/>
        <v>0</v>
      </c>
      <c r="DH164">
        <f t="shared" si="45"/>
        <v>0</v>
      </c>
      <c r="DI164">
        <f t="shared" si="46"/>
        <v>0</v>
      </c>
      <c r="DJ164">
        <f t="shared" si="58"/>
        <v>0.04</v>
      </c>
      <c r="DK164">
        <v>0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ROW(Source!A146)</f>
        <v>146</v>
      </c>
      <c r="B165">
        <v>74014550</v>
      </c>
      <c r="C165">
        <v>74016498</v>
      </c>
      <c r="D165">
        <v>72602544</v>
      </c>
      <c r="E165">
        <v>1</v>
      </c>
      <c r="F165">
        <v>1</v>
      </c>
      <c r="G165">
        <v>1</v>
      </c>
      <c r="H165">
        <v>3</v>
      </c>
      <c r="I165" t="s">
        <v>677</v>
      </c>
      <c r="J165" t="s">
        <v>678</v>
      </c>
      <c r="K165" t="s">
        <v>679</v>
      </c>
      <c r="L165">
        <v>1339</v>
      </c>
      <c r="N165">
        <v>1007</v>
      </c>
      <c r="O165" t="s">
        <v>48</v>
      </c>
      <c r="P165" t="s">
        <v>48</v>
      </c>
      <c r="Q165">
        <v>1</v>
      </c>
      <c r="W165">
        <v>0</v>
      </c>
      <c r="X165">
        <v>1778353042</v>
      </c>
      <c r="Y165">
        <f t="shared" si="59"/>
        <v>0.25</v>
      </c>
      <c r="AA165">
        <v>5797.85</v>
      </c>
      <c r="AB165">
        <v>0</v>
      </c>
      <c r="AC165">
        <v>0</v>
      </c>
      <c r="AD165">
        <v>0</v>
      </c>
      <c r="AE165">
        <v>6442.06</v>
      </c>
      <c r="AF165">
        <v>0</v>
      </c>
      <c r="AG165">
        <v>0</v>
      </c>
      <c r="AH165">
        <v>0</v>
      </c>
      <c r="AI165">
        <v>0.9</v>
      </c>
      <c r="AJ165">
        <v>1</v>
      </c>
      <c r="AK165">
        <v>1</v>
      </c>
      <c r="AL165">
        <v>1</v>
      </c>
      <c r="AM165">
        <v>2</v>
      </c>
      <c r="AN165">
        <v>0</v>
      </c>
      <c r="AO165">
        <v>0</v>
      </c>
      <c r="AP165">
        <v>1</v>
      </c>
      <c r="AQ165">
        <v>1</v>
      </c>
      <c r="AR165">
        <v>0</v>
      </c>
      <c r="AS165" t="s">
        <v>3</v>
      </c>
      <c r="AT165">
        <v>0.25</v>
      </c>
      <c r="AU165" t="s">
        <v>3</v>
      </c>
      <c r="AV165">
        <v>0</v>
      </c>
      <c r="AW165">
        <v>2</v>
      </c>
      <c r="AX165">
        <v>74016523</v>
      </c>
      <c r="AY165">
        <v>1</v>
      </c>
      <c r="AZ165">
        <v>0</v>
      </c>
      <c r="BA165">
        <v>181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1610.5150000000001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</v>
      </c>
      <c r="BQ165">
        <v>1610.5150000000001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</v>
      </c>
      <c r="CV165">
        <v>0</v>
      </c>
      <c r="CW165">
        <v>0</v>
      </c>
      <c r="CX165">
        <f>ROUND(Y165*Source!I146,7)</f>
        <v>3.0000000000000001E-5</v>
      </c>
      <c r="CY165">
        <f t="shared" si="54"/>
        <v>5797.85</v>
      </c>
      <c r="CZ165">
        <f t="shared" si="55"/>
        <v>6442.06</v>
      </c>
      <c r="DA165">
        <f t="shared" si="56"/>
        <v>0.9</v>
      </c>
      <c r="DB165">
        <f t="shared" si="60"/>
        <v>1610.52</v>
      </c>
      <c r="DC165">
        <f t="shared" si="61"/>
        <v>0</v>
      </c>
      <c r="DD165" t="s">
        <v>3</v>
      </c>
      <c r="DE165" t="s">
        <v>3</v>
      </c>
      <c r="DF165">
        <f>ROUND(ROUND(AE165*AI165,2)*CX165,2)</f>
        <v>0.17</v>
      </c>
      <c r="DG165">
        <f t="shared" si="57"/>
        <v>0</v>
      </c>
      <c r="DH165">
        <f t="shared" si="45"/>
        <v>0</v>
      </c>
      <c r="DI165">
        <f t="shared" si="46"/>
        <v>0</v>
      </c>
      <c r="DJ165">
        <f t="shared" si="58"/>
        <v>0.17</v>
      </c>
      <c r="DK165">
        <v>0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ROW(Source!A146)</f>
        <v>146</v>
      </c>
      <c r="B166">
        <v>74014550</v>
      </c>
      <c r="C166">
        <v>74016498</v>
      </c>
      <c r="D166">
        <v>72604413</v>
      </c>
      <c r="E166">
        <v>1</v>
      </c>
      <c r="F166">
        <v>1</v>
      </c>
      <c r="G166">
        <v>1</v>
      </c>
      <c r="H166">
        <v>3</v>
      </c>
      <c r="I166" t="s">
        <v>708</v>
      </c>
      <c r="J166" t="s">
        <v>709</v>
      </c>
      <c r="K166" t="s">
        <v>710</v>
      </c>
      <c r="L166">
        <v>1330</v>
      </c>
      <c r="N166">
        <v>1005</v>
      </c>
      <c r="O166" t="s">
        <v>707</v>
      </c>
      <c r="P166" t="s">
        <v>707</v>
      </c>
      <c r="Q166">
        <v>10</v>
      </c>
      <c r="W166">
        <v>0</v>
      </c>
      <c r="X166">
        <v>711055542</v>
      </c>
      <c r="Y166">
        <f t="shared" si="59"/>
        <v>43</v>
      </c>
      <c r="AA166">
        <v>505.29</v>
      </c>
      <c r="AB166">
        <v>0</v>
      </c>
      <c r="AC166">
        <v>0</v>
      </c>
      <c r="AD166">
        <v>0</v>
      </c>
      <c r="AE166">
        <v>574.19000000000005</v>
      </c>
      <c r="AF166">
        <v>0</v>
      </c>
      <c r="AG166">
        <v>0</v>
      </c>
      <c r="AH166">
        <v>0</v>
      </c>
      <c r="AI166">
        <v>0.88</v>
      </c>
      <c r="AJ166">
        <v>1</v>
      </c>
      <c r="AK166">
        <v>1</v>
      </c>
      <c r="AL166">
        <v>1</v>
      </c>
      <c r="AM166">
        <v>2</v>
      </c>
      <c r="AN166">
        <v>0</v>
      </c>
      <c r="AO166">
        <v>0</v>
      </c>
      <c r="AP166">
        <v>1</v>
      </c>
      <c r="AQ166">
        <v>1</v>
      </c>
      <c r="AR166">
        <v>0</v>
      </c>
      <c r="AS166" t="s">
        <v>3</v>
      </c>
      <c r="AT166">
        <v>43</v>
      </c>
      <c r="AU166" t="s">
        <v>3</v>
      </c>
      <c r="AV166">
        <v>0</v>
      </c>
      <c r="AW166">
        <v>2</v>
      </c>
      <c r="AX166">
        <v>74016524</v>
      </c>
      <c r="AY166">
        <v>1</v>
      </c>
      <c r="AZ166">
        <v>0</v>
      </c>
      <c r="BA166">
        <v>182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24690.170000000002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1</v>
      </c>
      <c r="BQ166">
        <v>24690.170000000002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CV166">
        <v>0</v>
      </c>
      <c r="CW166">
        <v>0</v>
      </c>
      <c r="CX166">
        <f>ROUND(Y166*Source!I146,7)</f>
        <v>5.1599999999999997E-3</v>
      </c>
      <c r="CY166">
        <f t="shared" si="54"/>
        <v>505.29</v>
      </c>
      <c r="CZ166">
        <f t="shared" si="55"/>
        <v>574.19000000000005</v>
      </c>
      <c r="DA166">
        <f t="shared" si="56"/>
        <v>0.88</v>
      </c>
      <c r="DB166">
        <f t="shared" si="60"/>
        <v>24690.17</v>
      </c>
      <c r="DC166">
        <f t="shared" si="61"/>
        <v>0</v>
      </c>
      <c r="DD166" t="s">
        <v>3</v>
      </c>
      <c r="DE166" t="s">
        <v>3</v>
      </c>
      <c r="DF166">
        <f>ROUND(ROUND(AE166*AI166,2)*CX166,2)</f>
        <v>2.61</v>
      </c>
      <c r="DG166">
        <f t="shared" si="57"/>
        <v>0</v>
      </c>
      <c r="DH166">
        <f t="shared" si="45"/>
        <v>0</v>
      </c>
      <c r="DI166">
        <f t="shared" si="46"/>
        <v>0</v>
      </c>
      <c r="DJ166">
        <f t="shared" si="58"/>
        <v>2.61</v>
      </c>
      <c r="DK166">
        <v>0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ROW(Source!A184)</f>
        <v>184</v>
      </c>
      <c r="B167">
        <v>74014550</v>
      </c>
      <c r="C167">
        <v>74016585</v>
      </c>
      <c r="D167">
        <v>20049115</v>
      </c>
      <c r="E167">
        <v>119</v>
      </c>
      <c r="F167">
        <v>1</v>
      </c>
      <c r="G167">
        <v>1</v>
      </c>
      <c r="H167">
        <v>1</v>
      </c>
      <c r="I167" t="s">
        <v>482</v>
      </c>
      <c r="J167" t="s">
        <v>3</v>
      </c>
      <c r="K167" t="s">
        <v>483</v>
      </c>
      <c r="L167">
        <v>1191</v>
      </c>
      <c r="N167">
        <v>1013</v>
      </c>
      <c r="O167" t="s">
        <v>484</v>
      </c>
      <c r="P167" t="s">
        <v>484</v>
      </c>
      <c r="Q167">
        <v>1</v>
      </c>
      <c r="W167">
        <v>0</v>
      </c>
      <c r="X167">
        <v>-1417349443</v>
      </c>
      <c r="Y167">
        <f t="shared" si="59"/>
        <v>25.5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</v>
      </c>
      <c r="AJ167">
        <v>1</v>
      </c>
      <c r="AK167">
        <v>1</v>
      </c>
      <c r="AL167">
        <v>1</v>
      </c>
      <c r="AM167">
        <v>-2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25.5</v>
      </c>
      <c r="AU167" t="s">
        <v>3</v>
      </c>
      <c r="AV167">
        <v>2</v>
      </c>
      <c r="AW167">
        <v>2</v>
      </c>
      <c r="AX167">
        <v>74016588</v>
      </c>
      <c r="AY167">
        <v>1</v>
      </c>
      <c r="AZ167">
        <v>0</v>
      </c>
      <c r="BA167">
        <v>183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CV167">
        <v>0</v>
      </c>
      <c r="CW167">
        <v>0</v>
      </c>
      <c r="CX167">
        <f>ROUND(Y167*Source!I184,7)</f>
        <v>0.76500000000000001</v>
      </c>
      <c r="CY167">
        <f>AD167</f>
        <v>0</v>
      </c>
      <c r="CZ167">
        <f>AH167</f>
        <v>0</v>
      </c>
      <c r="DA167">
        <f>AL167</f>
        <v>1</v>
      </c>
      <c r="DB167">
        <f t="shared" si="60"/>
        <v>0</v>
      </c>
      <c r="DC167">
        <f t="shared" si="61"/>
        <v>0</v>
      </c>
      <c r="DD167" t="s">
        <v>3</v>
      </c>
      <c r="DE167" t="s">
        <v>3</v>
      </c>
      <c r="DF167">
        <f t="shared" ref="DF167:DF179" si="62">ROUND(ROUND(AE167,2)*CX167,2)</f>
        <v>0</v>
      </c>
      <c r="DG167">
        <f t="shared" si="57"/>
        <v>0</v>
      </c>
      <c r="DH167">
        <f t="shared" si="45"/>
        <v>0</v>
      </c>
      <c r="DI167">
        <f t="shared" si="46"/>
        <v>0</v>
      </c>
      <c r="DJ167">
        <f>DI167</f>
        <v>0</v>
      </c>
      <c r="DK167">
        <v>0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ROW(Source!A184)</f>
        <v>184</v>
      </c>
      <c r="B168">
        <v>74014550</v>
      </c>
      <c r="C168">
        <v>74016585</v>
      </c>
      <c r="D168">
        <v>72645652</v>
      </c>
      <c r="E168">
        <v>1</v>
      </c>
      <c r="F168">
        <v>1</v>
      </c>
      <c r="G168">
        <v>1</v>
      </c>
      <c r="H168">
        <v>2</v>
      </c>
      <c r="I168" t="s">
        <v>485</v>
      </c>
      <c r="J168" t="s">
        <v>486</v>
      </c>
      <c r="K168" t="s">
        <v>487</v>
      </c>
      <c r="L168">
        <v>1368</v>
      </c>
      <c r="N168">
        <v>1011</v>
      </c>
      <c r="O168" t="s">
        <v>488</v>
      </c>
      <c r="P168" t="s">
        <v>488</v>
      </c>
      <c r="Q168">
        <v>1</v>
      </c>
      <c r="W168">
        <v>0</v>
      </c>
      <c r="X168">
        <v>-1780628978</v>
      </c>
      <c r="Y168">
        <f t="shared" si="59"/>
        <v>25.5</v>
      </c>
      <c r="AA168">
        <v>0</v>
      </c>
      <c r="AB168">
        <v>1433.48</v>
      </c>
      <c r="AC168">
        <v>537.64</v>
      </c>
      <c r="AD168">
        <v>0</v>
      </c>
      <c r="AE168">
        <v>0</v>
      </c>
      <c r="AF168">
        <v>1054.03</v>
      </c>
      <c r="AG168">
        <v>537.64</v>
      </c>
      <c r="AH168">
        <v>0</v>
      </c>
      <c r="AI168">
        <v>1</v>
      </c>
      <c r="AJ168">
        <v>1.36</v>
      </c>
      <c r="AK168">
        <v>1</v>
      </c>
      <c r="AL168">
        <v>1</v>
      </c>
      <c r="AM168">
        <v>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25.5</v>
      </c>
      <c r="AU168" t="s">
        <v>3</v>
      </c>
      <c r="AV168">
        <v>1</v>
      </c>
      <c r="AW168">
        <v>2</v>
      </c>
      <c r="AX168">
        <v>74016589</v>
      </c>
      <c r="AY168">
        <v>1</v>
      </c>
      <c r="AZ168">
        <v>0</v>
      </c>
      <c r="BA168">
        <v>184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26877.764999999999</v>
      </c>
      <c r="BL168">
        <v>13709.82</v>
      </c>
      <c r="BM168">
        <v>0</v>
      </c>
      <c r="BN168">
        <v>0</v>
      </c>
      <c r="BO168">
        <v>25.5</v>
      </c>
      <c r="BP168">
        <v>1</v>
      </c>
      <c r="BQ168">
        <v>0</v>
      </c>
      <c r="BR168">
        <v>26877.764999999999</v>
      </c>
      <c r="BS168">
        <v>13709.82</v>
      </c>
      <c r="BT168">
        <v>0</v>
      </c>
      <c r="BU168">
        <v>0</v>
      </c>
      <c r="BV168">
        <v>25.5</v>
      </c>
      <c r="BW168">
        <v>1</v>
      </c>
      <c r="CV168">
        <v>0</v>
      </c>
      <c r="CW168">
        <f>ROUND(Y168*Source!I184*DO168,7)</f>
        <v>0.76500000000000001</v>
      </c>
      <c r="CX168">
        <f>ROUND(Y168*Source!I184,7)</f>
        <v>0.76500000000000001</v>
      </c>
      <c r="CY168">
        <f>AB168</f>
        <v>1433.48</v>
      </c>
      <c r="CZ168">
        <f>AF168</f>
        <v>1054.03</v>
      </c>
      <c r="DA168">
        <f>AJ168</f>
        <v>1.36</v>
      </c>
      <c r="DB168">
        <f t="shared" si="60"/>
        <v>26877.77</v>
      </c>
      <c r="DC168">
        <f t="shared" si="61"/>
        <v>13709.82</v>
      </c>
      <c r="DD168" t="s">
        <v>3</v>
      </c>
      <c r="DE168" t="s">
        <v>3</v>
      </c>
      <c r="DF168">
        <f t="shared" si="62"/>
        <v>0</v>
      </c>
      <c r="DG168">
        <f>ROUND(ROUND(AF168*AJ168,2)*CX168,2)</f>
        <v>1096.6099999999999</v>
      </c>
      <c r="DH168">
        <f t="shared" si="45"/>
        <v>411.29</v>
      </c>
      <c r="DI168">
        <f t="shared" si="46"/>
        <v>0</v>
      </c>
      <c r="DJ168">
        <f>DG168+DH168</f>
        <v>1507.8999999999999</v>
      </c>
      <c r="DK168">
        <v>0</v>
      </c>
      <c r="DL168" t="s">
        <v>489</v>
      </c>
      <c r="DM168">
        <v>6</v>
      </c>
      <c r="DN168" t="s">
        <v>484</v>
      </c>
      <c r="DO168">
        <v>1</v>
      </c>
    </row>
    <row r="169" spans="1:119" x14ac:dyDescent="0.2">
      <c r="A169">
        <f>ROW(Source!A185)</f>
        <v>185</v>
      </c>
      <c r="B169">
        <v>74014550</v>
      </c>
      <c r="C169">
        <v>74016590</v>
      </c>
      <c r="D169">
        <v>20049115</v>
      </c>
      <c r="E169">
        <v>119</v>
      </c>
      <c r="F169">
        <v>1</v>
      </c>
      <c r="G169">
        <v>1</v>
      </c>
      <c r="H169">
        <v>1</v>
      </c>
      <c r="I169" t="s">
        <v>482</v>
      </c>
      <c r="J169" t="s">
        <v>3</v>
      </c>
      <c r="K169" t="s">
        <v>483</v>
      </c>
      <c r="L169">
        <v>1191</v>
      </c>
      <c r="N169">
        <v>1013</v>
      </c>
      <c r="O169" t="s">
        <v>484</v>
      </c>
      <c r="P169" t="s">
        <v>484</v>
      </c>
      <c r="Q169">
        <v>1</v>
      </c>
      <c r="W169">
        <v>0</v>
      </c>
      <c r="X169">
        <v>-1417349443</v>
      </c>
      <c r="Y169">
        <f t="shared" si="59"/>
        <v>8.06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1</v>
      </c>
      <c r="AK169">
        <v>1</v>
      </c>
      <c r="AL169">
        <v>1</v>
      </c>
      <c r="AM169">
        <v>-2</v>
      </c>
      <c r="AN169">
        <v>0</v>
      </c>
      <c r="AO169">
        <v>0</v>
      </c>
      <c r="AP169">
        <v>1</v>
      </c>
      <c r="AQ169">
        <v>1</v>
      </c>
      <c r="AR169">
        <v>0</v>
      </c>
      <c r="AS169" t="s">
        <v>3</v>
      </c>
      <c r="AT169">
        <v>8.06</v>
      </c>
      <c r="AU169" t="s">
        <v>3</v>
      </c>
      <c r="AV169">
        <v>2</v>
      </c>
      <c r="AW169">
        <v>2</v>
      </c>
      <c r="AX169">
        <v>74016593</v>
      </c>
      <c r="AY169">
        <v>1</v>
      </c>
      <c r="AZ169">
        <v>0</v>
      </c>
      <c r="BA169">
        <v>185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CV169">
        <v>0</v>
      </c>
      <c r="CW169">
        <v>0</v>
      </c>
      <c r="CX169">
        <f>ROUND(Y169*Source!I185,7)</f>
        <v>0.24179999999999999</v>
      </c>
      <c r="CY169">
        <f>AD169</f>
        <v>0</v>
      </c>
      <c r="CZ169">
        <f>AH169</f>
        <v>0</v>
      </c>
      <c r="DA169">
        <f>AL169</f>
        <v>1</v>
      </c>
      <c r="DB169">
        <f t="shared" si="60"/>
        <v>0</v>
      </c>
      <c r="DC169">
        <f t="shared" si="61"/>
        <v>0</v>
      </c>
      <c r="DD169" t="s">
        <v>3</v>
      </c>
      <c r="DE169" t="s">
        <v>3</v>
      </c>
      <c r="DF169">
        <f t="shared" si="62"/>
        <v>0</v>
      </c>
      <c r="DG169">
        <f>ROUND(ROUND(AF169,2)*CX169,2)</f>
        <v>0</v>
      </c>
      <c r="DH169">
        <f t="shared" si="45"/>
        <v>0</v>
      </c>
      <c r="DI169">
        <f t="shared" si="46"/>
        <v>0</v>
      </c>
      <c r="DJ169">
        <f>DI169</f>
        <v>0</v>
      </c>
      <c r="DK169">
        <v>0</v>
      </c>
      <c r="DL169" t="s">
        <v>3</v>
      </c>
      <c r="DM169">
        <v>0</v>
      </c>
      <c r="DN169" t="s">
        <v>3</v>
      </c>
      <c r="DO169">
        <v>0</v>
      </c>
    </row>
    <row r="170" spans="1:119" x14ac:dyDescent="0.2">
      <c r="A170">
        <f>ROW(Source!A185)</f>
        <v>185</v>
      </c>
      <c r="B170">
        <v>74014550</v>
      </c>
      <c r="C170">
        <v>74016590</v>
      </c>
      <c r="D170">
        <v>72645603</v>
      </c>
      <c r="E170">
        <v>1</v>
      </c>
      <c r="F170">
        <v>1</v>
      </c>
      <c r="G170">
        <v>1</v>
      </c>
      <c r="H170">
        <v>2</v>
      </c>
      <c r="I170" t="s">
        <v>498</v>
      </c>
      <c r="J170" t="s">
        <v>499</v>
      </c>
      <c r="K170" t="s">
        <v>500</v>
      </c>
      <c r="L170">
        <v>1368</v>
      </c>
      <c r="N170">
        <v>1011</v>
      </c>
      <c r="O170" t="s">
        <v>488</v>
      </c>
      <c r="P170" t="s">
        <v>488</v>
      </c>
      <c r="Q170">
        <v>1</v>
      </c>
      <c r="W170">
        <v>0</v>
      </c>
      <c r="X170">
        <v>540934821</v>
      </c>
      <c r="Y170">
        <f t="shared" si="59"/>
        <v>8.06</v>
      </c>
      <c r="AA170">
        <v>0</v>
      </c>
      <c r="AB170">
        <v>1167.71</v>
      </c>
      <c r="AC170">
        <v>459.98</v>
      </c>
      <c r="AD170">
        <v>0</v>
      </c>
      <c r="AE170">
        <v>0</v>
      </c>
      <c r="AF170">
        <v>828.16</v>
      </c>
      <c r="AG170">
        <v>459.98</v>
      </c>
      <c r="AH170">
        <v>0</v>
      </c>
      <c r="AI170">
        <v>1</v>
      </c>
      <c r="AJ170">
        <v>1.41</v>
      </c>
      <c r="AK170">
        <v>1</v>
      </c>
      <c r="AL170">
        <v>1</v>
      </c>
      <c r="AM170">
        <v>2</v>
      </c>
      <c r="AN170">
        <v>0</v>
      </c>
      <c r="AO170">
        <v>0</v>
      </c>
      <c r="AP170">
        <v>1</v>
      </c>
      <c r="AQ170">
        <v>1</v>
      </c>
      <c r="AR170">
        <v>0</v>
      </c>
      <c r="AS170" t="s">
        <v>3</v>
      </c>
      <c r="AT170">
        <v>8.06</v>
      </c>
      <c r="AU170" t="s">
        <v>3</v>
      </c>
      <c r="AV170">
        <v>1</v>
      </c>
      <c r="AW170">
        <v>2</v>
      </c>
      <c r="AX170">
        <v>74016594</v>
      </c>
      <c r="AY170">
        <v>1</v>
      </c>
      <c r="AZ170">
        <v>0</v>
      </c>
      <c r="BA170">
        <v>186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6674.9696000000004</v>
      </c>
      <c r="BL170">
        <v>3707.4388000000004</v>
      </c>
      <c r="BM170">
        <v>0</v>
      </c>
      <c r="BN170">
        <v>0</v>
      </c>
      <c r="BO170">
        <v>8.06</v>
      </c>
      <c r="BP170">
        <v>1</v>
      </c>
      <c r="BQ170">
        <v>0</v>
      </c>
      <c r="BR170">
        <v>6674.9696000000004</v>
      </c>
      <c r="BS170">
        <v>3707.4388000000004</v>
      </c>
      <c r="BT170">
        <v>0</v>
      </c>
      <c r="BU170">
        <v>0</v>
      </c>
      <c r="BV170">
        <v>8.06</v>
      </c>
      <c r="BW170">
        <v>1</v>
      </c>
      <c r="CV170">
        <v>0</v>
      </c>
      <c r="CW170">
        <f>ROUND(Y170*Source!I185*DO170,7)</f>
        <v>0.24179999999999999</v>
      </c>
      <c r="CX170">
        <f>ROUND(Y170*Source!I185,7)</f>
        <v>0.24179999999999999</v>
      </c>
      <c r="CY170">
        <f>AB170</f>
        <v>1167.71</v>
      </c>
      <c r="CZ170">
        <f>AF170</f>
        <v>828.16</v>
      </c>
      <c r="DA170">
        <f>AJ170</f>
        <v>1.41</v>
      </c>
      <c r="DB170">
        <f t="shared" si="60"/>
        <v>6674.97</v>
      </c>
      <c r="DC170">
        <f t="shared" si="61"/>
        <v>3707.44</v>
      </c>
      <c r="DD170" t="s">
        <v>3</v>
      </c>
      <c r="DE170" t="s">
        <v>3</v>
      </c>
      <c r="DF170">
        <f t="shared" si="62"/>
        <v>0</v>
      </c>
      <c r="DG170">
        <f>ROUND(ROUND(AF170*AJ170,2)*CX170,2)</f>
        <v>282.35000000000002</v>
      </c>
      <c r="DH170">
        <f t="shared" si="45"/>
        <v>111.22</v>
      </c>
      <c r="DI170">
        <f t="shared" si="46"/>
        <v>0</v>
      </c>
      <c r="DJ170">
        <f>DG170+DH170</f>
        <v>393.57000000000005</v>
      </c>
      <c r="DK170">
        <v>0</v>
      </c>
      <c r="DL170" t="s">
        <v>497</v>
      </c>
      <c r="DM170">
        <v>5</v>
      </c>
      <c r="DN170" t="s">
        <v>484</v>
      </c>
      <c r="DO170">
        <v>1</v>
      </c>
    </row>
    <row r="171" spans="1:119" x14ac:dyDescent="0.2">
      <c r="A171">
        <f>ROW(Source!A186)</f>
        <v>186</v>
      </c>
      <c r="B171">
        <v>74014550</v>
      </c>
      <c r="C171">
        <v>74016595</v>
      </c>
      <c r="D171">
        <v>20054416</v>
      </c>
      <c r="E171">
        <v>119</v>
      </c>
      <c r="F171">
        <v>1</v>
      </c>
      <c r="G171">
        <v>1</v>
      </c>
      <c r="H171">
        <v>1</v>
      </c>
      <c r="I171" t="s">
        <v>711</v>
      </c>
      <c r="J171" t="s">
        <v>3</v>
      </c>
      <c r="K171" t="s">
        <v>712</v>
      </c>
      <c r="L171">
        <v>1191</v>
      </c>
      <c r="N171">
        <v>1013</v>
      </c>
      <c r="O171" t="s">
        <v>484</v>
      </c>
      <c r="P171" t="s">
        <v>484</v>
      </c>
      <c r="Q171">
        <v>1</v>
      </c>
      <c r="W171">
        <v>0</v>
      </c>
      <c r="X171">
        <v>303490689</v>
      </c>
      <c r="Y171">
        <f t="shared" ref="Y171:Y182" si="63">(AT171*ROUND(0.5,7))</f>
        <v>0.495</v>
      </c>
      <c r="AA171">
        <v>0</v>
      </c>
      <c r="AB171">
        <v>0</v>
      </c>
      <c r="AC171">
        <v>0</v>
      </c>
      <c r="AD171">
        <v>454.01</v>
      </c>
      <c r="AE171">
        <v>0</v>
      </c>
      <c r="AF171">
        <v>0</v>
      </c>
      <c r="AG171">
        <v>0</v>
      </c>
      <c r="AH171">
        <v>454.01</v>
      </c>
      <c r="AI171">
        <v>1</v>
      </c>
      <c r="AJ171">
        <v>1</v>
      </c>
      <c r="AK171">
        <v>1</v>
      </c>
      <c r="AL171">
        <v>1</v>
      </c>
      <c r="AM171">
        <v>-2</v>
      </c>
      <c r="AN171">
        <v>0</v>
      </c>
      <c r="AO171">
        <v>0</v>
      </c>
      <c r="AP171">
        <v>1</v>
      </c>
      <c r="AQ171">
        <v>1</v>
      </c>
      <c r="AR171">
        <v>0</v>
      </c>
      <c r="AS171" t="s">
        <v>3</v>
      </c>
      <c r="AT171">
        <v>0.99</v>
      </c>
      <c r="AU171" t="s">
        <v>323</v>
      </c>
      <c r="AV171">
        <v>1</v>
      </c>
      <c r="AW171">
        <v>2</v>
      </c>
      <c r="AX171">
        <v>74016608</v>
      </c>
      <c r="AY171">
        <v>1</v>
      </c>
      <c r="AZ171">
        <v>0</v>
      </c>
      <c r="BA171">
        <v>187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449.4699</v>
      </c>
      <c r="BN171">
        <v>0.99</v>
      </c>
      <c r="BO171">
        <v>0</v>
      </c>
      <c r="BP171">
        <v>1</v>
      </c>
      <c r="BQ171">
        <v>0</v>
      </c>
      <c r="BR171">
        <v>0</v>
      </c>
      <c r="BS171">
        <v>0</v>
      </c>
      <c r="BT171">
        <v>224.73495</v>
      </c>
      <c r="BU171">
        <v>0.495</v>
      </c>
      <c r="BV171">
        <v>0</v>
      </c>
      <c r="BW171">
        <v>1</v>
      </c>
      <c r="CU171">
        <f>ROUND(AT171*Source!I186*AH171*AL171,2)</f>
        <v>9438.8700000000008</v>
      </c>
      <c r="CV171">
        <f>ROUND(Y171*Source!I186,7)</f>
        <v>10.395</v>
      </c>
      <c r="CW171">
        <v>0</v>
      </c>
      <c r="CX171">
        <f>ROUND(Y171*Source!I186,7)</f>
        <v>10.395</v>
      </c>
      <c r="CY171">
        <f>AD171</f>
        <v>454.01</v>
      </c>
      <c r="CZ171">
        <f>AH171</f>
        <v>454.01</v>
      </c>
      <c r="DA171">
        <f>AL171</f>
        <v>1</v>
      </c>
      <c r="DB171">
        <f t="shared" ref="DB171:DB182" si="64">ROUND((ROUND(AT171*CZ171,2)*ROUND(0.5,7)),6)</f>
        <v>224.73500000000001</v>
      </c>
      <c r="DC171">
        <f t="shared" ref="DC171:DC182" si="65">ROUND((ROUND(AT171*AG171,2)*ROUND(0.5,7)),6)</f>
        <v>0</v>
      </c>
      <c r="DD171" t="s">
        <v>3</v>
      </c>
      <c r="DE171" t="s">
        <v>3</v>
      </c>
      <c r="DF171">
        <f t="shared" si="62"/>
        <v>0</v>
      </c>
      <c r="DG171">
        <f>ROUND(ROUND(AF171,2)*CX171,2)</f>
        <v>0</v>
      </c>
      <c r="DH171">
        <f t="shared" si="45"/>
        <v>0</v>
      </c>
      <c r="DI171">
        <f t="shared" si="46"/>
        <v>4719.43</v>
      </c>
      <c r="DJ171">
        <f>DI171</f>
        <v>4719.43</v>
      </c>
      <c r="DK171">
        <v>1</v>
      </c>
      <c r="DL171" t="s">
        <v>3</v>
      </c>
      <c r="DM171">
        <v>0</v>
      </c>
      <c r="DN171" t="s">
        <v>3</v>
      </c>
      <c r="DO171">
        <v>0</v>
      </c>
    </row>
    <row r="172" spans="1:119" x14ac:dyDescent="0.2">
      <c r="A172">
        <f>ROW(Source!A186)</f>
        <v>186</v>
      </c>
      <c r="B172">
        <v>74014550</v>
      </c>
      <c r="C172">
        <v>74016595</v>
      </c>
      <c r="D172">
        <v>20049115</v>
      </c>
      <c r="E172">
        <v>119</v>
      </c>
      <c r="F172">
        <v>1</v>
      </c>
      <c r="G172">
        <v>1</v>
      </c>
      <c r="H172">
        <v>1</v>
      </c>
      <c r="I172" t="s">
        <v>482</v>
      </c>
      <c r="J172" t="s">
        <v>3</v>
      </c>
      <c r="K172" t="s">
        <v>483</v>
      </c>
      <c r="L172">
        <v>1191</v>
      </c>
      <c r="N172">
        <v>1013</v>
      </c>
      <c r="O172" t="s">
        <v>484</v>
      </c>
      <c r="P172" t="s">
        <v>484</v>
      </c>
      <c r="Q172">
        <v>1</v>
      </c>
      <c r="W172">
        <v>0</v>
      </c>
      <c r="X172">
        <v>-1417349443</v>
      </c>
      <c r="Y172">
        <f t="shared" si="63"/>
        <v>0.56999999999999995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  <c r="AL172">
        <v>1</v>
      </c>
      <c r="AM172">
        <v>-2</v>
      </c>
      <c r="AN172">
        <v>0</v>
      </c>
      <c r="AO172">
        <v>0</v>
      </c>
      <c r="AP172">
        <v>1</v>
      </c>
      <c r="AQ172">
        <v>1</v>
      </c>
      <c r="AR172">
        <v>0</v>
      </c>
      <c r="AS172" t="s">
        <v>3</v>
      </c>
      <c r="AT172">
        <v>1.1399999999999999</v>
      </c>
      <c r="AU172" t="s">
        <v>323</v>
      </c>
      <c r="AV172">
        <v>2</v>
      </c>
      <c r="AW172">
        <v>2</v>
      </c>
      <c r="AX172">
        <v>74016609</v>
      </c>
      <c r="AY172">
        <v>1</v>
      </c>
      <c r="AZ172">
        <v>0</v>
      </c>
      <c r="BA172">
        <v>188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CV172">
        <v>0</v>
      </c>
      <c r="CW172">
        <v>0</v>
      </c>
      <c r="CX172">
        <f>ROUND(Y172*Source!I186,7)</f>
        <v>11.97</v>
      </c>
      <c r="CY172">
        <f>AD172</f>
        <v>0</v>
      </c>
      <c r="CZ172">
        <f>AH172</f>
        <v>0</v>
      </c>
      <c r="DA172">
        <f>AL172</f>
        <v>1</v>
      </c>
      <c r="DB172">
        <f t="shared" si="64"/>
        <v>0</v>
      </c>
      <c r="DC172">
        <f t="shared" si="65"/>
        <v>0</v>
      </c>
      <c r="DD172" t="s">
        <v>3</v>
      </c>
      <c r="DE172" t="s">
        <v>3</v>
      </c>
      <c r="DF172">
        <f t="shared" si="62"/>
        <v>0</v>
      </c>
      <c r="DG172">
        <f>ROUND(ROUND(AF172,2)*CX172,2)</f>
        <v>0</v>
      </c>
      <c r="DH172">
        <f t="shared" si="45"/>
        <v>0</v>
      </c>
      <c r="DI172">
        <f t="shared" si="46"/>
        <v>0</v>
      </c>
      <c r="DJ172">
        <f>DI172</f>
        <v>0</v>
      </c>
      <c r="DK172">
        <v>0</v>
      </c>
      <c r="DL172" t="s">
        <v>3</v>
      </c>
      <c r="DM172">
        <v>0</v>
      </c>
      <c r="DN172" t="s">
        <v>3</v>
      </c>
      <c r="DO172">
        <v>0</v>
      </c>
    </row>
    <row r="173" spans="1:119" x14ac:dyDescent="0.2">
      <c r="A173">
        <f>ROW(Source!A186)</f>
        <v>186</v>
      </c>
      <c r="B173">
        <v>74014550</v>
      </c>
      <c r="C173">
        <v>74016595</v>
      </c>
      <c r="D173">
        <v>72645965</v>
      </c>
      <c r="E173">
        <v>1</v>
      </c>
      <c r="F173">
        <v>1</v>
      </c>
      <c r="G173">
        <v>1</v>
      </c>
      <c r="H173">
        <v>2</v>
      </c>
      <c r="I173" t="s">
        <v>713</v>
      </c>
      <c r="J173" t="s">
        <v>714</v>
      </c>
      <c r="K173" t="s">
        <v>715</v>
      </c>
      <c r="L173">
        <v>1368</v>
      </c>
      <c r="N173">
        <v>1011</v>
      </c>
      <c r="O173" t="s">
        <v>488</v>
      </c>
      <c r="P173" t="s">
        <v>488</v>
      </c>
      <c r="Q173">
        <v>1</v>
      </c>
      <c r="W173">
        <v>0</v>
      </c>
      <c r="X173">
        <v>1012863021</v>
      </c>
      <c r="Y173">
        <f t="shared" si="63"/>
        <v>0.23</v>
      </c>
      <c r="AA173">
        <v>0</v>
      </c>
      <c r="AB173">
        <v>2105.46</v>
      </c>
      <c r="AC173">
        <v>537.64</v>
      </c>
      <c r="AD173">
        <v>0</v>
      </c>
      <c r="AE173">
        <v>0</v>
      </c>
      <c r="AF173">
        <v>1503.9</v>
      </c>
      <c r="AG173">
        <v>537.64</v>
      </c>
      <c r="AH173">
        <v>0</v>
      </c>
      <c r="AI173">
        <v>1</v>
      </c>
      <c r="AJ173">
        <v>1.4</v>
      </c>
      <c r="AK173">
        <v>1</v>
      </c>
      <c r="AL173">
        <v>1</v>
      </c>
      <c r="AM173">
        <v>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0.46</v>
      </c>
      <c r="AU173" t="s">
        <v>323</v>
      </c>
      <c r="AV173">
        <v>1</v>
      </c>
      <c r="AW173">
        <v>2</v>
      </c>
      <c r="AX173">
        <v>74016610</v>
      </c>
      <c r="AY173">
        <v>1</v>
      </c>
      <c r="AZ173">
        <v>0</v>
      </c>
      <c r="BA173">
        <v>189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691.7940000000001</v>
      </c>
      <c r="BL173">
        <v>247.31440000000001</v>
      </c>
      <c r="BM173">
        <v>0</v>
      </c>
      <c r="BN173">
        <v>0</v>
      </c>
      <c r="BO173">
        <v>0.46</v>
      </c>
      <c r="BP173">
        <v>1</v>
      </c>
      <c r="BQ173">
        <v>0</v>
      </c>
      <c r="BR173">
        <v>345.89700000000005</v>
      </c>
      <c r="BS173">
        <v>123.6572</v>
      </c>
      <c r="BT173">
        <v>0</v>
      </c>
      <c r="BU173">
        <v>0</v>
      </c>
      <c r="BV173">
        <v>0.23</v>
      </c>
      <c r="BW173">
        <v>1</v>
      </c>
      <c r="CV173">
        <v>0</v>
      </c>
      <c r="CW173">
        <f>ROUND(Y173*Source!I186*DO173,7)</f>
        <v>4.83</v>
      </c>
      <c r="CX173">
        <f>ROUND(Y173*Source!I186,7)</f>
        <v>4.83</v>
      </c>
      <c r="CY173">
        <f t="shared" ref="CY173:CY179" si="66">AB173</f>
        <v>2105.46</v>
      </c>
      <c r="CZ173">
        <f t="shared" ref="CZ173:CZ179" si="67">AF173</f>
        <v>1503.9</v>
      </c>
      <c r="DA173">
        <f t="shared" ref="DA173:DA179" si="68">AJ173</f>
        <v>1.4</v>
      </c>
      <c r="DB173">
        <f t="shared" si="64"/>
        <v>345.89499999999998</v>
      </c>
      <c r="DC173">
        <f t="shared" si="65"/>
        <v>123.655</v>
      </c>
      <c r="DD173" t="s">
        <v>3</v>
      </c>
      <c r="DE173" t="s">
        <v>3</v>
      </c>
      <c r="DF173">
        <f t="shared" si="62"/>
        <v>0</v>
      </c>
      <c r="DG173">
        <f>ROUND(ROUND(AF173*AJ173,2)*CX173,2)</f>
        <v>10169.370000000001</v>
      </c>
      <c r="DH173">
        <f t="shared" si="45"/>
        <v>2596.8000000000002</v>
      </c>
      <c r="DI173">
        <f t="shared" si="46"/>
        <v>0</v>
      </c>
      <c r="DJ173">
        <f t="shared" ref="DJ173:DJ179" si="69">DG173+DH173</f>
        <v>12766.170000000002</v>
      </c>
      <c r="DK173">
        <v>0</v>
      </c>
      <c r="DL173" t="s">
        <v>489</v>
      </c>
      <c r="DM173">
        <v>6</v>
      </c>
      <c r="DN173" t="s">
        <v>484</v>
      </c>
      <c r="DO173">
        <v>1</v>
      </c>
    </row>
    <row r="174" spans="1:119" x14ac:dyDescent="0.2">
      <c r="A174">
        <f>ROW(Source!A186)</f>
        <v>186</v>
      </c>
      <c r="B174">
        <v>74014550</v>
      </c>
      <c r="C174">
        <v>74016595</v>
      </c>
      <c r="D174">
        <v>72646037</v>
      </c>
      <c r="E174">
        <v>1</v>
      </c>
      <c r="F174">
        <v>1</v>
      </c>
      <c r="G174">
        <v>1</v>
      </c>
      <c r="H174">
        <v>2</v>
      </c>
      <c r="I174" t="s">
        <v>636</v>
      </c>
      <c r="J174" t="s">
        <v>637</v>
      </c>
      <c r="K174" t="s">
        <v>638</v>
      </c>
      <c r="L174">
        <v>1368</v>
      </c>
      <c r="N174">
        <v>1011</v>
      </c>
      <c r="O174" t="s">
        <v>488</v>
      </c>
      <c r="P174" t="s">
        <v>488</v>
      </c>
      <c r="Q174">
        <v>1</v>
      </c>
      <c r="W174">
        <v>0</v>
      </c>
      <c r="X174">
        <v>-1791740122</v>
      </c>
      <c r="Y174">
        <f t="shared" si="63"/>
        <v>5.0000000000000001E-4</v>
      </c>
      <c r="AA174">
        <v>0</v>
      </c>
      <c r="AB174">
        <v>1836.16</v>
      </c>
      <c r="AC174">
        <v>537.64</v>
      </c>
      <c r="AD174">
        <v>0</v>
      </c>
      <c r="AE174">
        <v>0</v>
      </c>
      <c r="AF174">
        <v>1836.16</v>
      </c>
      <c r="AG174">
        <v>537.64</v>
      </c>
      <c r="AH174">
        <v>0</v>
      </c>
      <c r="AI174">
        <v>1</v>
      </c>
      <c r="AJ174">
        <v>1</v>
      </c>
      <c r="AK174">
        <v>1</v>
      </c>
      <c r="AL174">
        <v>1</v>
      </c>
      <c r="AM174">
        <v>-2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1E-3</v>
      </c>
      <c r="AU174" t="s">
        <v>323</v>
      </c>
      <c r="AV174">
        <v>1</v>
      </c>
      <c r="AW174">
        <v>2</v>
      </c>
      <c r="AX174">
        <v>74016611</v>
      </c>
      <c r="AY174">
        <v>1</v>
      </c>
      <c r="AZ174">
        <v>0</v>
      </c>
      <c r="BA174">
        <v>190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1.83616</v>
      </c>
      <c r="BL174">
        <v>0.53764000000000001</v>
      </c>
      <c r="BM174">
        <v>0</v>
      </c>
      <c r="BN174">
        <v>0</v>
      </c>
      <c r="BO174">
        <v>1E-3</v>
      </c>
      <c r="BP174">
        <v>1</v>
      </c>
      <c r="BQ174">
        <v>0</v>
      </c>
      <c r="BR174">
        <v>0.91808000000000001</v>
      </c>
      <c r="BS174">
        <v>0.26882</v>
      </c>
      <c r="BT174">
        <v>0</v>
      </c>
      <c r="BU174">
        <v>0</v>
      </c>
      <c r="BV174">
        <v>5.0000000000000001E-4</v>
      </c>
      <c r="BW174">
        <v>1</v>
      </c>
      <c r="CV174">
        <v>0</v>
      </c>
      <c r="CW174">
        <f>ROUND(Y174*Source!I186*DO174,7)</f>
        <v>1.0500000000000001E-2</v>
      </c>
      <c r="CX174">
        <f>ROUND(Y174*Source!I186,7)</f>
        <v>1.0500000000000001E-2</v>
      </c>
      <c r="CY174">
        <f t="shared" si="66"/>
        <v>1836.16</v>
      </c>
      <c r="CZ174">
        <f t="shared" si="67"/>
        <v>1836.16</v>
      </c>
      <c r="DA174">
        <f t="shared" si="68"/>
        <v>1</v>
      </c>
      <c r="DB174">
        <f t="shared" si="64"/>
        <v>0.92</v>
      </c>
      <c r="DC174">
        <f t="shared" si="65"/>
        <v>0.27</v>
      </c>
      <c r="DD174" t="s">
        <v>3</v>
      </c>
      <c r="DE174" t="s">
        <v>3</v>
      </c>
      <c r="DF174">
        <f t="shared" si="62"/>
        <v>0</v>
      </c>
      <c r="DG174">
        <f>ROUND(ROUND(AF174,2)*CX174,2)</f>
        <v>19.28</v>
      </c>
      <c r="DH174">
        <f t="shared" si="45"/>
        <v>5.65</v>
      </c>
      <c r="DI174">
        <f t="shared" si="46"/>
        <v>0</v>
      </c>
      <c r="DJ174">
        <f t="shared" si="69"/>
        <v>24.93</v>
      </c>
      <c r="DK174">
        <v>1</v>
      </c>
      <c r="DL174" t="s">
        <v>489</v>
      </c>
      <c r="DM174">
        <v>6</v>
      </c>
      <c r="DN174" t="s">
        <v>484</v>
      </c>
      <c r="DO174">
        <v>1</v>
      </c>
    </row>
    <row r="175" spans="1:119" x14ac:dyDescent="0.2">
      <c r="A175">
        <f>ROW(Source!A186)</f>
        <v>186</v>
      </c>
      <c r="B175">
        <v>74014550</v>
      </c>
      <c r="C175">
        <v>74016595</v>
      </c>
      <c r="D175">
        <v>72646308</v>
      </c>
      <c r="E175">
        <v>1</v>
      </c>
      <c r="F175">
        <v>1</v>
      </c>
      <c r="G175">
        <v>1</v>
      </c>
      <c r="H175">
        <v>2</v>
      </c>
      <c r="I175" t="s">
        <v>716</v>
      </c>
      <c r="J175" t="s">
        <v>717</v>
      </c>
      <c r="K175" t="s">
        <v>718</v>
      </c>
      <c r="L175">
        <v>1368</v>
      </c>
      <c r="N175">
        <v>1011</v>
      </c>
      <c r="O175" t="s">
        <v>488</v>
      </c>
      <c r="P175" t="s">
        <v>488</v>
      </c>
      <c r="Q175">
        <v>1</v>
      </c>
      <c r="W175">
        <v>0</v>
      </c>
      <c r="X175">
        <v>-1149557275</v>
      </c>
      <c r="Y175">
        <f t="shared" si="63"/>
        <v>0.23</v>
      </c>
      <c r="AA175">
        <v>0</v>
      </c>
      <c r="AB175">
        <v>1970.03</v>
      </c>
      <c r="AC175">
        <v>459.98</v>
      </c>
      <c r="AD175">
        <v>0</v>
      </c>
      <c r="AE175">
        <v>0</v>
      </c>
      <c r="AF175">
        <v>1459.28</v>
      </c>
      <c r="AG175">
        <v>459.98</v>
      </c>
      <c r="AH175">
        <v>0</v>
      </c>
      <c r="AI175">
        <v>1</v>
      </c>
      <c r="AJ175">
        <v>1.35</v>
      </c>
      <c r="AK175">
        <v>1</v>
      </c>
      <c r="AL175">
        <v>1</v>
      </c>
      <c r="AM175">
        <v>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0.46</v>
      </c>
      <c r="AU175" t="s">
        <v>323</v>
      </c>
      <c r="AV175">
        <v>1</v>
      </c>
      <c r="AW175">
        <v>2</v>
      </c>
      <c r="AX175">
        <v>74016612</v>
      </c>
      <c r="AY175">
        <v>1</v>
      </c>
      <c r="AZ175">
        <v>0</v>
      </c>
      <c r="BA175">
        <v>191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671.26880000000006</v>
      </c>
      <c r="BL175">
        <v>211.59080000000003</v>
      </c>
      <c r="BM175">
        <v>0</v>
      </c>
      <c r="BN175">
        <v>0</v>
      </c>
      <c r="BO175">
        <v>0.46</v>
      </c>
      <c r="BP175">
        <v>1</v>
      </c>
      <c r="BQ175">
        <v>0</v>
      </c>
      <c r="BR175">
        <v>335.63440000000003</v>
      </c>
      <c r="BS175">
        <v>105.79540000000001</v>
      </c>
      <c r="BT175">
        <v>0</v>
      </c>
      <c r="BU175">
        <v>0</v>
      </c>
      <c r="BV175">
        <v>0.23</v>
      </c>
      <c r="BW175">
        <v>1</v>
      </c>
      <c r="CV175">
        <v>0</v>
      </c>
      <c r="CW175">
        <f>ROUND(Y175*Source!I186*DO175,7)</f>
        <v>4.83</v>
      </c>
      <c r="CX175">
        <f>ROUND(Y175*Source!I186,7)</f>
        <v>4.83</v>
      </c>
      <c r="CY175">
        <f t="shared" si="66"/>
        <v>1970.03</v>
      </c>
      <c r="CZ175">
        <f t="shared" si="67"/>
        <v>1459.28</v>
      </c>
      <c r="DA175">
        <f t="shared" si="68"/>
        <v>1.35</v>
      </c>
      <c r="DB175">
        <f t="shared" si="64"/>
        <v>335.63499999999999</v>
      </c>
      <c r="DC175">
        <f t="shared" si="65"/>
        <v>105.795</v>
      </c>
      <c r="DD175" t="s">
        <v>3</v>
      </c>
      <c r="DE175" t="s">
        <v>3</v>
      </c>
      <c r="DF175">
        <f t="shared" si="62"/>
        <v>0</v>
      </c>
      <c r="DG175">
        <f>ROUND(ROUND(AF175*AJ175,2)*CX175,2)</f>
        <v>9515.24</v>
      </c>
      <c r="DH175">
        <f t="shared" si="45"/>
        <v>2221.6999999999998</v>
      </c>
      <c r="DI175">
        <f t="shared" si="46"/>
        <v>0</v>
      </c>
      <c r="DJ175">
        <f t="shared" si="69"/>
        <v>11736.939999999999</v>
      </c>
      <c r="DK175">
        <v>0</v>
      </c>
      <c r="DL175" t="s">
        <v>497</v>
      </c>
      <c r="DM175">
        <v>5</v>
      </c>
      <c r="DN175" t="s">
        <v>484</v>
      </c>
      <c r="DO175">
        <v>1</v>
      </c>
    </row>
    <row r="176" spans="1:119" x14ac:dyDescent="0.2">
      <c r="A176">
        <f>ROW(Source!A186)</f>
        <v>186</v>
      </c>
      <c r="B176">
        <v>74014550</v>
      </c>
      <c r="C176">
        <v>74016595</v>
      </c>
      <c r="D176">
        <v>72646682</v>
      </c>
      <c r="E176">
        <v>1</v>
      </c>
      <c r="F176">
        <v>1</v>
      </c>
      <c r="G176">
        <v>1</v>
      </c>
      <c r="H176">
        <v>2</v>
      </c>
      <c r="I176" t="s">
        <v>505</v>
      </c>
      <c r="J176" t="s">
        <v>506</v>
      </c>
      <c r="K176" t="s">
        <v>507</v>
      </c>
      <c r="L176">
        <v>1368</v>
      </c>
      <c r="N176">
        <v>1011</v>
      </c>
      <c r="O176" t="s">
        <v>488</v>
      </c>
      <c r="P176" t="s">
        <v>488</v>
      </c>
      <c r="Q176">
        <v>1</v>
      </c>
      <c r="W176">
        <v>0</v>
      </c>
      <c r="X176">
        <v>-733090258</v>
      </c>
      <c r="Y176">
        <f t="shared" si="63"/>
        <v>0.1</v>
      </c>
      <c r="AA176">
        <v>0</v>
      </c>
      <c r="AB176">
        <v>1172.93</v>
      </c>
      <c r="AC176">
        <v>459.98</v>
      </c>
      <c r="AD176">
        <v>0</v>
      </c>
      <c r="AE176">
        <v>0</v>
      </c>
      <c r="AF176">
        <v>994.01</v>
      </c>
      <c r="AG176">
        <v>459.98</v>
      </c>
      <c r="AH176">
        <v>0</v>
      </c>
      <c r="AI176">
        <v>1</v>
      </c>
      <c r="AJ176">
        <v>1.18</v>
      </c>
      <c r="AK176">
        <v>1</v>
      </c>
      <c r="AL176">
        <v>1</v>
      </c>
      <c r="AM176">
        <v>2</v>
      </c>
      <c r="AN176">
        <v>0</v>
      </c>
      <c r="AO176">
        <v>0</v>
      </c>
      <c r="AP176">
        <v>1</v>
      </c>
      <c r="AQ176">
        <v>1</v>
      </c>
      <c r="AR176">
        <v>0</v>
      </c>
      <c r="AS176" t="s">
        <v>3</v>
      </c>
      <c r="AT176">
        <v>0.2</v>
      </c>
      <c r="AU176" t="s">
        <v>323</v>
      </c>
      <c r="AV176">
        <v>1</v>
      </c>
      <c r="AW176">
        <v>2</v>
      </c>
      <c r="AX176">
        <v>74016613</v>
      </c>
      <c r="AY176">
        <v>1</v>
      </c>
      <c r="AZ176">
        <v>0</v>
      </c>
      <c r="BA176">
        <v>192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198.80200000000002</v>
      </c>
      <c r="BL176">
        <v>91.996000000000009</v>
      </c>
      <c r="BM176">
        <v>0</v>
      </c>
      <c r="BN176">
        <v>0</v>
      </c>
      <c r="BO176">
        <v>0.2</v>
      </c>
      <c r="BP176">
        <v>1</v>
      </c>
      <c r="BQ176">
        <v>0</v>
      </c>
      <c r="BR176">
        <v>99.40100000000001</v>
      </c>
      <c r="BS176">
        <v>45.998000000000005</v>
      </c>
      <c r="BT176">
        <v>0</v>
      </c>
      <c r="BU176">
        <v>0</v>
      </c>
      <c r="BV176">
        <v>0.1</v>
      </c>
      <c r="BW176">
        <v>1</v>
      </c>
      <c r="CV176">
        <v>0</v>
      </c>
      <c r="CW176">
        <f>ROUND(Y176*Source!I186*DO176,7)</f>
        <v>2.1</v>
      </c>
      <c r="CX176">
        <f>ROUND(Y176*Source!I186,7)</f>
        <v>2.1</v>
      </c>
      <c r="CY176">
        <f t="shared" si="66"/>
        <v>1172.93</v>
      </c>
      <c r="CZ176">
        <f t="shared" si="67"/>
        <v>994.01</v>
      </c>
      <c r="DA176">
        <f t="shared" si="68"/>
        <v>1.18</v>
      </c>
      <c r="DB176">
        <f t="shared" si="64"/>
        <v>99.4</v>
      </c>
      <c r="DC176">
        <f t="shared" si="65"/>
        <v>46</v>
      </c>
      <c r="DD176" t="s">
        <v>3</v>
      </c>
      <c r="DE176" t="s">
        <v>3</v>
      </c>
      <c r="DF176">
        <f t="shared" si="62"/>
        <v>0</v>
      </c>
      <c r="DG176">
        <f>ROUND(ROUND(AF176*AJ176,2)*CX176,2)</f>
        <v>2463.15</v>
      </c>
      <c r="DH176">
        <f t="shared" si="45"/>
        <v>965.96</v>
      </c>
      <c r="DI176">
        <f t="shared" si="46"/>
        <v>0</v>
      </c>
      <c r="DJ176">
        <f t="shared" si="69"/>
        <v>3429.11</v>
      </c>
      <c r="DK176">
        <v>0</v>
      </c>
      <c r="DL176" t="s">
        <v>497</v>
      </c>
      <c r="DM176">
        <v>5</v>
      </c>
      <c r="DN176" t="s">
        <v>484</v>
      </c>
      <c r="DO176">
        <v>1</v>
      </c>
    </row>
    <row r="177" spans="1:119" x14ac:dyDescent="0.2">
      <c r="A177">
        <f>ROW(Source!A186)</f>
        <v>186</v>
      </c>
      <c r="B177">
        <v>74014550</v>
      </c>
      <c r="C177">
        <v>74016595</v>
      </c>
      <c r="D177">
        <v>72646901</v>
      </c>
      <c r="E177">
        <v>1</v>
      </c>
      <c r="F177">
        <v>1</v>
      </c>
      <c r="G177">
        <v>1</v>
      </c>
      <c r="H177">
        <v>2</v>
      </c>
      <c r="I177" t="s">
        <v>719</v>
      </c>
      <c r="J177" t="s">
        <v>720</v>
      </c>
      <c r="K177" t="s">
        <v>721</v>
      </c>
      <c r="L177">
        <v>1368</v>
      </c>
      <c r="N177">
        <v>1011</v>
      </c>
      <c r="O177" t="s">
        <v>488</v>
      </c>
      <c r="P177" t="s">
        <v>488</v>
      </c>
      <c r="Q177">
        <v>1</v>
      </c>
      <c r="W177">
        <v>0</v>
      </c>
      <c r="X177">
        <v>1858422223</v>
      </c>
      <c r="Y177">
        <f t="shared" si="63"/>
        <v>5.0000000000000001E-3</v>
      </c>
      <c r="AA177">
        <v>0</v>
      </c>
      <c r="AB177">
        <v>1478.45</v>
      </c>
      <c r="AC177">
        <v>400.24</v>
      </c>
      <c r="AD177">
        <v>0</v>
      </c>
      <c r="AE177">
        <v>0</v>
      </c>
      <c r="AF177">
        <v>1478.45</v>
      </c>
      <c r="AG177">
        <v>400.24</v>
      </c>
      <c r="AH177">
        <v>0</v>
      </c>
      <c r="AI177">
        <v>1</v>
      </c>
      <c r="AJ177">
        <v>1</v>
      </c>
      <c r="AK177">
        <v>1</v>
      </c>
      <c r="AL177">
        <v>1</v>
      </c>
      <c r="AM177">
        <v>-2</v>
      </c>
      <c r="AN177">
        <v>0</v>
      </c>
      <c r="AO177">
        <v>0</v>
      </c>
      <c r="AP177">
        <v>1</v>
      </c>
      <c r="AQ177">
        <v>1</v>
      </c>
      <c r="AR177">
        <v>0</v>
      </c>
      <c r="AS177" t="s">
        <v>3</v>
      </c>
      <c r="AT177">
        <v>0.01</v>
      </c>
      <c r="AU177" t="s">
        <v>323</v>
      </c>
      <c r="AV177">
        <v>1</v>
      </c>
      <c r="AW177">
        <v>2</v>
      </c>
      <c r="AX177">
        <v>74016614</v>
      </c>
      <c r="AY177">
        <v>1</v>
      </c>
      <c r="AZ177">
        <v>0</v>
      </c>
      <c r="BA177">
        <v>193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14.784500000000001</v>
      </c>
      <c r="BL177">
        <v>4.0023999999999997</v>
      </c>
      <c r="BM177">
        <v>0</v>
      </c>
      <c r="BN177">
        <v>0</v>
      </c>
      <c r="BO177">
        <v>0.01</v>
      </c>
      <c r="BP177">
        <v>1</v>
      </c>
      <c r="BQ177">
        <v>0</v>
      </c>
      <c r="BR177">
        <v>7.3922500000000007</v>
      </c>
      <c r="BS177">
        <v>2.0011999999999999</v>
      </c>
      <c r="BT177">
        <v>0</v>
      </c>
      <c r="BU177">
        <v>0</v>
      </c>
      <c r="BV177">
        <v>5.0000000000000001E-3</v>
      </c>
      <c r="BW177">
        <v>1</v>
      </c>
      <c r="CV177">
        <v>0</v>
      </c>
      <c r="CW177">
        <f>ROUND(Y177*Source!I186*DO177,7)</f>
        <v>0.105</v>
      </c>
      <c r="CX177">
        <f>ROUND(Y177*Source!I186,7)</f>
        <v>0.105</v>
      </c>
      <c r="CY177">
        <f t="shared" si="66"/>
        <v>1478.45</v>
      </c>
      <c r="CZ177">
        <f t="shared" si="67"/>
        <v>1478.45</v>
      </c>
      <c r="DA177">
        <f t="shared" si="68"/>
        <v>1</v>
      </c>
      <c r="DB177">
        <f t="shared" si="64"/>
        <v>7.39</v>
      </c>
      <c r="DC177">
        <f t="shared" si="65"/>
        <v>2</v>
      </c>
      <c r="DD177" t="s">
        <v>3</v>
      </c>
      <c r="DE177" t="s">
        <v>3</v>
      </c>
      <c r="DF177">
        <f t="shared" si="62"/>
        <v>0</v>
      </c>
      <c r="DG177">
        <f>ROUND(ROUND(AF177,2)*CX177,2)</f>
        <v>155.24</v>
      </c>
      <c r="DH177">
        <f t="shared" si="45"/>
        <v>42.03</v>
      </c>
      <c r="DI177">
        <f t="shared" si="46"/>
        <v>0</v>
      </c>
      <c r="DJ177">
        <f t="shared" si="69"/>
        <v>197.27</v>
      </c>
      <c r="DK177">
        <v>1</v>
      </c>
      <c r="DL177" t="s">
        <v>514</v>
      </c>
      <c r="DM177">
        <v>4</v>
      </c>
      <c r="DN177" t="s">
        <v>484</v>
      </c>
      <c r="DO177">
        <v>1</v>
      </c>
    </row>
    <row r="178" spans="1:119" x14ac:dyDescent="0.2">
      <c r="A178">
        <f>ROW(Source!A186)</f>
        <v>186</v>
      </c>
      <c r="B178">
        <v>74014550</v>
      </c>
      <c r="C178">
        <v>74016595</v>
      </c>
      <c r="D178">
        <v>72647172</v>
      </c>
      <c r="E178">
        <v>1</v>
      </c>
      <c r="F178">
        <v>1</v>
      </c>
      <c r="G178">
        <v>1</v>
      </c>
      <c r="H178">
        <v>2</v>
      </c>
      <c r="I178" t="s">
        <v>722</v>
      </c>
      <c r="J178" t="s">
        <v>723</v>
      </c>
      <c r="K178" t="s">
        <v>724</v>
      </c>
      <c r="L178">
        <v>1368</v>
      </c>
      <c r="N178">
        <v>1011</v>
      </c>
      <c r="O178" t="s">
        <v>488</v>
      </c>
      <c r="P178" t="s">
        <v>488</v>
      </c>
      <c r="Q178">
        <v>1</v>
      </c>
      <c r="W178">
        <v>0</v>
      </c>
      <c r="X178">
        <v>-1212527277</v>
      </c>
      <c r="Y178">
        <f t="shared" si="63"/>
        <v>5.0000000000000001E-3</v>
      </c>
      <c r="AA178">
        <v>0</v>
      </c>
      <c r="AB178">
        <v>1483.67</v>
      </c>
      <c r="AC178">
        <v>537.64</v>
      </c>
      <c r="AD178">
        <v>0</v>
      </c>
      <c r="AE178">
        <v>0</v>
      </c>
      <c r="AF178">
        <v>1002.48</v>
      </c>
      <c r="AG178">
        <v>537.64</v>
      </c>
      <c r="AH178">
        <v>0</v>
      </c>
      <c r="AI178">
        <v>1</v>
      </c>
      <c r="AJ178">
        <v>1.48</v>
      </c>
      <c r="AK178">
        <v>1</v>
      </c>
      <c r="AL178">
        <v>1</v>
      </c>
      <c r="AM178">
        <v>2</v>
      </c>
      <c r="AN178">
        <v>0</v>
      </c>
      <c r="AO178">
        <v>0</v>
      </c>
      <c r="AP178">
        <v>1</v>
      </c>
      <c r="AQ178">
        <v>1</v>
      </c>
      <c r="AR178">
        <v>0</v>
      </c>
      <c r="AS178" t="s">
        <v>3</v>
      </c>
      <c r="AT178">
        <v>0.01</v>
      </c>
      <c r="AU178" t="s">
        <v>323</v>
      </c>
      <c r="AV178">
        <v>1</v>
      </c>
      <c r="AW178">
        <v>2</v>
      </c>
      <c r="AX178">
        <v>74016615</v>
      </c>
      <c r="AY178">
        <v>1</v>
      </c>
      <c r="AZ178">
        <v>0</v>
      </c>
      <c r="BA178">
        <v>194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10.024800000000001</v>
      </c>
      <c r="BL178">
        <v>5.3764000000000003</v>
      </c>
      <c r="BM178">
        <v>0</v>
      </c>
      <c r="BN178">
        <v>0</v>
      </c>
      <c r="BO178">
        <v>0.01</v>
      </c>
      <c r="BP178">
        <v>1</v>
      </c>
      <c r="BQ178">
        <v>0</v>
      </c>
      <c r="BR178">
        <v>5.0124000000000004</v>
      </c>
      <c r="BS178">
        <v>2.6882000000000001</v>
      </c>
      <c r="BT178">
        <v>0</v>
      </c>
      <c r="BU178">
        <v>0</v>
      </c>
      <c r="BV178">
        <v>5.0000000000000001E-3</v>
      </c>
      <c r="BW178">
        <v>1</v>
      </c>
      <c r="CV178">
        <v>0</v>
      </c>
      <c r="CW178">
        <f>ROUND(Y178*Source!I186*DO178,7)</f>
        <v>0.105</v>
      </c>
      <c r="CX178">
        <f>ROUND(Y178*Source!I186,7)</f>
        <v>0.105</v>
      </c>
      <c r="CY178">
        <f t="shared" si="66"/>
        <v>1483.67</v>
      </c>
      <c r="CZ178">
        <f t="shared" si="67"/>
        <v>1002.48</v>
      </c>
      <c r="DA178">
        <f t="shared" si="68"/>
        <v>1.48</v>
      </c>
      <c r="DB178">
        <f t="shared" si="64"/>
        <v>5.01</v>
      </c>
      <c r="DC178">
        <f t="shared" si="65"/>
        <v>2.69</v>
      </c>
      <c r="DD178" t="s">
        <v>3</v>
      </c>
      <c r="DE178" t="s">
        <v>3</v>
      </c>
      <c r="DF178">
        <f t="shared" si="62"/>
        <v>0</v>
      </c>
      <c r="DG178">
        <f>ROUND(ROUND(AF178*AJ178,2)*CX178,2)</f>
        <v>155.79</v>
      </c>
      <c r="DH178">
        <f t="shared" si="45"/>
        <v>56.45</v>
      </c>
      <c r="DI178">
        <f t="shared" si="46"/>
        <v>0</v>
      </c>
      <c r="DJ178">
        <f t="shared" si="69"/>
        <v>212.24</v>
      </c>
      <c r="DK178">
        <v>0</v>
      </c>
      <c r="DL178" t="s">
        <v>489</v>
      </c>
      <c r="DM178">
        <v>6</v>
      </c>
      <c r="DN178" t="s">
        <v>484</v>
      </c>
      <c r="DO178">
        <v>1</v>
      </c>
    </row>
    <row r="179" spans="1:119" x14ac:dyDescent="0.2">
      <c r="A179">
        <f>ROW(Source!A186)</f>
        <v>186</v>
      </c>
      <c r="B179">
        <v>74014550</v>
      </c>
      <c r="C179">
        <v>74016595</v>
      </c>
      <c r="D179">
        <v>72647286</v>
      </c>
      <c r="E179">
        <v>1</v>
      </c>
      <c r="F179">
        <v>1</v>
      </c>
      <c r="G179">
        <v>1</v>
      </c>
      <c r="H179">
        <v>2</v>
      </c>
      <c r="I179" t="s">
        <v>725</v>
      </c>
      <c r="J179" t="s">
        <v>726</v>
      </c>
      <c r="K179" t="s">
        <v>727</v>
      </c>
      <c r="L179">
        <v>1368</v>
      </c>
      <c r="N179">
        <v>1011</v>
      </c>
      <c r="O179" t="s">
        <v>488</v>
      </c>
      <c r="P179" t="s">
        <v>488</v>
      </c>
      <c r="Q179">
        <v>1</v>
      </c>
      <c r="W179">
        <v>0</v>
      </c>
      <c r="X179">
        <v>-359223370</v>
      </c>
      <c r="Y179">
        <f t="shared" si="63"/>
        <v>5.0000000000000001E-3</v>
      </c>
      <c r="AA179">
        <v>0</v>
      </c>
      <c r="AB179">
        <v>49.76</v>
      </c>
      <c r="AC179">
        <v>0</v>
      </c>
      <c r="AD179">
        <v>0</v>
      </c>
      <c r="AE179">
        <v>0</v>
      </c>
      <c r="AF179">
        <v>49.76</v>
      </c>
      <c r="AG179">
        <v>0</v>
      </c>
      <c r="AH179">
        <v>0</v>
      </c>
      <c r="AI179">
        <v>1</v>
      </c>
      <c r="AJ179">
        <v>1</v>
      </c>
      <c r="AK179">
        <v>1</v>
      </c>
      <c r="AL179">
        <v>1</v>
      </c>
      <c r="AM179">
        <v>-2</v>
      </c>
      <c r="AN179">
        <v>0</v>
      </c>
      <c r="AO179">
        <v>0</v>
      </c>
      <c r="AP179">
        <v>1</v>
      </c>
      <c r="AQ179">
        <v>1</v>
      </c>
      <c r="AR179">
        <v>0</v>
      </c>
      <c r="AS179" t="s">
        <v>3</v>
      </c>
      <c r="AT179">
        <v>0.01</v>
      </c>
      <c r="AU179" t="s">
        <v>323</v>
      </c>
      <c r="AV179">
        <v>1</v>
      </c>
      <c r="AW179">
        <v>2</v>
      </c>
      <c r="AX179">
        <v>74016616</v>
      </c>
      <c r="AY179">
        <v>1</v>
      </c>
      <c r="AZ179">
        <v>0</v>
      </c>
      <c r="BA179">
        <v>195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0.49759999999999999</v>
      </c>
      <c r="BL179">
        <v>0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0.24879999999999999</v>
      </c>
      <c r="BS179">
        <v>0</v>
      </c>
      <c r="BT179">
        <v>0</v>
      </c>
      <c r="BU179">
        <v>0</v>
      </c>
      <c r="BV179">
        <v>0</v>
      </c>
      <c r="BW179">
        <v>1</v>
      </c>
      <c r="CV179">
        <v>0</v>
      </c>
      <c r="CW179">
        <f>ROUND(Y179*Source!I186*DO179,7)</f>
        <v>0</v>
      </c>
      <c r="CX179">
        <f>ROUND(Y179*Source!I186,7)</f>
        <v>0.105</v>
      </c>
      <c r="CY179">
        <f t="shared" si="66"/>
        <v>49.76</v>
      </c>
      <c r="CZ179">
        <f t="shared" si="67"/>
        <v>49.76</v>
      </c>
      <c r="DA179">
        <f t="shared" si="68"/>
        <v>1</v>
      </c>
      <c r="DB179">
        <f t="shared" si="64"/>
        <v>0.25</v>
      </c>
      <c r="DC179">
        <f t="shared" si="65"/>
        <v>0</v>
      </c>
      <c r="DD179" t="s">
        <v>3</v>
      </c>
      <c r="DE179" t="s">
        <v>3</v>
      </c>
      <c r="DF179">
        <f t="shared" si="62"/>
        <v>0</v>
      </c>
      <c r="DG179">
        <f t="shared" ref="DG179:DG184" si="70">ROUND(ROUND(AF179,2)*CX179,2)</f>
        <v>5.22</v>
      </c>
      <c r="DH179">
        <f t="shared" si="45"/>
        <v>0</v>
      </c>
      <c r="DI179">
        <f t="shared" si="46"/>
        <v>0</v>
      </c>
      <c r="DJ179">
        <f t="shared" si="69"/>
        <v>5.22</v>
      </c>
      <c r="DK179">
        <v>1</v>
      </c>
      <c r="DL179" t="s">
        <v>3</v>
      </c>
      <c r="DM179">
        <v>0</v>
      </c>
      <c r="DN179" t="s">
        <v>3</v>
      </c>
      <c r="DO179">
        <v>0</v>
      </c>
    </row>
    <row r="180" spans="1:119" x14ac:dyDescent="0.2">
      <c r="A180">
        <f>ROW(Source!A186)</f>
        <v>186</v>
      </c>
      <c r="B180">
        <v>74014550</v>
      </c>
      <c r="C180">
        <v>74016595</v>
      </c>
      <c r="D180">
        <v>72589256</v>
      </c>
      <c r="E180">
        <v>1</v>
      </c>
      <c r="F180">
        <v>1</v>
      </c>
      <c r="G180">
        <v>1</v>
      </c>
      <c r="H180">
        <v>3</v>
      </c>
      <c r="I180" t="s">
        <v>728</v>
      </c>
      <c r="J180" t="s">
        <v>729</v>
      </c>
      <c r="K180" t="s">
        <v>730</v>
      </c>
      <c r="L180">
        <v>1346</v>
      </c>
      <c r="N180">
        <v>1009</v>
      </c>
      <c r="O180" t="s">
        <v>314</v>
      </c>
      <c r="P180" t="s">
        <v>314</v>
      </c>
      <c r="Q180">
        <v>1</v>
      </c>
      <c r="W180">
        <v>0</v>
      </c>
      <c r="X180">
        <v>1110298820</v>
      </c>
      <c r="Y180">
        <f t="shared" si="63"/>
        <v>1.78E-2</v>
      </c>
      <c r="AA180">
        <v>769.44</v>
      </c>
      <c r="AB180">
        <v>0</v>
      </c>
      <c r="AC180">
        <v>0</v>
      </c>
      <c r="AD180">
        <v>0</v>
      </c>
      <c r="AE180">
        <v>496.41</v>
      </c>
      <c r="AF180">
        <v>0</v>
      </c>
      <c r="AG180">
        <v>0</v>
      </c>
      <c r="AH180">
        <v>0</v>
      </c>
      <c r="AI180">
        <v>1.55</v>
      </c>
      <c r="AJ180">
        <v>1</v>
      </c>
      <c r="AK180">
        <v>1</v>
      </c>
      <c r="AL180">
        <v>1</v>
      </c>
      <c r="AM180">
        <v>2</v>
      </c>
      <c r="AN180">
        <v>0</v>
      </c>
      <c r="AO180">
        <v>0</v>
      </c>
      <c r="AP180">
        <v>1</v>
      </c>
      <c r="AQ180">
        <v>1</v>
      </c>
      <c r="AR180">
        <v>0</v>
      </c>
      <c r="AS180" t="s">
        <v>3</v>
      </c>
      <c r="AT180">
        <v>3.56E-2</v>
      </c>
      <c r="AU180" t="s">
        <v>323</v>
      </c>
      <c r="AV180">
        <v>0</v>
      </c>
      <c r="AW180">
        <v>2</v>
      </c>
      <c r="AX180">
        <v>74016617</v>
      </c>
      <c r="AY180">
        <v>1</v>
      </c>
      <c r="AZ180">
        <v>0</v>
      </c>
      <c r="BA180">
        <v>196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17.672196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8.8360979999999998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CV180">
        <v>0</v>
      </c>
      <c r="CW180">
        <v>0</v>
      </c>
      <c r="CX180">
        <f>ROUND(Y180*Source!I186,7)</f>
        <v>0.37380000000000002</v>
      </c>
      <c r="CY180">
        <f>AA180</f>
        <v>769.44</v>
      </c>
      <c r="CZ180">
        <f>AE180</f>
        <v>496.41</v>
      </c>
      <c r="DA180">
        <f>AI180</f>
        <v>1.55</v>
      </c>
      <c r="DB180">
        <f t="shared" si="64"/>
        <v>8.8350000000000009</v>
      </c>
      <c r="DC180">
        <f t="shared" si="65"/>
        <v>0</v>
      </c>
      <c r="DD180" t="s">
        <v>3</v>
      </c>
      <c r="DE180" t="s">
        <v>3</v>
      </c>
      <c r="DF180">
        <f>ROUND(ROUND(AE180*AI180,2)*CX180,2)</f>
        <v>287.62</v>
      </c>
      <c r="DG180">
        <f t="shared" si="70"/>
        <v>0</v>
      </c>
      <c r="DH180">
        <f t="shared" si="45"/>
        <v>0</v>
      </c>
      <c r="DI180">
        <f t="shared" si="46"/>
        <v>0</v>
      </c>
      <c r="DJ180">
        <f>DF180</f>
        <v>287.62</v>
      </c>
      <c r="DK180">
        <v>0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ROW(Source!A186)</f>
        <v>186</v>
      </c>
      <c r="B181">
        <v>74014550</v>
      </c>
      <c r="C181">
        <v>74016595</v>
      </c>
      <c r="D181">
        <v>72589463</v>
      </c>
      <c r="E181">
        <v>1</v>
      </c>
      <c r="F181">
        <v>1</v>
      </c>
      <c r="G181">
        <v>1</v>
      </c>
      <c r="H181">
        <v>3</v>
      </c>
      <c r="I181" t="s">
        <v>731</v>
      </c>
      <c r="J181" t="s">
        <v>732</v>
      </c>
      <c r="K181" t="s">
        <v>733</v>
      </c>
      <c r="L181">
        <v>1348</v>
      </c>
      <c r="N181">
        <v>1009</v>
      </c>
      <c r="O181" t="s">
        <v>243</v>
      </c>
      <c r="P181" t="s">
        <v>243</v>
      </c>
      <c r="Q181">
        <v>1000</v>
      </c>
      <c r="W181">
        <v>0</v>
      </c>
      <c r="X181">
        <v>1830221504</v>
      </c>
      <c r="Y181">
        <f t="shared" si="63"/>
        <v>5.5000000000000002E-5</v>
      </c>
      <c r="AA181">
        <v>50540.3</v>
      </c>
      <c r="AB181">
        <v>0</v>
      </c>
      <c r="AC181">
        <v>0</v>
      </c>
      <c r="AD181">
        <v>0</v>
      </c>
      <c r="AE181">
        <v>30083.51</v>
      </c>
      <c r="AF181">
        <v>0</v>
      </c>
      <c r="AG181">
        <v>0</v>
      </c>
      <c r="AH181">
        <v>0</v>
      </c>
      <c r="AI181">
        <v>1.68</v>
      </c>
      <c r="AJ181">
        <v>1</v>
      </c>
      <c r="AK181">
        <v>1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1</v>
      </c>
      <c r="AR181">
        <v>0</v>
      </c>
      <c r="AS181" t="s">
        <v>3</v>
      </c>
      <c r="AT181">
        <v>1.1E-4</v>
      </c>
      <c r="AU181" t="s">
        <v>323</v>
      </c>
      <c r="AV181">
        <v>0</v>
      </c>
      <c r="AW181">
        <v>2</v>
      </c>
      <c r="AX181">
        <v>74016618</v>
      </c>
      <c r="AY181">
        <v>1</v>
      </c>
      <c r="AZ181">
        <v>0</v>
      </c>
      <c r="BA181">
        <v>197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3.3091860999999998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</v>
      </c>
      <c r="BQ181">
        <v>1.6545930499999999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CV181">
        <v>0</v>
      </c>
      <c r="CW181">
        <v>0</v>
      </c>
      <c r="CX181">
        <f>ROUND(Y181*Source!I186,7)</f>
        <v>1.155E-3</v>
      </c>
      <c r="CY181">
        <f>AA181</f>
        <v>50540.3</v>
      </c>
      <c r="CZ181">
        <f>AE181</f>
        <v>30083.51</v>
      </c>
      <c r="DA181">
        <f>AI181</f>
        <v>1.68</v>
      </c>
      <c r="DB181">
        <f t="shared" si="64"/>
        <v>1.655</v>
      </c>
      <c r="DC181">
        <f t="shared" si="65"/>
        <v>0</v>
      </c>
      <c r="DD181" t="s">
        <v>3</v>
      </c>
      <c r="DE181" t="s">
        <v>3</v>
      </c>
      <c r="DF181">
        <f>ROUND(ROUND(AE181*AI181,2)*CX181,2)</f>
        <v>58.37</v>
      </c>
      <c r="DG181">
        <f t="shared" si="70"/>
        <v>0</v>
      </c>
      <c r="DH181">
        <f t="shared" si="45"/>
        <v>0</v>
      </c>
      <c r="DI181">
        <f t="shared" si="46"/>
        <v>0</v>
      </c>
      <c r="DJ181">
        <f>DF181</f>
        <v>58.37</v>
      </c>
      <c r="DK181">
        <v>0</v>
      </c>
      <c r="DL181" t="s">
        <v>3</v>
      </c>
      <c r="DM181">
        <v>0</v>
      </c>
      <c r="DN181" t="s">
        <v>3</v>
      </c>
      <c r="DO181">
        <v>0</v>
      </c>
    </row>
    <row r="182" spans="1:119" x14ac:dyDescent="0.2">
      <c r="A182">
        <f>ROW(Source!A186)</f>
        <v>186</v>
      </c>
      <c r="B182">
        <v>74014550</v>
      </c>
      <c r="C182">
        <v>74016595</v>
      </c>
      <c r="D182">
        <v>72591341</v>
      </c>
      <c r="E182">
        <v>1</v>
      </c>
      <c r="F182">
        <v>1</v>
      </c>
      <c r="G182">
        <v>1</v>
      </c>
      <c r="H182">
        <v>3</v>
      </c>
      <c r="I182" t="s">
        <v>627</v>
      </c>
      <c r="J182" t="s">
        <v>628</v>
      </c>
      <c r="K182" t="s">
        <v>629</v>
      </c>
      <c r="L182">
        <v>1339</v>
      </c>
      <c r="N182">
        <v>1007</v>
      </c>
      <c r="O182" t="s">
        <v>48</v>
      </c>
      <c r="P182" t="s">
        <v>48</v>
      </c>
      <c r="Q182">
        <v>1</v>
      </c>
      <c r="W182">
        <v>0</v>
      </c>
      <c r="X182">
        <v>-1357846128</v>
      </c>
      <c r="Y182">
        <f t="shared" si="63"/>
        <v>7.4999999999999997E-2</v>
      </c>
      <c r="AA182">
        <v>31.42</v>
      </c>
      <c r="AB182">
        <v>0</v>
      </c>
      <c r="AC182">
        <v>0</v>
      </c>
      <c r="AD182">
        <v>0</v>
      </c>
      <c r="AE182">
        <v>35.71</v>
      </c>
      <c r="AF182">
        <v>0</v>
      </c>
      <c r="AG182">
        <v>0</v>
      </c>
      <c r="AH182">
        <v>0</v>
      </c>
      <c r="AI182">
        <v>0.88</v>
      </c>
      <c r="AJ182">
        <v>1</v>
      </c>
      <c r="AK182">
        <v>1</v>
      </c>
      <c r="AL182">
        <v>1</v>
      </c>
      <c r="AM182">
        <v>2</v>
      </c>
      <c r="AN182">
        <v>0</v>
      </c>
      <c r="AO182">
        <v>0</v>
      </c>
      <c r="AP182">
        <v>1</v>
      </c>
      <c r="AQ182">
        <v>1</v>
      </c>
      <c r="AR182">
        <v>0</v>
      </c>
      <c r="AS182" t="s">
        <v>3</v>
      </c>
      <c r="AT182">
        <v>0.15</v>
      </c>
      <c r="AU182" t="s">
        <v>323</v>
      </c>
      <c r="AV182">
        <v>0</v>
      </c>
      <c r="AW182">
        <v>2</v>
      </c>
      <c r="AX182">
        <v>74016621</v>
      </c>
      <c r="AY182">
        <v>1</v>
      </c>
      <c r="AZ182">
        <v>0</v>
      </c>
      <c r="BA182">
        <v>200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5.3564999999999996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2.6782499999999998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CV182">
        <v>0</v>
      </c>
      <c r="CW182">
        <v>0</v>
      </c>
      <c r="CX182">
        <f>ROUND(Y182*Source!I186,7)</f>
        <v>1.575</v>
      </c>
      <c r="CY182">
        <f>AA182</f>
        <v>31.42</v>
      </c>
      <c r="CZ182">
        <f>AE182</f>
        <v>35.71</v>
      </c>
      <c r="DA182">
        <f>AI182</f>
        <v>0.88</v>
      </c>
      <c r="DB182">
        <f t="shared" si="64"/>
        <v>2.68</v>
      </c>
      <c r="DC182">
        <f t="shared" si="65"/>
        <v>0</v>
      </c>
      <c r="DD182" t="s">
        <v>3</v>
      </c>
      <c r="DE182" t="s">
        <v>3</v>
      </c>
      <c r="DF182">
        <f>ROUND(ROUND(AE182*AI182,2)*CX182,2)</f>
        <v>49.49</v>
      </c>
      <c r="DG182">
        <f t="shared" si="70"/>
        <v>0</v>
      </c>
      <c r="DH182">
        <f t="shared" si="45"/>
        <v>0</v>
      </c>
      <c r="DI182">
        <f t="shared" si="46"/>
        <v>0</v>
      </c>
      <c r="DJ182">
        <f>DF182</f>
        <v>49.49</v>
      </c>
      <c r="DK182">
        <v>0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ROW(Source!A187)</f>
        <v>187</v>
      </c>
      <c r="B183">
        <v>74014550</v>
      </c>
      <c r="C183">
        <v>74016622</v>
      </c>
      <c r="D183">
        <v>20049217</v>
      </c>
      <c r="E183">
        <v>119</v>
      </c>
      <c r="F183">
        <v>1</v>
      </c>
      <c r="G183">
        <v>1</v>
      </c>
      <c r="H183">
        <v>1</v>
      </c>
      <c r="I183" t="s">
        <v>634</v>
      </c>
      <c r="J183" t="s">
        <v>3</v>
      </c>
      <c r="K183" t="s">
        <v>635</v>
      </c>
      <c r="L183">
        <v>1191</v>
      </c>
      <c r="N183">
        <v>1013</v>
      </c>
      <c r="O183" t="s">
        <v>484</v>
      </c>
      <c r="P183" t="s">
        <v>484</v>
      </c>
      <c r="Q183">
        <v>1</v>
      </c>
      <c r="W183">
        <v>0</v>
      </c>
      <c r="X183">
        <v>32079103</v>
      </c>
      <c r="Y183">
        <f t="shared" ref="Y183:Y214" si="71">AT183</f>
        <v>2.2799999999999998</v>
      </c>
      <c r="AA183">
        <v>0</v>
      </c>
      <c r="AB183">
        <v>0</v>
      </c>
      <c r="AC183">
        <v>0</v>
      </c>
      <c r="AD183">
        <v>368.88</v>
      </c>
      <c r="AE183">
        <v>0</v>
      </c>
      <c r="AF183">
        <v>0</v>
      </c>
      <c r="AG183">
        <v>0</v>
      </c>
      <c r="AH183">
        <v>368.88</v>
      </c>
      <c r="AI183">
        <v>1</v>
      </c>
      <c r="AJ183">
        <v>1</v>
      </c>
      <c r="AK183">
        <v>1</v>
      </c>
      <c r="AL183">
        <v>1</v>
      </c>
      <c r="AM183">
        <v>-2</v>
      </c>
      <c r="AN183">
        <v>0</v>
      </c>
      <c r="AO183">
        <v>0</v>
      </c>
      <c r="AP183">
        <v>1</v>
      </c>
      <c r="AQ183">
        <v>1</v>
      </c>
      <c r="AR183">
        <v>0</v>
      </c>
      <c r="AS183" t="s">
        <v>3</v>
      </c>
      <c r="AT183">
        <v>2.2799999999999998</v>
      </c>
      <c r="AU183" t="s">
        <v>3</v>
      </c>
      <c r="AV183">
        <v>1</v>
      </c>
      <c r="AW183">
        <v>2</v>
      </c>
      <c r="AX183">
        <v>74016627</v>
      </c>
      <c r="AY183">
        <v>1</v>
      </c>
      <c r="AZ183">
        <v>0</v>
      </c>
      <c r="BA183">
        <v>201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841.04639999999995</v>
      </c>
      <c r="BN183">
        <v>2.2799999999999998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841.04639999999995</v>
      </c>
      <c r="BU183">
        <v>2.2799999999999998</v>
      </c>
      <c r="BV183">
        <v>0</v>
      </c>
      <c r="BW183">
        <v>1</v>
      </c>
      <c r="CU183">
        <f>ROUND(AT183*Source!I187*AH183*AL183,2)</f>
        <v>176.62</v>
      </c>
      <c r="CV183">
        <f>ROUND(Y183*Source!I187,7)</f>
        <v>0.4788</v>
      </c>
      <c r="CW183">
        <v>0</v>
      </c>
      <c r="CX183">
        <f>ROUND(Y183*Source!I187,7)</f>
        <v>0.4788</v>
      </c>
      <c r="CY183">
        <f>AD183</f>
        <v>368.88</v>
      </c>
      <c r="CZ183">
        <f>AH183</f>
        <v>368.88</v>
      </c>
      <c r="DA183">
        <f>AL183</f>
        <v>1</v>
      </c>
      <c r="DB183">
        <f t="shared" ref="DB183:DB214" si="72">ROUND(ROUND(AT183*CZ183,2),6)</f>
        <v>841.05</v>
      </c>
      <c r="DC183">
        <f t="shared" ref="DC183:DC214" si="73">ROUND(ROUND(AT183*AG183,2),6)</f>
        <v>0</v>
      </c>
      <c r="DD183" t="s">
        <v>3</v>
      </c>
      <c r="DE183" t="s">
        <v>3</v>
      </c>
      <c r="DF183">
        <f>ROUND(ROUND(AE183,2)*CX183,2)</f>
        <v>0</v>
      </c>
      <c r="DG183">
        <f t="shared" si="70"/>
        <v>0</v>
      </c>
      <c r="DH183">
        <f t="shared" si="45"/>
        <v>0</v>
      </c>
      <c r="DI183">
        <f t="shared" si="46"/>
        <v>176.62</v>
      </c>
      <c r="DJ183">
        <f>DI183</f>
        <v>176.62</v>
      </c>
      <c r="DK183">
        <v>1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ROW(Source!A187)</f>
        <v>187</v>
      </c>
      <c r="B184">
        <v>74014550</v>
      </c>
      <c r="C184">
        <v>74016622</v>
      </c>
      <c r="D184">
        <v>20049115</v>
      </c>
      <c r="E184">
        <v>119</v>
      </c>
      <c r="F184">
        <v>1</v>
      </c>
      <c r="G184">
        <v>1</v>
      </c>
      <c r="H184">
        <v>1</v>
      </c>
      <c r="I184" t="s">
        <v>482</v>
      </c>
      <c r="J184" t="s">
        <v>3</v>
      </c>
      <c r="K184" t="s">
        <v>483</v>
      </c>
      <c r="L184">
        <v>1191</v>
      </c>
      <c r="N184">
        <v>1013</v>
      </c>
      <c r="O184" t="s">
        <v>484</v>
      </c>
      <c r="P184" t="s">
        <v>484</v>
      </c>
      <c r="Q184">
        <v>1</v>
      </c>
      <c r="W184">
        <v>0</v>
      </c>
      <c r="X184">
        <v>-1417349443</v>
      </c>
      <c r="Y184">
        <f t="shared" si="71"/>
        <v>0.74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1</v>
      </c>
      <c r="AK184">
        <v>1</v>
      </c>
      <c r="AL184">
        <v>1</v>
      </c>
      <c r="AM184">
        <v>-2</v>
      </c>
      <c r="AN184">
        <v>0</v>
      </c>
      <c r="AO184">
        <v>0</v>
      </c>
      <c r="AP184">
        <v>1</v>
      </c>
      <c r="AQ184">
        <v>1</v>
      </c>
      <c r="AR184">
        <v>0</v>
      </c>
      <c r="AS184" t="s">
        <v>3</v>
      </c>
      <c r="AT184">
        <v>0.74</v>
      </c>
      <c r="AU184" t="s">
        <v>3</v>
      </c>
      <c r="AV184">
        <v>2</v>
      </c>
      <c r="AW184">
        <v>2</v>
      </c>
      <c r="AX184">
        <v>74016628</v>
      </c>
      <c r="AY184">
        <v>1</v>
      </c>
      <c r="AZ184">
        <v>0</v>
      </c>
      <c r="BA184">
        <v>202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CV184">
        <v>0</v>
      </c>
      <c r="CW184">
        <v>0</v>
      </c>
      <c r="CX184">
        <f>ROUND(Y184*Source!I187,7)</f>
        <v>0.15540000000000001</v>
      </c>
      <c r="CY184">
        <f>AD184</f>
        <v>0</v>
      </c>
      <c r="CZ184">
        <f>AH184</f>
        <v>0</v>
      </c>
      <c r="DA184">
        <f>AL184</f>
        <v>1</v>
      </c>
      <c r="DB184">
        <f t="shared" si="72"/>
        <v>0</v>
      </c>
      <c r="DC184">
        <f t="shared" si="73"/>
        <v>0</v>
      </c>
      <c r="DD184" t="s">
        <v>3</v>
      </c>
      <c r="DE184" t="s">
        <v>3</v>
      </c>
      <c r="DF184">
        <f>ROUND(ROUND(AE184,2)*CX184,2)</f>
        <v>0</v>
      </c>
      <c r="DG184">
        <f t="shared" si="70"/>
        <v>0</v>
      </c>
      <c r="DH184">
        <f t="shared" si="45"/>
        <v>0</v>
      </c>
      <c r="DI184">
        <f t="shared" si="46"/>
        <v>0</v>
      </c>
      <c r="DJ184">
        <f>DI184</f>
        <v>0</v>
      </c>
      <c r="DK184">
        <v>0</v>
      </c>
      <c r="DL184" t="s">
        <v>3</v>
      </c>
      <c r="DM184">
        <v>0</v>
      </c>
      <c r="DN184" t="s">
        <v>3</v>
      </c>
      <c r="DO184">
        <v>0</v>
      </c>
    </row>
    <row r="185" spans="1:119" x14ac:dyDescent="0.2">
      <c r="A185">
        <f>ROW(Source!A187)</f>
        <v>187</v>
      </c>
      <c r="B185">
        <v>74014550</v>
      </c>
      <c r="C185">
        <v>74016622</v>
      </c>
      <c r="D185">
        <v>72646682</v>
      </c>
      <c r="E185">
        <v>1</v>
      </c>
      <c r="F185">
        <v>1</v>
      </c>
      <c r="G185">
        <v>1</v>
      </c>
      <c r="H185">
        <v>2</v>
      </c>
      <c r="I185" t="s">
        <v>505</v>
      </c>
      <c r="J185" t="s">
        <v>506</v>
      </c>
      <c r="K185" t="s">
        <v>507</v>
      </c>
      <c r="L185">
        <v>1368</v>
      </c>
      <c r="N185">
        <v>1011</v>
      </c>
      <c r="O185" t="s">
        <v>488</v>
      </c>
      <c r="P185" t="s">
        <v>488</v>
      </c>
      <c r="Q185">
        <v>1</v>
      </c>
      <c r="W185">
        <v>0</v>
      </c>
      <c r="X185">
        <v>-733090258</v>
      </c>
      <c r="Y185">
        <f t="shared" si="71"/>
        <v>0.74</v>
      </c>
      <c r="AA185">
        <v>0</v>
      </c>
      <c r="AB185">
        <v>1172.93</v>
      </c>
      <c r="AC185">
        <v>459.98</v>
      </c>
      <c r="AD185">
        <v>0</v>
      </c>
      <c r="AE185">
        <v>0</v>
      </c>
      <c r="AF185">
        <v>994.01</v>
      </c>
      <c r="AG185">
        <v>459.98</v>
      </c>
      <c r="AH185">
        <v>0</v>
      </c>
      <c r="AI185">
        <v>1</v>
      </c>
      <c r="AJ185">
        <v>1.18</v>
      </c>
      <c r="AK185">
        <v>1</v>
      </c>
      <c r="AL185">
        <v>1</v>
      </c>
      <c r="AM185">
        <v>2</v>
      </c>
      <c r="AN185">
        <v>0</v>
      </c>
      <c r="AO185">
        <v>0</v>
      </c>
      <c r="AP185">
        <v>1</v>
      </c>
      <c r="AQ185">
        <v>1</v>
      </c>
      <c r="AR185">
        <v>0</v>
      </c>
      <c r="AS185" t="s">
        <v>3</v>
      </c>
      <c r="AT185">
        <v>0.74</v>
      </c>
      <c r="AU185" t="s">
        <v>3</v>
      </c>
      <c r="AV185">
        <v>1</v>
      </c>
      <c r="AW185">
        <v>2</v>
      </c>
      <c r="AX185">
        <v>74016629</v>
      </c>
      <c r="AY185">
        <v>1</v>
      </c>
      <c r="AZ185">
        <v>0</v>
      </c>
      <c r="BA185">
        <v>203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735.56740000000002</v>
      </c>
      <c r="BL185">
        <v>340.3852</v>
      </c>
      <c r="BM185">
        <v>0</v>
      </c>
      <c r="BN185">
        <v>0</v>
      </c>
      <c r="BO185">
        <v>0.74</v>
      </c>
      <c r="BP185">
        <v>1</v>
      </c>
      <c r="BQ185">
        <v>0</v>
      </c>
      <c r="BR185">
        <v>735.56740000000002</v>
      </c>
      <c r="BS185">
        <v>340.3852</v>
      </c>
      <c r="BT185">
        <v>0</v>
      </c>
      <c r="BU185">
        <v>0</v>
      </c>
      <c r="BV185">
        <v>0.74</v>
      </c>
      <c r="BW185">
        <v>1</v>
      </c>
      <c r="CV185">
        <v>0</v>
      </c>
      <c r="CW185">
        <f>ROUND(Y185*Source!I187*DO185,7)</f>
        <v>0.15540000000000001</v>
      </c>
      <c r="CX185">
        <f>ROUND(Y185*Source!I187,7)</f>
        <v>0.15540000000000001</v>
      </c>
      <c r="CY185">
        <f>AB185</f>
        <v>1172.93</v>
      </c>
      <c r="CZ185">
        <f>AF185</f>
        <v>994.01</v>
      </c>
      <c r="DA185">
        <f>AJ185</f>
        <v>1.18</v>
      </c>
      <c r="DB185">
        <f t="shared" si="72"/>
        <v>735.57</v>
      </c>
      <c r="DC185">
        <f t="shared" si="73"/>
        <v>340.39</v>
      </c>
      <c r="DD185" t="s">
        <v>3</v>
      </c>
      <c r="DE185" t="s">
        <v>3</v>
      </c>
      <c r="DF185">
        <f>ROUND(ROUND(AE185,2)*CX185,2)</f>
        <v>0</v>
      </c>
      <c r="DG185">
        <f>ROUND(ROUND(AF185*AJ185,2)*CX185,2)</f>
        <v>182.27</v>
      </c>
      <c r="DH185">
        <f t="shared" si="45"/>
        <v>71.48</v>
      </c>
      <c r="DI185">
        <f t="shared" si="46"/>
        <v>0</v>
      </c>
      <c r="DJ185">
        <f>DG185+DH185</f>
        <v>253.75</v>
      </c>
      <c r="DK185">
        <v>0</v>
      </c>
      <c r="DL185" t="s">
        <v>497</v>
      </c>
      <c r="DM185">
        <v>5</v>
      </c>
      <c r="DN185" t="s">
        <v>484</v>
      </c>
      <c r="DO185">
        <v>1</v>
      </c>
    </row>
    <row r="186" spans="1:119" x14ac:dyDescent="0.2">
      <c r="A186">
        <f>ROW(Source!A187)</f>
        <v>187</v>
      </c>
      <c r="B186">
        <v>74014550</v>
      </c>
      <c r="C186">
        <v>74016622</v>
      </c>
      <c r="D186">
        <v>72633888</v>
      </c>
      <c r="E186">
        <v>1</v>
      </c>
      <c r="F186">
        <v>1</v>
      </c>
      <c r="G186">
        <v>1</v>
      </c>
      <c r="H186">
        <v>3</v>
      </c>
      <c r="I186" t="s">
        <v>333</v>
      </c>
      <c r="J186" t="s">
        <v>335</v>
      </c>
      <c r="K186" t="s">
        <v>334</v>
      </c>
      <c r="L186">
        <v>1301</v>
      </c>
      <c r="N186">
        <v>1003</v>
      </c>
      <c r="O186" t="s">
        <v>125</v>
      </c>
      <c r="P186" t="s">
        <v>125</v>
      </c>
      <c r="Q186">
        <v>1</v>
      </c>
      <c r="W186">
        <v>0</v>
      </c>
      <c r="X186">
        <v>1903554151</v>
      </c>
      <c r="Y186">
        <f t="shared" si="71"/>
        <v>100</v>
      </c>
      <c r="AA186">
        <v>606.05999999999995</v>
      </c>
      <c r="AB186">
        <v>0</v>
      </c>
      <c r="AC186">
        <v>0</v>
      </c>
      <c r="AD186">
        <v>0</v>
      </c>
      <c r="AE186">
        <v>588.41</v>
      </c>
      <c r="AF186">
        <v>0</v>
      </c>
      <c r="AG186">
        <v>0</v>
      </c>
      <c r="AH186">
        <v>0</v>
      </c>
      <c r="AI186">
        <v>1.03</v>
      </c>
      <c r="AJ186">
        <v>1</v>
      </c>
      <c r="AK186">
        <v>1</v>
      </c>
      <c r="AL186">
        <v>1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 t="s">
        <v>3</v>
      </c>
      <c r="AT186">
        <v>100</v>
      </c>
      <c r="AU186" t="s">
        <v>3</v>
      </c>
      <c r="AV186">
        <v>0</v>
      </c>
      <c r="AW186">
        <v>1</v>
      </c>
      <c r="AX186">
        <v>-1</v>
      </c>
      <c r="AY186">
        <v>0</v>
      </c>
      <c r="AZ186">
        <v>0</v>
      </c>
      <c r="BA186" t="s">
        <v>3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CV186">
        <v>0</v>
      </c>
      <c r="CW186">
        <v>0</v>
      </c>
      <c r="CX186">
        <f>ROUND(Y186*Source!I187,7)</f>
        <v>21</v>
      </c>
      <c r="CY186">
        <f>AA186</f>
        <v>606.05999999999995</v>
      </c>
      <c r="CZ186">
        <f>AE186</f>
        <v>588.41</v>
      </c>
      <c r="DA186">
        <f>AI186</f>
        <v>1.03</v>
      </c>
      <c r="DB186">
        <f t="shared" si="72"/>
        <v>58841</v>
      </c>
      <c r="DC186">
        <f t="shared" si="73"/>
        <v>0</v>
      </c>
      <c r="DD186" t="s">
        <v>3</v>
      </c>
      <c r="DE186" t="s">
        <v>3</v>
      </c>
      <c r="DF186">
        <f>ROUND(ROUND(AE186*AI186,2)*CX186,2)</f>
        <v>12727.26</v>
      </c>
      <c r="DG186">
        <f>ROUND(ROUND(AF186,2)*CX186,2)</f>
        <v>0</v>
      </c>
      <c r="DH186">
        <f t="shared" si="45"/>
        <v>0</v>
      </c>
      <c r="DI186">
        <f t="shared" si="46"/>
        <v>0</v>
      </c>
      <c r="DJ186">
        <f>DF186</f>
        <v>12727.26</v>
      </c>
      <c r="DK186">
        <v>0</v>
      </c>
      <c r="DL186" t="s">
        <v>3</v>
      </c>
      <c r="DM186">
        <v>0</v>
      </c>
      <c r="DN186" t="s">
        <v>3</v>
      </c>
      <c r="DO186">
        <v>0</v>
      </c>
    </row>
    <row r="187" spans="1:119" x14ac:dyDescent="0.2">
      <c r="A187">
        <f>ROW(Source!A189)</f>
        <v>189</v>
      </c>
      <c r="B187">
        <v>74014550</v>
      </c>
      <c r="C187">
        <v>74016632</v>
      </c>
      <c r="D187">
        <v>20055278</v>
      </c>
      <c r="E187">
        <v>119</v>
      </c>
      <c r="F187">
        <v>1</v>
      </c>
      <c r="G187">
        <v>1</v>
      </c>
      <c r="H187">
        <v>1</v>
      </c>
      <c r="I187" t="s">
        <v>642</v>
      </c>
      <c r="J187" t="s">
        <v>3</v>
      </c>
      <c r="K187" t="s">
        <v>643</v>
      </c>
      <c r="L187">
        <v>1191</v>
      </c>
      <c r="N187">
        <v>1013</v>
      </c>
      <c r="O187" t="s">
        <v>484</v>
      </c>
      <c r="P187" t="s">
        <v>484</v>
      </c>
      <c r="Q187">
        <v>1</v>
      </c>
      <c r="W187">
        <v>0</v>
      </c>
      <c r="X187">
        <v>888410196</v>
      </c>
      <c r="Y187">
        <f t="shared" si="71"/>
        <v>71.67</v>
      </c>
      <c r="AA187">
        <v>0</v>
      </c>
      <c r="AB187">
        <v>0</v>
      </c>
      <c r="AC187">
        <v>0</v>
      </c>
      <c r="AD187">
        <v>400.24</v>
      </c>
      <c r="AE187">
        <v>0</v>
      </c>
      <c r="AF187">
        <v>0</v>
      </c>
      <c r="AG187">
        <v>0</v>
      </c>
      <c r="AH187">
        <v>400.24</v>
      </c>
      <c r="AI187">
        <v>1</v>
      </c>
      <c r="AJ187">
        <v>1</v>
      </c>
      <c r="AK187">
        <v>1</v>
      </c>
      <c r="AL187">
        <v>1</v>
      </c>
      <c r="AM187">
        <v>-2</v>
      </c>
      <c r="AN187">
        <v>0</v>
      </c>
      <c r="AO187">
        <v>0</v>
      </c>
      <c r="AP187">
        <v>1</v>
      </c>
      <c r="AQ187">
        <v>1</v>
      </c>
      <c r="AR187">
        <v>0</v>
      </c>
      <c r="AS187" t="s">
        <v>3</v>
      </c>
      <c r="AT187">
        <v>71.67</v>
      </c>
      <c r="AU187" t="s">
        <v>3</v>
      </c>
      <c r="AV187">
        <v>1</v>
      </c>
      <c r="AW187">
        <v>2</v>
      </c>
      <c r="AX187">
        <v>74016639</v>
      </c>
      <c r="AY187">
        <v>1</v>
      </c>
      <c r="AZ187">
        <v>0</v>
      </c>
      <c r="BA187">
        <v>205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28685.200800000002</v>
      </c>
      <c r="BN187">
        <v>71.67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28685.200800000002</v>
      </c>
      <c r="BU187">
        <v>71.67</v>
      </c>
      <c r="BV187">
        <v>0</v>
      </c>
      <c r="BW187">
        <v>1</v>
      </c>
      <c r="CU187">
        <f>ROUND(AT187*Source!I189*AH187*AL187,2)</f>
        <v>6023.89</v>
      </c>
      <c r="CV187">
        <f>ROUND(Y187*Source!I189,7)</f>
        <v>15.050700000000001</v>
      </c>
      <c r="CW187">
        <v>0</v>
      </c>
      <c r="CX187">
        <f>ROUND(Y187*Source!I189,7)</f>
        <v>15.050700000000001</v>
      </c>
      <c r="CY187">
        <f>AD187</f>
        <v>400.24</v>
      </c>
      <c r="CZ187">
        <f>AH187</f>
        <v>400.24</v>
      </c>
      <c r="DA187">
        <f>AL187</f>
        <v>1</v>
      </c>
      <c r="DB187">
        <f t="shared" si="72"/>
        <v>28685.200000000001</v>
      </c>
      <c r="DC187">
        <f t="shared" si="73"/>
        <v>0</v>
      </c>
      <c r="DD187" t="s">
        <v>3</v>
      </c>
      <c r="DE187" t="s">
        <v>3</v>
      </c>
      <c r="DF187">
        <f>ROUND(ROUND(AE187,2)*CX187,2)</f>
        <v>0</v>
      </c>
      <c r="DG187">
        <f>ROUND(ROUND(AF187,2)*CX187,2)</f>
        <v>0</v>
      </c>
      <c r="DH187">
        <f t="shared" si="45"/>
        <v>0</v>
      </c>
      <c r="DI187">
        <f t="shared" si="46"/>
        <v>6023.89</v>
      </c>
      <c r="DJ187">
        <f>DI187</f>
        <v>6023.89</v>
      </c>
      <c r="DK187">
        <v>1</v>
      </c>
      <c r="DL187" t="s">
        <v>3</v>
      </c>
      <c r="DM187">
        <v>0</v>
      </c>
      <c r="DN187" t="s">
        <v>3</v>
      </c>
      <c r="DO187">
        <v>0</v>
      </c>
    </row>
    <row r="188" spans="1:119" x14ac:dyDescent="0.2">
      <c r="A188">
        <f>ROW(Source!A189)</f>
        <v>189</v>
      </c>
      <c r="B188">
        <v>74014550</v>
      </c>
      <c r="C188">
        <v>74016632</v>
      </c>
      <c r="D188">
        <v>20049115</v>
      </c>
      <c r="E188">
        <v>119</v>
      </c>
      <c r="F188">
        <v>1</v>
      </c>
      <c r="G188">
        <v>1</v>
      </c>
      <c r="H188">
        <v>1</v>
      </c>
      <c r="I188" t="s">
        <v>482</v>
      </c>
      <c r="J188" t="s">
        <v>3</v>
      </c>
      <c r="K188" t="s">
        <v>483</v>
      </c>
      <c r="L188">
        <v>1191</v>
      </c>
      <c r="N188">
        <v>1013</v>
      </c>
      <c r="O188" t="s">
        <v>484</v>
      </c>
      <c r="P188" t="s">
        <v>484</v>
      </c>
      <c r="Q188">
        <v>1</v>
      </c>
      <c r="W188">
        <v>0</v>
      </c>
      <c r="X188">
        <v>-1417349443</v>
      </c>
      <c r="Y188">
        <f t="shared" si="71"/>
        <v>0.03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</v>
      </c>
      <c r="AJ188">
        <v>1</v>
      </c>
      <c r="AK188">
        <v>1</v>
      </c>
      <c r="AL188">
        <v>1</v>
      </c>
      <c r="AM188">
        <v>-2</v>
      </c>
      <c r="AN188">
        <v>0</v>
      </c>
      <c r="AO188">
        <v>0</v>
      </c>
      <c r="AP188">
        <v>1</v>
      </c>
      <c r="AQ188">
        <v>1</v>
      </c>
      <c r="AR188">
        <v>0</v>
      </c>
      <c r="AS188" t="s">
        <v>3</v>
      </c>
      <c r="AT188">
        <v>0.03</v>
      </c>
      <c r="AU188" t="s">
        <v>3</v>
      </c>
      <c r="AV188">
        <v>2</v>
      </c>
      <c r="AW188">
        <v>2</v>
      </c>
      <c r="AX188">
        <v>74016640</v>
      </c>
      <c r="AY188">
        <v>1</v>
      </c>
      <c r="AZ188">
        <v>0</v>
      </c>
      <c r="BA188">
        <v>206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CV188">
        <v>0</v>
      </c>
      <c r="CW188">
        <v>0</v>
      </c>
      <c r="CX188">
        <f>ROUND(Y188*Source!I189,7)</f>
        <v>6.3E-3</v>
      </c>
      <c r="CY188">
        <f>AD188</f>
        <v>0</v>
      </c>
      <c r="CZ188">
        <f>AH188</f>
        <v>0</v>
      </c>
      <c r="DA188">
        <f>AL188</f>
        <v>1</v>
      </c>
      <c r="DB188">
        <f t="shared" si="72"/>
        <v>0</v>
      </c>
      <c r="DC188">
        <f t="shared" si="73"/>
        <v>0</v>
      </c>
      <c r="DD188" t="s">
        <v>3</v>
      </c>
      <c r="DE188" t="s">
        <v>3</v>
      </c>
      <c r="DF188">
        <f>ROUND(ROUND(AE188,2)*CX188,2)</f>
        <v>0</v>
      </c>
      <c r="DG188">
        <f>ROUND(ROUND(AF188,2)*CX188,2)</f>
        <v>0</v>
      </c>
      <c r="DH188">
        <f t="shared" si="45"/>
        <v>0</v>
      </c>
      <c r="DI188">
        <f t="shared" si="46"/>
        <v>0</v>
      </c>
      <c r="DJ188">
        <f>DI188</f>
        <v>0</v>
      </c>
      <c r="DK188">
        <v>0</v>
      </c>
      <c r="DL188" t="s">
        <v>3</v>
      </c>
      <c r="DM188">
        <v>0</v>
      </c>
      <c r="DN188" t="s">
        <v>3</v>
      </c>
      <c r="DO188">
        <v>0</v>
      </c>
    </row>
    <row r="189" spans="1:119" x14ac:dyDescent="0.2">
      <c r="A189">
        <f>ROW(Source!A189)</f>
        <v>189</v>
      </c>
      <c r="B189">
        <v>74014550</v>
      </c>
      <c r="C189">
        <v>74016632</v>
      </c>
      <c r="D189">
        <v>72646037</v>
      </c>
      <c r="E189">
        <v>1</v>
      </c>
      <c r="F189">
        <v>1</v>
      </c>
      <c r="G189">
        <v>1</v>
      </c>
      <c r="H189">
        <v>2</v>
      </c>
      <c r="I189" t="s">
        <v>636</v>
      </c>
      <c r="J189" t="s">
        <v>637</v>
      </c>
      <c r="K189" t="s">
        <v>638</v>
      </c>
      <c r="L189">
        <v>1368</v>
      </c>
      <c r="N189">
        <v>1011</v>
      </c>
      <c r="O189" t="s">
        <v>488</v>
      </c>
      <c r="P189" t="s">
        <v>488</v>
      </c>
      <c r="Q189">
        <v>1</v>
      </c>
      <c r="W189">
        <v>0</v>
      </c>
      <c r="X189">
        <v>-1791740122</v>
      </c>
      <c r="Y189">
        <f t="shared" si="71"/>
        <v>0.03</v>
      </c>
      <c r="AA189">
        <v>0</v>
      </c>
      <c r="AB189">
        <v>1836.16</v>
      </c>
      <c r="AC189">
        <v>537.64</v>
      </c>
      <c r="AD189">
        <v>0</v>
      </c>
      <c r="AE189">
        <v>0</v>
      </c>
      <c r="AF189">
        <v>1836.16</v>
      </c>
      <c r="AG189">
        <v>537.64</v>
      </c>
      <c r="AH189">
        <v>0</v>
      </c>
      <c r="AI189">
        <v>1</v>
      </c>
      <c r="AJ189">
        <v>1</v>
      </c>
      <c r="AK189">
        <v>1</v>
      </c>
      <c r="AL189">
        <v>1</v>
      </c>
      <c r="AM189">
        <v>-2</v>
      </c>
      <c r="AN189">
        <v>0</v>
      </c>
      <c r="AO189">
        <v>0</v>
      </c>
      <c r="AP189">
        <v>1</v>
      </c>
      <c r="AQ189">
        <v>1</v>
      </c>
      <c r="AR189">
        <v>0</v>
      </c>
      <c r="AS189" t="s">
        <v>3</v>
      </c>
      <c r="AT189">
        <v>0.03</v>
      </c>
      <c r="AU189" t="s">
        <v>3</v>
      </c>
      <c r="AV189">
        <v>1</v>
      </c>
      <c r="AW189">
        <v>2</v>
      </c>
      <c r="AX189">
        <v>74016641</v>
      </c>
      <c r="AY189">
        <v>1</v>
      </c>
      <c r="AZ189">
        <v>0</v>
      </c>
      <c r="BA189">
        <v>207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55.084800000000001</v>
      </c>
      <c r="BL189">
        <v>16.129199999999997</v>
      </c>
      <c r="BM189">
        <v>0</v>
      </c>
      <c r="BN189">
        <v>0</v>
      </c>
      <c r="BO189">
        <v>0.03</v>
      </c>
      <c r="BP189">
        <v>1</v>
      </c>
      <c r="BQ189">
        <v>0</v>
      </c>
      <c r="BR189">
        <v>55.084800000000001</v>
      </c>
      <c r="BS189">
        <v>16.129199999999997</v>
      </c>
      <c r="BT189">
        <v>0</v>
      </c>
      <c r="BU189">
        <v>0</v>
      </c>
      <c r="BV189">
        <v>0.03</v>
      </c>
      <c r="BW189">
        <v>1</v>
      </c>
      <c r="CV189">
        <v>0</v>
      </c>
      <c r="CW189">
        <f>ROUND(Y189*Source!I189*DO189,7)</f>
        <v>6.3E-3</v>
      </c>
      <c r="CX189">
        <f>ROUND(Y189*Source!I189,7)</f>
        <v>6.3E-3</v>
      </c>
      <c r="CY189">
        <f>AB189</f>
        <v>1836.16</v>
      </c>
      <c r="CZ189">
        <f>AF189</f>
        <v>1836.16</v>
      </c>
      <c r="DA189">
        <f>AJ189</f>
        <v>1</v>
      </c>
      <c r="DB189">
        <f t="shared" si="72"/>
        <v>55.08</v>
      </c>
      <c r="DC189">
        <f t="shared" si="73"/>
        <v>16.13</v>
      </c>
      <c r="DD189" t="s">
        <v>3</v>
      </c>
      <c r="DE189" t="s">
        <v>3</v>
      </c>
      <c r="DF189">
        <f>ROUND(ROUND(AE189,2)*CX189,2)</f>
        <v>0</v>
      </c>
      <c r="DG189">
        <f>ROUND(ROUND(AF189,2)*CX189,2)</f>
        <v>11.57</v>
      </c>
      <c r="DH189">
        <f t="shared" si="45"/>
        <v>3.39</v>
      </c>
      <c r="DI189">
        <f t="shared" si="46"/>
        <v>0</v>
      </c>
      <c r="DJ189">
        <f>DG189+DH189</f>
        <v>14.96</v>
      </c>
      <c r="DK189">
        <v>1</v>
      </c>
      <c r="DL189" t="s">
        <v>489</v>
      </c>
      <c r="DM189">
        <v>6</v>
      </c>
      <c r="DN189" t="s">
        <v>484</v>
      </c>
      <c r="DO189">
        <v>1</v>
      </c>
    </row>
    <row r="190" spans="1:119" x14ac:dyDescent="0.2">
      <c r="A190">
        <f>ROW(Source!A189)</f>
        <v>189</v>
      </c>
      <c r="B190">
        <v>74014550</v>
      </c>
      <c r="C190">
        <v>74016632</v>
      </c>
      <c r="D190">
        <v>72646177</v>
      </c>
      <c r="E190">
        <v>1</v>
      </c>
      <c r="F190">
        <v>1</v>
      </c>
      <c r="G190">
        <v>1</v>
      </c>
      <c r="H190">
        <v>2</v>
      </c>
      <c r="I190" t="s">
        <v>734</v>
      </c>
      <c r="J190" t="s">
        <v>735</v>
      </c>
      <c r="K190" t="s">
        <v>736</v>
      </c>
      <c r="L190">
        <v>1368</v>
      </c>
      <c r="N190">
        <v>1011</v>
      </c>
      <c r="O190" t="s">
        <v>488</v>
      </c>
      <c r="P190" t="s">
        <v>488</v>
      </c>
      <c r="Q190">
        <v>1</v>
      </c>
      <c r="W190">
        <v>0</v>
      </c>
      <c r="X190">
        <v>1702650285</v>
      </c>
      <c r="Y190">
        <f t="shared" si="71"/>
        <v>21.1</v>
      </c>
      <c r="AA190">
        <v>0</v>
      </c>
      <c r="AB190">
        <v>14.41</v>
      </c>
      <c r="AC190">
        <v>0</v>
      </c>
      <c r="AD190">
        <v>0</v>
      </c>
      <c r="AE190">
        <v>0</v>
      </c>
      <c r="AF190">
        <v>8.84</v>
      </c>
      <c r="AG190">
        <v>0</v>
      </c>
      <c r="AH190">
        <v>0</v>
      </c>
      <c r="AI190">
        <v>1</v>
      </c>
      <c r="AJ190">
        <v>1.63</v>
      </c>
      <c r="AK190">
        <v>1</v>
      </c>
      <c r="AL190">
        <v>1</v>
      </c>
      <c r="AM190">
        <v>2</v>
      </c>
      <c r="AN190">
        <v>0</v>
      </c>
      <c r="AO190">
        <v>0</v>
      </c>
      <c r="AP190">
        <v>1</v>
      </c>
      <c r="AQ190">
        <v>1</v>
      </c>
      <c r="AR190">
        <v>0</v>
      </c>
      <c r="AS190" t="s">
        <v>3</v>
      </c>
      <c r="AT190">
        <v>21.1</v>
      </c>
      <c r="AU190" t="s">
        <v>3</v>
      </c>
      <c r="AV190">
        <v>1</v>
      </c>
      <c r="AW190">
        <v>2</v>
      </c>
      <c r="AX190">
        <v>74016642</v>
      </c>
      <c r="AY190">
        <v>1</v>
      </c>
      <c r="AZ190">
        <v>0</v>
      </c>
      <c r="BA190">
        <v>208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186.524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186.524</v>
      </c>
      <c r="BS190">
        <v>0</v>
      </c>
      <c r="BT190">
        <v>0</v>
      </c>
      <c r="BU190">
        <v>0</v>
      </c>
      <c r="BV190">
        <v>0</v>
      </c>
      <c r="BW190">
        <v>1</v>
      </c>
      <c r="CV190">
        <v>0</v>
      </c>
      <c r="CW190">
        <f>ROUND(Y190*Source!I189*DO190,7)</f>
        <v>0</v>
      </c>
      <c r="CX190">
        <f>ROUND(Y190*Source!I189,7)</f>
        <v>4.431</v>
      </c>
      <c r="CY190">
        <f>AB190</f>
        <v>14.41</v>
      </c>
      <c r="CZ190">
        <f>AF190</f>
        <v>8.84</v>
      </c>
      <c r="DA190">
        <f>AJ190</f>
        <v>1.63</v>
      </c>
      <c r="DB190">
        <f t="shared" si="72"/>
        <v>186.52</v>
      </c>
      <c r="DC190">
        <f t="shared" si="73"/>
        <v>0</v>
      </c>
      <c r="DD190" t="s">
        <v>3</v>
      </c>
      <c r="DE190" t="s">
        <v>3</v>
      </c>
      <c r="DF190">
        <f>ROUND(ROUND(AE190,2)*CX190,2)</f>
        <v>0</v>
      </c>
      <c r="DG190">
        <f>ROUND(ROUND(AF190*AJ190,2)*CX190,2)</f>
        <v>63.85</v>
      </c>
      <c r="DH190">
        <f t="shared" si="45"/>
        <v>0</v>
      </c>
      <c r="DI190">
        <f t="shared" si="46"/>
        <v>0</v>
      </c>
      <c r="DJ190">
        <f>DG190+DH190</f>
        <v>63.85</v>
      </c>
      <c r="DK190">
        <v>0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ROW(Source!A189)</f>
        <v>189</v>
      </c>
      <c r="B191">
        <v>74014550</v>
      </c>
      <c r="C191">
        <v>74016632</v>
      </c>
      <c r="D191">
        <v>72593880</v>
      </c>
      <c r="E191">
        <v>1</v>
      </c>
      <c r="F191">
        <v>1</v>
      </c>
      <c r="G191">
        <v>1</v>
      </c>
      <c r="H191">
        <v>3</v>
      </c>
      <c r="I191" t="s">
        <v>737</v>
      </c>
      <c r="J191" t="s">
        <v>738</v>
      </c>
      <c r="K191" t="s">
        <v>739</v>
      </c>
      <c r="L191">
        <v>1346</v>
      </c>
      <c r="N191">
        <v>1009</v>
      </c>
      <c r="O191" t="s">
        <v>314</v>
      </c>
      <c r="P191" t="s">
        <v>314</v>
      </c>
      <c r="Q191">
        <v>1</v>
      </c>
      <c r="W191">
        <v>0</v>
      </c>
      <c r="X191">
        <v>-2094538116</v>
      </c>
      <c r="Y191">
        <f t="shared" si="71"/>
        <v>22.2</v>
      </c>
      <c r="AA191">
        <v>94.4</v>
      </c>
      <c r="AB191">
        <v>0</v>
      </c>
      <c r="AC191">
        <v>0</v>
      </c>
      <c r="AD191">
        <v>0</v>
      </c>
      <c r="AE191">
        <v>61.7</v>
      </c>
      <c r="AF191">
        <v>0</v>
      </c>
      <c r="AG191">
        <v>0</v>
      </c>
      <c r="AH191">
        <v>0</v>
      </c>
      <c r="AI191">
        <v>1.53</v>
      </c>
      <c r="AJ191">
        <v>1</v>
      </c>
      <c r="AK191">
        <v>1</v>
      </c>
      <c r="AL191">
        <v>1</v>
      </c>
      <c r="AM191">
        <v>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22.2</v>
      </c>
      <c r="AU191" t="s">
        <v>3</v>
      </c>
      <c r="AV191">
        <v>0</v>
      </c>
      <c r="AW191">
        <v>2</v>
      </c>
      <c r="AX191">
        <v>74016643</v>
      </c>
      <c r="AY191">
        <v>1</v>
      </c>
      <c r="AZ191">
        <v>0</v>
      </c>
      <c r="BA191">
        <v>209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1369.74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1369.74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CV191">
        <v>0</v>
      </c>
      <c r="CW191">
        <v>0</v>
      </c>
      <c r="CX191">
        <f>ROUND(Y191*Source!I189,7)</f>
        <v>4.6619999999999999</v>
      </c>
      <c r="CY191">
        <f>AA191</f>
        <v>94.4</v>
      </c>
      <c r="CZ191">
        <f>AE191</f>
        <v>61.7</v>
      </c>
      <c r="DA191">
        <f>AI191</f>
        <v>1.53</v>
      </c>
      <c r="DB191">
        <f t="shared" si="72"/>
        <v>1369.74</v>
      </c>
      <c r="DC191">
        <f t="shared" si="73"/>
        <v>0</v>
      </c>
      <c r="DD191" t="s">
        <v>3</v>
      </c>
      <c r="DE191" t="s">
        <v>3</v>
      </c>
      <c r="DF191">
        <f>ROUND(ROUND(AE191*AI191,2)*CX191,2)</f>
        <v>440.09</v>
      </c>
      <c r="DG191">
        <f>ROUND(ROUND(AF191,2)*CX191,2)</f>
        <v>0</v>
      </c>
      <c r="DH191">
        <f t="shared" si="45"/>
        <v>0</v>
      </c>
      <c r="DI191">
        <f t="shared" si="46"/>
        <v>0</v>
      </c>
      <c r="DJ191">
        <f>DF191</f>
        <v>440.09</v>
      </c>
      <c r="DK191">
        <v>0</v>
      </c>
      <c r="DL191" t="s">
        <v>3</v>
      </c>
      <c r="DM191">
        <v>0</v>
      </c>
      <c r="DN191" t="s">
        <v>3</v>
      </c>
      <c r="DO191">
        <v>0</v>
      </c>
    </row>
    <row r="192" spans="1:119" x14ac:dyDescent="0.2">
      <c r="A192">
        <f>ROW(Source!A189)</f>
        <v>189</v>
      </c>
      <c r="B192">
        <v>74014550</v>
      </c>
      <c r="C192">
        <v>74016632</v>
      </c>
      <c r="D192">
        <v>72598915</v>
      </c>
      <c r="E192">
        <v>1</v>
      </c>
      <c r="F192">
        <v>1</v>
      </c>
      <c r="G192">
        <v>1</v>
      </c>
      <c r="H192">
        <v>3</v>
      </c>
      <c r="I192" t="s">
        <v>740</v>
      </c>
      <c r="J192" t="s">
        <v>741</v>
      </c>
      <c r="K192" t="s">
        <v>742</v>
      </c>
      <c r="L192">
        <v>1348</v>
      </c>
      <c r="N192">
        <v>1009</v>
      </c>
      <c r="O192" t="s">
        <v>243</v>
      </c>
      <c r="P192" t="s">
        <v>243</v>
      </c>
      <c r="Q192">
        <v>1000</v>
      </c>
      <c r="W192">
        <v>0</v>
      </c>
      <c r="X192">
        <v>536527793</v>
      </c>
      <c r="Y192">
        <f t="shared" si="71"/>
        <v>5.1999999999999998E-2</v>
      </c>
      <c r="AA192">
        <v>75462.539999999994</v>
      </c>
      <c r="AB192">
        <v>0</v>
      </c>
      <c r="AC192">
        <v>0</v>
      </c>
      <c r="AD192">
        <v>0</v>
      </c>
      <c r="AE192">
        <v>55898.18</v>
      </c>
      <c r="AF192">
        <v>0</v>
      </c>
      <c r="AG192">
        <v>0</v>
      </c>
      <c r="AH192">
        <v>0</v>
      </c>
      <c r="AI192">
        <v>1.35</v>
      </c>
      <c r="AJ192">
        <v>1</v>
      </c>
      <c r="AK192">
        <v>1</v>
      </c>
      <c r="AL192">
        <v>1</v>
      </c>
      <c r="AM192">
        <v>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5.1999999999999998E-2</v>
      </c>
      <c r="AU192" t="s">
        <v>3</v>
      </c>
      <c r="AV192">
        <v>0</v>
      </c>
      <c r="AW192">
        <v>2</v>
      </c>
      <c r="AX192">
        <v>74016644</v>
      </c>
      <c r="AY192">
        <v>1</v>
      </c>
      <c r="AZ192">
        <v>0</v>
      </c>
      <c r="BA192">
        <v>210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2906.7053599999999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2906.7053599999999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CV192">
        <v>0</v>
      </c>
      <c r="CW192">
        <v>0</v>
      </c>
      <c r="CX192">
        <f>ROUND(Y192*Source!I189,7)</f>
        <v>1.0919999999999999E-2</v>
      </c>
      <c r="CY192">
        <f>AA192</f>
        <v>75462.539999999994</v>
      </c>
      <c r="CZ192">
        <f>AE192</f>
        <v>55898.18</v>
      </c>
      <c r="DA192">
        <f>AI192</f>
        <v>1.35</v>
      </c>
      <c r="DB192">
        <f t="shared" si="72"/>
        <v>2906.71</v>
      </c>
      <c r="DC192">
        <f t="shared" si="73"/>
        <v>0</v>
      </c>
      <c r="DD192" t="s">
        <v>3</v>
      </c>
      <c r="DE192" t="s">
        <v>3</v>
      </c>
      <c r="DF192">
        <f>ROUND(ROUND(AE192*AI192,2)*CX192,2)</f>
        <v>824.05</v>
      </c>
      <c r="DG192">
        <f>ROUND(ROUND(AF192,2)*CX192,2)</f>
        <v>0</v>
      </c>
      <c r="DH192">
        <f t="shared" si="45"/>
        <v>0</v>
      </c>
      <c r="DI192">
        <f t="shared" si="46"/>
        <v>0</v>
      </c>
      <c r="DJ192">
        <f>DF192</f>
        <v>824.05</v>
      </c>
      <c r="DK192">
        <v>0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ROW(Source!A190)</f>
        <v>190</v>
      </c>
      <c r="B193">
        <v>74014550</v>
      </c>
      <c r="C193">
        <v>74017886</v>
      </c>
      <c r="D193">
        <v>20056683</v>
      </c>
      <c r="E193">
        <v>119</v>
      </c>
      <c r="F193">
        <v>1</v>
      </c>
      <c r="G193">
        <v>1</v>
      </c>
      <c r="H193">
        <v>1</v>
      </c>
      <c r="I193" t="s">
        <v>572</v>
      </c>
      <c r="J193" t="s">
        <v>3</v>
      </c>
      <c r="K193" t="s">
        <v>573</v>
      </c>
      <c r="L193">
        <v>1191</v>
      </c>
      <c r="N193">
        <v>1013</v>
      </c>
      <c r="O193" t="s">
        <v>484</v>
      </c>
      <c r="P193" t="s">
        <v>484</v>
      </c>
      <c r="Q193">
        <v>1</v>
      </c>
      <c r="W193">
        <v>0</v>
      </c>
      <c r="X193">
        <v>1521243167</v>
      </c>
      <c r="Y193">
        <f t="shared" si="71"/>
        <v>5.7</v>
      </c>
      <c r="AA193">
        <v>0</v>
      </c>
      <c r="AB193">
        <v>0</v>
      </c>
      <c r="AC193">
        <v>0</v>
      </c>
      <c r="AD193">
        <v>442.06</v>
      </c>
      <c r="AE193">
        <v>0</v>
      </c>
      <c r="AF193">
        <v>0</v>
      </c>
      <c r="AG193">
        <v>0</v>
      </c>
      <c r="AH193">
        <v>442.06</v>
      </c>
      <c r="AI193">
        <v>1</v>
      </c>
      <c r="AJ193">
        <v>1</v>
      </c>
      <c r="AK193">
        <v>1</v>
      </c>
      <c r="AL193">
        <v>1</v>
      </c>
      <c r="AM193">
        <v>-2</v>
      </c>
      <c r="AN193">
        <v>0</v>
      </c>
      <c r="AO193">
        <v>0</v>
      </c>
      <c r="AP193">
        <v>1</v>
      </c>
      <c r="AQ193">
        <v>1</v>
      </c>
      <c r="AR193">
        <v>0</v>
      </c>
      <c r="AS193" t="s">
        <v>3</v>
      </c>
      <c r="AT193">
        <v>5.7</v>
      </c>
      <c r="AU193" t="s">
        <v>3</v>
      </c>
      <c r="AV193">
        <v>1</v>
      </c>
      <c r="AW193">
        <v>2</v>
      </c>
      <c r="AX193">
        <v>74017892</v>
      </c>
      <c r="AY193">
        <v>1</v>
      </c>
      <c r="AZ193">
        <v>0</v>
      </c>
      <c r="BA193">
        <v>212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2519.7420000000002</v>
      </c>
      <c r="BN193">
        <v>5.7</v>
      </c>
      <c r="BO193">
        <v>0</v>
      </c>
      <c r="BP193">
        <v>1</v>
      </c>
      <c r="BQ193">
        <v>0</v>
      </c>
      <c r="BR193">
        <v>0</v>
      </c>
      <c r="BS193">
        <v>0</v>
      </c>
      <c r="BT193">
        <v>2519.7420000000002</v>
      </c>
      <c r="BU193">
        <v>5.7</v>
      </c>
      <c r="BV193">
        <v>0</v>
      </c>
      <c r="BW193">
        <v>1</v>
      </c>
      <c r="CU193">
        <f>ROUND(AT193*Source!I190*AH193*AL193,2)</f>
        <v>529.15</v>
      </c>
      <c r="CV193">
        <f>ROUND(Y193*Source!I190,7)</f>
        <v>1.1970000000000001</v>
      </c>
      <c r="CW193">
        <v>0</v>
      </c>
      <c r="CX193">
        <f>ROUND(Y193*Source!I190,7)</f>
        <v>1.1970000000000001</v>
      </c>
      <c r="CY193">
        <f>AD193</f>
        <v>442.06</v>
      </c>
      <c r="CZ193">
        <f>AH193</f>
        <v>442.06</v>
      </c>
      <c r="DA193">
        <f>AL193</f>
        <v>1</v>
      </c>
      <c r="DB193">
        <f t="shared" si="72"/>
        <v>2519.7399999999998</v>
      </c>
      <c r="DC193">
        <f t="shared" si="73"/>
        <v>0</v>
      </c>
      <c r="DD193" t="s">
        <v>3</v>
      </c>
      <c r="DE193" t="s">
        <v>3</v>
      </c>
      <c r="DF193">
        <f t="shared" ref="DF193:DF204" si="74">ROUND(ROUND(AE193,2)*CX193,2)</f>
        <v>0</v>
      </c>
      <c r="DG193">
        <f>ROUND(ROUND(AF193,2)*CX193,2)</f>
        <v>0</v>
      </c>
      <c r="DH193">
        <f t="shared" ref="DH193:DH250" si="75">ROUND(ROUND(AG193,2)*CX193,2)</f>
        <v>0</v>
      </c>
      <c r="DI193">
        <f t="shared" ref="DI193:DI250" si="76">ROUND(ROUND(AH193,2)*CX193,2)</f>
        <v>529.15</v>
      </c>
      <c r="DJ193">
        <f>DI193</f>
        <v>529.15</v>
      </c>
      <c r="DK193">
        <v>1</v>
      </c>
      <c r="DL193" t="s">
        <v>3</v>
      </c>
      <c r="DM193">
        <v>0</v>
      </c>
      <c r="DN193" t="s">
        <v>3</v>
      </c>
      <c r="DO193">
        <v>0</v>
      </c>
    </row>
    <row r="194" spans="1:119" x14ac:dyDescent="0.2">
      <c r="A194">
        <f>ROW(Source!A190)</f>
        <v>190</v>
      </c>
      <c r="B194">
        <v>74014550</v>
      </c>
      <c r="C194">
        <v>74017886</v>
      </c>
      <c r="D194">
        <v>72646149</v>
      </c>
      <c r="E194">
        <v>1</v>
      </c>
      <c r="F194">
        <v>1</v>
      </c>
      <c r="G194">
        <v>1</v>
      </c>
      <c r="H194">
        <v>2</v>
      </c>
      <c r="I194" t="s">
        <v>574</v>
      </c>
      <c r="J194" t="s">
        <v>575</v>
      </c>
      <c r="K194" t="s">
        <v>576</v>
      </c>
      <c r="L194">
        <v>1368</v>
      </c>
      <c r="N194">
        <v>1011</v>
      </c>
      <c r="O194" t="s">
        <v>488</v>
      </c>
      <c r="P194" t="s">
        <v>488</v>
      </c>
      <c r="Q194">
        <v>1</v>
      </c>
      <c r="W194">
        <v>0</v>
      </c>
      <c r="X194">
        <v>-322869027</v>
      </c>
      <c r="Y194">
        <f t="shared" si="71"/>
        <v>0.9</v>
      </c>
      <c r="AA194">
        <v>0</v>
      </c>
      <c r="AB194">
        <v>470.42</v>
      </c>
      <c r="AC194">
        <v>0</v>
      </c>
      <c r="AD194">
        <v>0</v>
      </c>
      <c r="AE194">
        <v>0</v>
      </c>
      <c r="AF194">
        <v>345.9</v>
      </c>
      <c r="AG194">
        <v>0</v>
      </c>
      <c r="AH194">
        <v>0</v>
      </c>
      <c r="AI194">
        <v>1</v>
      </c>
      <c r="AJ194">
        <v>1.36</v>
      </c>
      <c r="AK194">
        <v>1</v>
      </c>
      <c r="AL194">
        <v>1</v>
      </c>
      <c r="AM194">
        <v>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0.9</v>
      </c>
      <c r="AU194" t="s">
        <v>3</v>
      </c>
      <c r="AV194">
        <v>1</v>
      </c>
      <c r="AW194">
        <v>2</v>
      </c>
      <c r="AX194">
        <v>74017893</v>
      </c>
      <c r="AY194">
        <v>1</v>
      </c>
      <c r="AZ194">
        <v>0</v>
      </c>
      <c r="BA194">
        <v>213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311.31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311.31</v>
      </c>
      <c r="BS194">
        <v>0</v>
      </c>
      <c r="BT194">
        <v>0</v>
      </c>
      <c r="BU194">
        <v>0</v>
      </c>
      <c r="BV194">
        <v>0</v>
      </c>
      <c r="BW194">
        <v>1</v>
      </c>
      <c r="CV194">
        <v>0</v>
      </c>
      <c r="CW194">
        <f>ROUND(Y194*Source!I190*DO194,7)</f>
        <v>0</v>
      </c>
      <c r="CX194">
        <f>ROUND(Y194*Source!I190,7)</f>
        <v>0.189</v>
      </c>
      <c r="CY194">
        <f>AB194</f>
        <v>470.42</v>
      </c>
      <c r="CZ194">
        <f>AF194</f>
        <v>345.9</v>
      </c>
      <c r="DA194">
        <f>AJ194</f>
        <v>1.36</v>
      </c>
      <c r="DB194">
        <f t="shared" si="72"/>
        <v>311.31</v>
      </c>
      <c r="DC194">
        <f t="shared" si="73"/>
        <v>0</v>
      </c>
      <c r="DD194" t="s">
        <v>3</v>
      </c>
      <c r="DE194" t="s">
        <v>3</v>
      </c>
      <c r="DF194">
        <f t="shared" si="74"/>
        <v>0</v>
      </c>
      <c r="DG194">
        <f>ROUND(ROUND(AF194*AJ194,2)*CX194,2)</f>
        <v>88.91</v>
      </c>
      <c r="DH194">
        <f t="shared" si="75"/>
        <v>0</v>
      </c>
      <c r="DI194">
        <f t="shared" si="76"/>
        <v>0</v>
      </c>
      <c r="DJ194">
        <f>DG194+DH194</f>
        <v>88.91</v>
      </c>
      <c r="DK194">
        <v>0</v>
      </c>
      <c r="DL194" t="s">
        <v>3</v>
      </c>
      <c r="DM194">
        <v>0</v>
      </c>
      <c r="DN194" t="s">
        <v>3</v>
      </c>
      <c r="DO194">
        <v>0</v>
      </c>
    </row>
    <row r="195" spans="1:119" x14ac:dyDescent="0.2">
      <c r="A195">
        <f>ROW(Source!A190)</f>
        <v>190</v>
      </c>
      <c r="B195">
        <v>74014550</v>
      </c>
      <c r="C195">
        <v>74017886</v>
      </c>
      <c r="D195">
        <v>72646970</v>
      </c>
      <c r="E195">
        <v>1</v>
      </c>
      <c r="F195">
        <v>1</v>
      </c>
      <c r="G195">
        <v>1</v>
      </c>
      <c r="H195">
        <v>2</v>
      </c>
      <c r="I195" t="s">
        <v>577</v>
      </c>
      <c r="J195" t="s">
        <v>578</v>
      </c>
      <c r="K195" t="s">
        <v>579</v>
      </c>
      <c r="L195">
        <v>1368</v>
      </c>
      <c r="N195">
        <v>1011</v>
      </c>
      <c r="O195" t="s">
        <v>488</v>
      </c>
      <c r="P195" t="s">
        <v>488</v>
      </c>
      <c r="Q195">
        <v>1</v>
      </c>
      <c r="W195">
        <v>0</v>
      </c>
      <c r="X195">
        <v>-550484749</v>
      </c>
      <c r="Y195">
        <f t="shared" si="71"/>
        <v>0.48</v>
      </c>
      <c r="AA195">
        <v>0</v>
      </c>
      <c r="AB195">
        <v>48.02</v>
      </c>
      <c r="AC195">
        <v>0</v>
      </c>
      <c r="AD195">
        <v>0</v>
      </c>
      <c r="AE195">
        <v>0</v>
      </c>
      <c r="AF195">
        <v>27.13</v>
      </c>
      <c r="AG195">
        <v>0</v>
      </c>
      <c r="AH195">
        <v>0</v>
      </c>
      <c r="AI195">
        <v>1</v>
      </c>
      <c r="AJ195">
        <v>1.77</v>
      </c>
      <c r="AK195">
        <v>1</v>
      </c>
      <c r="AL195">
        <v>1</v>
      </c>
      <c r="AM195">
        <v>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0.48</v>
      </c>
      <c r="AU195" t="s">
        <v>3</v>
      </c>
      <c r="AV195">
        <v>1</v>
      </c>
      <c r="AW195">
        <v>2</v>
      </c>
      <c r="AX195">
        <v>74017894</v>
      </c>
      <c r="AY195">
        <v>1</v>
      </c>
      <c r="AZ195">
        <v>0</v>
      </c>
      <c r="BA195">
        <v>214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13.022399999999999</v>
      </c>
      <c r="BL195">
        <v>0</v>
      </c>
      <c r="BM195">
        <v>0</v>
      </c>
      <c r="BN195">
        <v>0</v>
      </c>
      <c r="BO195">
        <v>0</v>
      </c>
      <c r="BP195">
        <v>1</v>
      </c>
      <c r="BQ195">
        <v>0</v>
      </c>
      <c r="BR195">
        <v>13.022399999999999</v>
      </c>
      <c r="BS195">
        <v>0</v>
      </c>
      <c r="BT195">
        <v>0</v>
      </c>
      <c r="BU195">
        <v>0</v>
      </c>
      <c r="BV195">
        <v>0</v>
      </c>
      <c r="BW195">
        <v>1</v>
      </c>
      <c r="CV195">
        <v>0</v>
      </c>
      <c r="CW195">
        <f>ROUND(Y195*Source!I190*DO195,7)</f>
        <v>0</v>
      </c>
      <c r="CX195">
        <f>ROUND(Y195*Source!I190,7)</f>
        <v>0.1008</v>
      </c>
      <c r="CY195">
        <f>AB195</f>
        <v>48.02</v>
      </c>
      <c r="CZ195">
        <f>AF195</f>
        <v>27.13</v>
      </c>
      <c r="DA195">
        <f>AJ195</f>
        <v>1.77</v>
      </c>
      <c r="DB195">
        <f t="shared" si="72"/>
        <v>13.02</v>
      </c>
      <c r="DC195">
        <f t="shared" si="73"/>
        <v>0</v>
      </c>
      <c r="DD195" t="s">
        <v>3</v>
      </c>
      <c r="DE195" t="s">
        <v>3</v>
      </c>
      <c r="DF195">
        <f t="shared" si="74"/>
        <v>0</v>
      </c>
      <c r="DG195">
        <f>ROUND(ROUND(AF195*AJ195,2)*CX195,2)</f>
        <v>4.84</v>
      </c>
      <c r="DH195">
        <f t="shared" si="75"/>
        <v>0</v>
      </c>
      <c r="DI195">
        <f t="shared" si="76"/>
        <v>0</v>
      </c>
      <c r="DJ195">
        <f>DG195+DH195</f>
        <v>4.84</v>
      </c>
      <c r="DK195">
        <v>0</v>
      </c>
      <c r="DL195" t="s">
        <v>3</v>
      </c>
      <c r="DM195">
        <v>0</v>
      </c>
      <c r="DN195" t="s">
        <v>3</v>
      </c>
      <c r="DO195">
        <v>0</v>
      </c>
    </row>
    <row r="196" spans="1:119" x14ac:dyDescent="0.2">
      <c r="A196">
        <f>ROW(Source!A190)</f>
        <v>190</v>
      </c>
      <c r="B196">
        <v>74014550</v>
      </c>
      <c r="C196">
        <v>74017886</v>
      </c>
      <c r="D196">
        <v>72633930</v>
      </c>
      <c r="E196">
        <v>1</v>
      </c>
      <c r="F196">
        <v>1</v>
      </c>
      <c r="G196">
        <v>1</v>
      </c>
      <c r="H196">
        <v>3</v>
      </c>
      <c r="I196" t="s">
        <v>141</v>
      </c>
      <c r="J196" t="s">
        <v>143</v>
      </c>
      <c r="K196" t="s">
        <v>142</v>
      </c>
      <c r="L196">
        <v>1301</v>
      </c>
      <c r="N196">
        <v>1003</v>
      </c>
      <c r="O196" t="s">
        <v>125</v>
      </c>
      <c r="P196" t="s">
        <v>125</v>
      </c>
      <c r="Q196">
        <v>1</v>
      </c>
      <c r="W196">
        <v>0</v>
      </c>
      <c r="X196">
        <v>-1478815123</v>
      </c>
      <c r="Y196">
        <f t="shared" si="71"/>
        <v>100</v>
      </c>
      <c r="AA196">
        <v>445.96</v>
      </c>
      <c r="AB196">
        <v>0</v>
      </c>
      <c r="AC196">
        <v>0</v>
      </c>
      <c r="AD196">
        <v>0</v>
      </c>
      <c r="AE196">
        <v>445.96</v>
      </c>
      <c r="AF196">
        <v>0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M196">
        <v>0</v>
      </c>
      <c r="AN196">
        <v>0</v>
      </c>
      <c r="AO196">
        <v>0</v>
      </c>
      <c r="AP196">
        <v>1</v>
      </c>
      <c r="AQ196">
        <v>0</v>
      </c>
      <c r="AR196">
        <v>0</v>
      </c>
      <c r="AS196" t="s">
        <v>3</v>
      </c>
      <c r="AT196">
        <v>100</v>
      </c>
      <c r="AU196" t="s">
        <v>3</v>
      </c>
      <c r="AV196">
        <v>0</v>
      </c>
      <c r="AW196">
        <v>1</v>
      </c>
      <c r="AX196">
        <v>-1</v>
      </c>
      <c r="AY196">
        <v>0</v>
      </c>
      <c r="AZ196">
        <v>0</v>
      </c>
      <c r="BA196" t="s">
        <v>3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CV196">
        <v>0</v>
      </c>
      <c r="CW196">
        <v>0</v>
      </c>
      <c r="CX196">
        <f>ROUND(Y196*Source!I190,7)</f>
        <v>21</v>
      </c>
      <c r="CY196">
        <f>AA196</f>
        <v>445.96</v>
      </c>
      <c r="CZ196">
        <f>AE196</f>
        <v>445.96</v>
      </c>
      <c r="DA196">
        <f>AI196</f>
        <v>1</v>
      </c>
      <c r="DB196">
        <f t="shared" si="72"/>
        <v>44596</v>
      </c>
      <c r="DC196">
        <f t="shared" si="73"/>
        <v>0</v>
      </c>
      <c r="DD196" t="s">
        <v>3</v>
      </c>
      <c r="DE196" t="s">
        <v>3</v>
      </c>
      <c r="DF196">
        <f t="shared" si="74"/>
        <v>9365.16</v>
      </c>
      <c r="DG196">
        <f t="shared" ref="DG196:DG201" si="77">ROUND(ROUND(AF196,2)*CX196,2)</f>
        <v>0</v>
      </c>
      <c r="DH196">
        <f t="shared" si="75"/>
        <v>0</v>
      </c>
      <c r="DI196">
        <f t="shared" si="76"/>
        <v>0</v>
      </c>
      <c r="DJ196">
        <f>DF196</f>
        <v>9365.16</v>
      </c>
      <c r="DK196">
        <v>1</v>
      </c>
      <c r="DL196" t="s">
        <v>3</v>
      </c>
      <c r="DM196">
        <v>0</v>
      </c>
      <c r="DN196" t="s">
        <v>3</v>
      </c>
      <c r="DO196">
        <v>0</v>
      </c>
    </row>
    <row r="197" spans="1:119" x14ac:dyDescent="0.2">
      <c r="A197">
        <f>ROW(Source!A190)</f>
        <v>190</v>
      </c>
      <c r="B197">
        <v>74014550</v>
      </c>
      <c r="C197">
        <v>74017886</v>
      </c>
      <c r="D197">
        <v>72635017</v>
      </c>
      <c r="E197">
        <v>1</v>
      </c>
      <c r="F197">
        <v>1</v>
      </c>
      <c r="G197">
        <v>1</v>
      </c>
      <c r="H197">
        <v>3</v>
      </c>
      <c r="I197" t="s">
        <v>580</v>
      </c>
      <c r="J197" t="s">
        <v>581</v>
      </c>
      <c r="K197" t="s">
        <v>582</v>
      </c>
      <c r="L197">
        <v>1371</v>
      </c>
      <c r="N197">
        <v>1013</v>
      </c>
      <c r="O197" t="s">
        <v>130</v>
      </c>
      <c r="P197" t="s">
        <v>130</v>
      </c>
      <c r="Q197">
        <v>1</v>
      </c>
      <c r="W197">
        <v>0</v>
      </c>
      <c r="X197">
        <v>-1342207248</v>
      </c>
      <c r="Y197">
        <f t="shared" si="71"/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3</v>
      </c>
      <c r="AN197">
        <v>0</v>
      </c>
      <c r="AO197">
        <v>0</v>
      </c>
      <c r="AP197">
        <v>1</v>
      </c>
      <c r="AQ197">
        <v>1</v>
      </c>
      <c r="AR197">
        <v>0</v>
      </c>
      <c r="AS197" t="s">
        <v>3</v>
      </c>
      <c r="AT197">
        <v>0</v>
      </c>
      <c r="AU197" t="s">
        <v>3</v>
      </c>
      <c r="AV197">
        <v>0</v>
      </c>
      <c r="AW197">
        <v>2</v>
      </c>
      <c r="AX197">
        <v>74017896</v>
      </c>
      <c r="AY197">
        <v>2</v>
      </c>
      <c r="AZ197">
        <v>22528</v>
      </c>
      <c r="BA197">
        <v>216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CV197">
        <v>0</v>
      </c>
      <c r="CW197">
        <v>0</v>
      </c>
      <c r="CX197">
        <f>ROUND(Y197*Source!I190,7)</f>
        <v>0</v>
      </c>
      <c r="CY197">
        <f>AA197</f>
        <v>0</v>
      </c>
      <c r="CZ197">
        <f>AE197</f>
        <v>0</v>
      </c>
      <c r="DA197">
        <f>AI197</f>
        <v>1</v>
      </c>
      <c r="DB197">
        <f t="shared" si="72"/>
        <v>0</v>
      </c>
      <c r="DC197">
        <f t="shared" si="73"/>
        <v>0</v>
      </c>
      <c r="DD197" t="s">
        <v>3</v>
      </c>
      <c r="DE197" t="s">
        <v>3</v>
      </c>
      <c r="DF197">
        <f t="shared" si="74"/>
        <v>0</v>
      </c>
      <c r="DG197">
        <f t="shared" si="77"/>
        <v>0</v>
      </c>
      <c r="DH197">
        <f t="shared" si="75"/>
        <v>0</v>
      </c>
      <c r="DI197">
        <f t="shared" si="76"/>
        <v>0</v>
      </c>
      <c r="DJ197">
        <f>DF197</f>
        <v>0</v>
      </c>
      <c r="DK197">
        <v>2</v>
      </c>
      <c r="DL197" t="s">
        <v>3</v>
      </c>
      <c r="DM197">
        <v>0</v>
      </c>
      <c r="DN197" t="s">
        <v>3</v>
      </c>
      <c r="DO197">
        <v>0</v>
      </c>
    </row>
    <row r="198" spans="1:119" x14ac:dyDescent="0.2">
      <c r="A198">
        <f>ROW(Source!A192)</f>
        <v>192</v>
      </c>
      <c r="B198">
        <v>74014550</v>
      </c>
      <c r="C198">
        <v>74016647</v>
      </c>
      <c r="D198">
        <v>20049117</v>
      </c>
      <c r="E198">
        <v>119</v>
      </c>
      <c r="F198">
        <v>1</v>
      </c>
      <c r="G198">
        <v>1</v>
      </c>
      <c r="H198">
        <v>1</v>
      </c>
      <c r="I198" t="s">
        <v>689</v>
      </c>
      <c r="J198" t="s">
        <v>3</v>
      </c>
      <c r="K198" t="s">
        <v>690</v>
      </c>
      <c r="L198">
        <v>1191</v>
      </c>
      <c r="N198">
        <v>1013</v>
      </c>
      <c r="O198" t="s">
        <v>484</v>
      </c>
      <c r="P198" t="s">
        <v>484</v>
      </c>
      <c r="Q198">
        <v>1</v>
      </c>
      <c r="W198">
        <v>0</v>
      </c>
      <c r="X198">
        <v>44848675</v>
      </c>
      <c r="Y198">
        <f t="shared" si="71"/>
        <v>1.54</v>
      </c>
      <c r="AA198">
        <v>0</v>
      </c>
      <c r="AB198">
        <v>0</v>
      </c>
      <c r="AC198">
        <v>0</v>
      </c>
      <c r="AD198">
        <v>391.28</v>
      </c>
      <c r="AE198">
        <v>0</v>
      </c>
      <c r="AF198">
        <v>0</v>
      </c>
      <c r="AG198">
        <v>0</v>
      </c>
      <c r="AH198">
        <v>391.28</v>
      </c>
      <c r="AI198">
        <v>1</v>
      </c>
      <c r="AJ198">
        <v>1</v>
      </c>
      <c r="AK198">
        <v>1</v>
      </c>
      <c r="AL198">
        <v>1</v>
      </c>
      <c r="AM198">
        <v>-2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1.54</v>
      </c>
      <c r="AU198" t="s">
        <v>3</v>
      </c>
      <c r="AV198">
        <v>1</v>
      </c>
      <c r="AW198">
        <v>2</v>
      </c>
      <c r="AX198">
        <v>74016660</v>
      </c>
      <c r="AY198">
        <v>1</v>
      </c>
      <c r="AZ198">
        <v>0</v>
      </c>
      <c r="BA198">
        <v>217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602.57119999999998</v>
      </c>
      <c r="BN198">
        <v>1.54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602.57119999999998</v>
      </c>
      <c r="BU198">
        <v>1.54</v>
      </c>
      <c r="BV198">
        <v>0</v>
      </c>
      <c r="BW198">
        <v>1</v>
      </c>
      <c r="CU198">
        <f>ROUND(AT198*Source!I192*AH198*AL198,2)</f>
        <v>602.57000000000005</v>
      </c>
      <c r="CV198">
        <f>ROUND(Y198*Source!I192,7)</f>
        <v>1.54</v>
      </c>
      <c r="CW198">
        <v>0</v>
      </c>
      <c r="CX198">
        <f>ROUND(Y198*Source!I192,7)</f>
        <v>1.54</v>
      </c>
      <c r="CY198">
        <f>AD198</f>
        <v>391.28</v>
      </c>
      <c r="CZ198">
        <f>AH198</f>
        <v>391.28</v>
      </c>
      <c r="DA198">
        <f>AL198</f>
        <v>1</v>
      </c>
      <c r="DB198">
        <f t="shared" si="72"/>
        <v>602.57000000000005</v>
      </c>
      <c r="DC198">
        <f t="shared" si="73"/>
        <v>0</v>
      </c>
      <c r="DD198" t="s">
        <v>3</v>
      </c>
      <c r="DE198" t="s">
        <v>3</v>
      </c>
      <c r="DF198">
        <f t="shared" si="74"/>
        <v>0</v>
      </c>
      <c r="DG198">
        <f t="shared" si="77"/>
        <v>0</v>
      </c>
      <c r="DH198">
        <f t="shared" si="75"/>
        <v>0</v>
      </c>
      <c r="DI198">
        <f t="shared" si="76"/>
        <v>602.57000000000005</v>
      </c>
      <c r="DJ198">
        <f>DI198</f>
        <v>602.57000000000005</v>
      </c>
      <c r="DK198">
        <v>1</v>
      </c>
      <c r="DL198" t="s">
        <v>3</v>
      </c>
      <c r="DM198">
        <v>0</v>
      </c>
      <c r="DN198" t="s">
        <v>3</v>
      </c>
      <c r="DO198">
        <v>0</v>
      </c>
    </row>
    <row r="199" spans="1:119" x14ac:dyDescent="0.2">
      <c r="A199">
        <f>ROW(Source!A192)</f>
        <v>192</v>
      </c>
      <c r="B199">
        <v>74014550</v>
      </c>
      <c r="C199">
        <v>74016647</v>
      </c>
      <c r="D199">
        <v>20049115</v>
      </c>
      <c r="E199">
        <v>119</v>
      </c>
      <c r="F199">
        <v>1</v>
      </c>
      <c r="G199">
        <v>1</v>
      </c>
      <c r="H199">
        <v>1</v>
      </c>
      <c r="I199" t="s">
        <v>482</v>
      </c>
      <c r="J199" t="s">
        <v>3</v>
      </c>
      <c r="K199" t="s">
        <v>483</v>
      </c>
      <c r="L199">
        <v>1191</v>
      </c>
      <c r="N199">
        <v>1013</v>
      </c>
      <c r="O199" t="s">
        <v>484</v>
      </c>
      <c r="P199" t="s">
        <v>484</v>
      </c>
      <c r="Q199">
        <v>1</v>
      </c>
      <c r="W199">
        <v>0</v>
      </c>
      <c r="X199">
        <v>-1417349443</v>
      </c>
      <c r="Y199">
        <f t="shared" si="71"/>
        <v>0.48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-2</v>
      </c>
      <c r="AN199">
        <v>0</v>
      </c>
      <c r="AO199">
        <v>0</v>
      </c>
      <c r="AP199">
        <v>1</v>
      </c>
      <c r="AQ199">
        <v>1</v>
      </c>
      <c r="AR199">
        <v>0</v>
      </c>
      <c r="AS199" t="s">
        <v>3</v>
      </c>
      <c r="AT199">
        <v>0.48</v>
      </c>
      <c r="AU199" t="s">
        <v>3</v>
      </c>
      <c r="AV199">
        <v>2</v>
      </c>
      <c r="AW199">
        <v>2</v>
      </c>
      <c r="AX199">
        <v>74016661</v>
      </c>
      <c r="AY199">
        <v>1</v>
      </c>
      <c r="AZ199">
        <v>0</v>
      </c>
      <c r="BA199">
        <v>218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CV199">
        <v>0</v>
      </c>
      <c r="CW199">
        <v>0</v>
      </c>
      <c r="CX199">
        <f>ROUND(Y199*Source!I192,7)</f>
        <v>0.48</v>
      </c>
      <c r="CY199">
        <f>AD199</f>
        <v>0</v>
      </c>
      <c r="CZ199">
        <f>AH199</f>
        <v>0</v>
      </c>
      <c r="DA199">
        <f>AL199</f>
        <v>1</v>
      </c>
      <c r="DB199">
        <f t="shared" si="72"/>
        <v>0</v>
      </c>
      <c r="DC199">
        <f t="shared" si="73"/>
        <v>0</v>
      </c>
      <c r="DD199" t="s">
        <v>3</v>
      </c>
      <c r="DE199" t="s">
        <v>3</v>
      </c>
      <c r="DF199">
        <f t="shared" si="74"/>
        <v>0</v>
      </c>
      <c r="DG199">
        <f t="shared" si="77"/>
        <v>0</v>
      </c>
      <c r="DH199">
        <f t="shared" si="75"/>
        <v>0</v>
      </c>
      <c r="DI199">
        <f t="shared" si="76"/>
        <v>0</v>
      </c>
      <c r="DJ199">
        <f>DI199</f>
        <v>0</v>
      </c>
      <c r="DK199">
        <v>0</v>
      </c>
      <c r="DL199" t="s">
        <v>3</v>
      </c>
      <c r="DM199">
        <v>0</v>
      </c>
      <c r="DN199" t="s">
        <v>3</v>
      </c>
      <c r="DO199">
        <v>0</v>
      </c>
    </row>
    <row r="200" spans="1:119" x14ac:dyDescent="0.2">
      <c r="A200">
        <f>ROW(Source!A192)</f>
        <v>192</v>
      </c>
      <c r="B200">
        <v>74014550</v>
      </c>
      <c r="C200">
        <v>74016647</v>
      </c>
      <c r="D200">
        <v>72646037</v>
      </c>
      <c r="E200">
        <v>1</v>
      </c>
      <c r="F200">
        <v>1</v>
      </c>
      <c r="G200">
        <v>1</v>
      </c>
      <c r="H200">
        <v>2</v>
      </c>
      <c r="I200" t="s">
        <v>636</v>
      </c>
      <c r="J200" t="s">
        <v>637</v>
      </c>
      <c r="K200" t="s">
        <v>638</v>
      </c>
      <c r="L200">
        <v>1368</v>
      </c>
      <c r="N200">
        <v>1011</v>
      </c>
      <c r="O200" t="s">
        <v>488</v>
      </c>
      <c r="P200" t="s">
        <v>488</v>
      </c>
      <c r="Q200">
        <v>1</v>
      </c>
      <c r="W200">
        <v>0</v>
      </c>
      <c r="X200">
        <v>-1791740122</v>
      </c>
      <c r="Y200">
        <f t="shared" si="71"/>
        <v>0.25</v>
      </c>
      <c r="AA200">
        <v>0</v>
      </c>
      <c r="AB200">
        <v>1836.16</v>
      </c>
      <c r="AC200">
        <v>537.64</v>
      </c>
      <c r="AD200">
        <v>0</v>
      </c>
      <c r="AE200">
        <v>0</v>
      </c>
      <c r="AF200">
        <v>1836.16</v>
      </c>
      <c r="AG200">
        <v>537.64</v>
      </c>
      <c r="AH200">
        <v>0</v>
      </c>
      <c r="AI200">
        <v>1</v>
      </c>
      <c r="AJ200">
        <v>1</v>
      </c>
      <c r="AK200">
        <v>1</v>
      </c>
      <c r="AL200">
        <v>1</v>
      </c>
      <c r="AM200">
        <v>-2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0.25</v>
      </c>
      <c r="AU200" t="s">
        <v>3</v>
      </c>
      <c r="AV200">
        <v>1</v>
      </c>
      <c r="AW200">
        <v>2</v>
      </c>
      <c r="AX200">
        <v>74016662</v>
      </c>
      <c r="AY200">
        <v>1</v>
      </c>
      <c r="AZ200">
        <v>0</v>
      </c>
      <c r="BA200">
        <v>219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459.04</v>
      </c>
      <c r="BL200">
        <v>134.41</v>
      </c>
      <c r="BM200">
        <v>0</v>
      </c>
      <c r="BN200">
        <v>0</v>
      </c>
      <c r="BO200">
        <v>0.25</v>
      </c>
      <c r="BP200">
        <v>1</v>
      </c>
      <c r="BQ200">
        <v>0</v>
      </c>
      <c r="BR200">
        <v>459.04</v>
      </c>
      <c r="BS200">
        <v>134.41</v>
      </c>
      <c r="BT200">
        <v>0</v>
      </c>
      <c r="BU200">
        <v>0</v>
      </c>
      <c r="BV200">
        <v>0.25</v>
      </c>
      <c r="BW200">
        <v>1</v>
      </c>
      <c r="CV200">
        <v>0</v>
      </c>
      <c r="CW200">
        <f>ROUND(Y200*Source!I192*DO200,7)</f>
        <v>0.25</v>
      </c>
      <c r="CX200">
        <f>ROUND(Y200*Source!I192,7)</f>
        <v>0.25</v>
      </c>
      <c r="CY200">
        <f>AB200</f>
        <v>1836.16</v>
      </c>
      <c r="CZ200">
        <f>AF200</f>
        <v>1836.16</v>
      </c>
      <c r="DA200">
        <f>AJ200</f>
        <v>1</v>
      </c>
      <c r="DB200">
        <f t="shared" si="72"/>
        <v>459.04</v>
      </c>
      <c r="DC200">
        <f t="shared" si="73"/>
        <v>134.41</v>
      </c>
      <c r="DD200" t="s">
        <v>3</v>
      </c>
      <c r="DE200" t="s">
        <v>3</v>
      </c>
      <c r="DF200">
        <f t="shared" si="74"/>
        <v>0</v>
      </c>
      <c r="DG200">
        <f t="shared" si="77"/>
        <v>459.04</v>
      </c>
      <c r="DH200">
        <f t="shared" si="75"/>
        <v>134.41</v>
      </c>
      <c r="DI200">
        <f t="shared" si="76"/>
        <v>0</v>
      </c>
      <c r="DJ200">
        <f>DG200+DH200</f>
        <v>593.45000000000005</v>
      </c>
      <c r="DK200">
        <v>1</v>
      </c>
      <c r="DL200" t="s">
        <v>489</v>
      </c>
      <c r="DM200">
        <v>6</v>
      </c>
      <c r="DN200" t="s">
        <v>484</v>
      </c>
      <c r="DO200">
        <v>1</v>
      </c>
    </row>
    <row r="201" spans="1:119" x14ac:dyDescent="0.2">
      <c r="A201">
        <f>ROW(Source!A192)</f>
        <v>192</v>
      </c>
      <c r="B201">
        <v>74014550</v>
      </c>
      <c r="C201">
        <v>74016647</v>
      </c>
      <c r="D201">
        <v>72646931</v>
      </c>
      <c r="E201">
        <v>1</v>
      </c>
      <c r="F201">
        <v>1</v>
      </c>
      <c r="G201">
        <v>1</v>
      </c>
      <c r="H201">
        <v>2</v>
      </c>
      <c r="I201" t="s">
        <v>545</v>
      </c>
      <c r="J201" t="s">
        <v>546</v>
      </c>
      <c r="K201" t="s">
        <v>547</v>
      </c>
      <c r="L201">
        <v>1368</v>
      </c>
      <c r="N201">
        <v>1011</v>
      </c>
      <c r="O201" t="s">
        <v>488</v>
      </c>
      <c r="P201" t="s">
        <v>488</v>
      </c>
      <c r="Q201">
        <v>1</v>
      </c>
      <c r="W201">
        <v>0</v>
      </c>
      <c r="X201">
        <v>4063365</v>
      </c>
      <c r="Y201">
        <f t="shared" si="71"/>
        <v>0.23</v>
      </c>
      <c r="AA201">
        <v>0</v>
      </c>
      <c r="AB201">
        <v>655.95</v>
      </c>
      <c r="AC201">
        <v>400.24</v>
      </c>
      <c r="AD201">
        <v>0</v>
      </c>
      <c r="AE201">
        <v>0</v>
      </c>
      <c r="AF201">
        <v>655.95</v>
      </c>
      <c r="AG201">
        <v>400.24</v>
      </c>
      <c r="AH201">
        <v>0</v>
      </c>
      <c r="AI201">
        <v>1</v>
      </c>
      <c r="AJ201">
        <v>1</v>
      </c>
      <c r="AK201">
        <v>1</v>
      </c>
      <c r="AL201">
        <v>1</v>
      </c>
      <c r="AM201">
        <v>-2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0.23</v>
      </c>
      <c r="AU201" t="s">
        <v>3</v>
      </c>
      <c r="AV201">
        <v>1</v>
      </c>
      <c r="AW201">
        <v>2</v>
      </c>
      <c r="AX201">
        <v>74016663</v>
      </c>
      <c r="AY201">
        <v>1</v>
      </c>
      <c r="AZ201">
        <v>0</v>
      </c>
      <c r="BA201">
        <v>220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150.86850000000001</v>
      </c>
      <c r="BL201">
        <v>92.055199999999999</v>
      </c>
      <c r="BM201">
        <v>0</v>
      </c>
      <c r="BN201">
        <v>0</v>
      </c>
      <c r="BO201">
        <v>0.23</v>
      </c>
      <c r="BP201">
        <v>1</v>
      </c>
      <c r="BQ201">
        <v>0</v>
      </c>
      <c r="BR201">
        <v>150.86850000000001</v>
      </c>
      <c r="BS201">
        <v>92.055199999999999</v>
      </c>
      <c r="BT201">
        <v>0</v>
      </c>
      <c r="BU201">
        <v>0</v>
      </c>
      <c r="BV201">
        <v>0.23</v>
      </c>
      <c r="BW201">
        <v>1</v>
      </c>
      <c r="CV201">
        <v>0</v>
      </c>
      <c r="CW201">
        <f>ROUND(Y201*Source!I192*DO201,7)</f>
        <v>0.23</v>
      </c>
      <c r="CX201">
        <f>ROUND(Y201*Source!I192,7)</f>
        <v>0.23</v>
      </c>
      <c r="CY201">
        <f>AB201</f>
        <v>655.95</v>
      </c>
      <c r="CZ201">
        <f>AF201</f>
        <v>655.95</v>
      </c>
      <c r="DA201">
        <f>AJ201</f>
        <v>1</v>
      </c>
      <c r="DB201">
        <f t="shared" si="72"/>
        <v>150.87</v>
      </c>
      <c r="DC201">
        <f t="shared" si="73"/>
        <v>92.06</v>
      </c>
      <c r="DD201" t="s">
        <v>3</v>
      </c>
      <c r="DE201" t="s">
        <v>3</v>
      </c>
      <c r="DF201">
        <f t="shared" si="74"/>
        <v>0</v>
      </c>
      <c r="DG201">
        <f t="shared" si="77"/>
        <v>150.87</v>
      </c>
      <c r="DH201">
        <f t="shared" si="75"/>
        <v>92.06</v>
      </c>
      <c r="DI201">
        <f t="shared" si="76"/>
        <v>0</v>
      </c>
      <c r="DJ201">
        <f>DG201+DH201</f>
        <v>242.93</v>
      </c>
      <c r="DK201">
        <v>1</v>
      </c>
      <c r="DL201" t="s">
        <v>514</v>
      </c>
      <c r="DM201">
        <v>4</v>
      </c>
      <c r="DN201" t="s">
        <v>484</v>
      </c>
      <c r="DO201">
        <v>1</v>
      </c>
    </row>
    <row r="202" spans="1:119" x14ac:dyDescent="0.2">
      <c r="A202">
        <f>ROW(Source!A192)</f>
        <v>192</v>
      </c>
      <c r="B202">
        <v>74014550</v>
      </c>
      <c r="C202">
        <v>74016647</v>
      </c>
      <c r="D202">
        <v>72647091</v>
      </c>
      <c r="E202">
        <v>1</v>
      </c>
      <c r="F202">
        <v>1</v>
      </c>
      <c r="G202">
        <v>1</v>
      </c>
      <c r="H202">
        <v>2</v>
      </c>
      <c r="I202" t="s">
        <v>548</v>
      </c>
      <c r="J202" t="s">
        <v>549</v>
      </c>
      <c r="K202" t="s">
        <v>550</v>
      </c>
      <c r="L202">
        <v>1368</v>
      </c>
      <c r="N202">
        <v>1011</v>
      </c>
      <c r="O202" t="s">
        <v>488</v>
      </c>
      <c r="P202" t="s">
        <v>488</v>
      </c>
      <c r="Q202">
        <v>1</v>
      </c>
      <c r="W202">
        <v>0</v>
      </c>
      <c r="X202">
        <v>84725822</v>
      </c>
      <c r="Y202">
        <f t="shared" si="71"/>
        <v>0.01</v>
      </c>
      <c r="AA202">
        <v>0</v>
      </c>
      <c r="AB202">
        <v>5.66</v>
      </c>
      <c r="AC202">
        <v>0</v>
      </c>
      <c r="AD202">
        <v>0</v>
      </c>
      <c r="AE202">
        <v>0</v>
      </c>
      <c r="AF202">
        <v>4.3499999999999996</v>
      </c>
      <c r="AG202">
        <v>0</v>
      </c>
      <c r="AH202">
        <v>0</v>
      </c>
      <c r="AI202">
        <v>1</v>
      </c>
      <c r="AJ202">
        <v>1.3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1</v>
      </c>
      <c r="AQ202">
        <v>1</v>
      </c>
      <c r="AR202">
        <v>0</v>
      </c>
      <c r="AS202" t="s">
        <v>3</v>
      </c>
      <c r="AT202">
        <v>0.01</v>
      </c>
      <c r="AU202" t="s">
        <v>3</v>
      </c>
      <c r="AV202">
        <v>1</v>
      </c>
      <c r="AW202">
        <v>2</v>
      </c>
      <c r="AX202">
        <v>74016664</v>
      </c>
      <c r="AY202">
        <v>1</v>
      </c>
      <c r="AZ202">
        <v>0</v>
      </c>
      <c r="BA202">
        <v>221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4.3499999999999997E-2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4.3499999999999997E-2</v>
      </c>
      <c r="BS202">
        <v>0</v>
      </c>
      <c r="BT202">
        <v>0</v>
      </c>
      <c r="BU202">
        <v>0</v>
      </c>
      <c r="BV202">
        <v>0</v>
      </c>
      <c r="BW202">
        <v>1</v>
      </c>
      <c r="CV202">
        <v>0</v>
      </c>
      <c r="CW202">
        <f>ROUND(Y202*Source!I192*DO202,7)</f>
        <v>0</v>
      </c>
      <c r="CX202">
        <f>ROUND(Y202*Source!I192,7)</f>
        <v>0.01</v>
      </c>
      <c r="CY202">
        <f>AB202</f>
        <v>5.66</v>
      </c>
      <c r="CZ202">
        <f>AF202</f>
        <v>4.3499999999999996</v>
      </c>
      <c r="DA202">
        <f>AJ202</f>
        <v>1.3</v>
      </c>
      <c r="DB202">
        <f t="shared" si="72"/>
        <v>0.04</v>
      </c>
      <c r="DC202">
        <f t="shared" si="73"/>
        <v>0</v>
      </c>
      <c r="DD202" t="s">
        <v>3</v>
      </c>
      <c r="DE202" t="s">
        <v>3</v>
      </c>
      <c r="DF202">
        <f t="shared" si="74"/>
        <v>0</v>
      </c>
      <c r="DG202">
        <f>ROUND(ROUND(AF202*AJ202,2)*CX202,2)</f>
        <v>0.06</v>
      </c>
      <c r="DH202">
        <f t="shared" si="75"/>
        <v>0</v>
      </c>
      <c r="DI202">
        <f t="shared" si="76"/>
        <v>0</v>
      </c>
      <c r="DJ202">
        <f>DG202+DH202</f>
        <v>0.06</v>
      </c>
      <c r="DK202">
        <v>0</v>
      </c>
      <c r="DL202" t="s">
        <v>3</v>
      </c>
      <c r="DM202">
        <v>0</v>
      </c>
      <c r="DN202" t="s">
        <v>3</v>
      </c>
      <c r="DO202">
        <v>0</v>
      </c>
    </row>
    <row r="203" spans="1:119" x14ac:dyDescent="0.2">
      <c r="A203">
        <f>ROW(Source!A192)</f>
        <v>192</v>
      </c>
      <c r="B203">
        <v>74014550</v>
      </c>
      <c r="C203">
        <v>74016647</v>
      </c>
      <c r="D203">
        <v>72647129</v>
      </c>
      <c r="E203">
        <v>1</v>
      </c>
      <c r="F203">
        <v>1</v>
      </c>
      <c r="G203">
        <v>1</v>
      </c>
      <c r="H203">
        <v>2</v>
      </c>
      <c r="I203" t="s">
        <v>508</v>
      </c>
      <c r="J203" t="s">
        <v>509</v>
      </c>
      <c r="K203" t="s">
        <v>510</v>
      </c>
      <c r="L203">
        <v>1368</v>
      </c>
      <c r="N203">
        <v>1011</v>
      </c>
      <c r="O203" t="s">
        <v>488</v>
      </c>
      <c r="P203" t="s">
        <v>488</v>
      </c>
      <c r="Q203">
        <v>1</v>
      </c>
      <c r="W203">
        <v>0</v>
      </c>
      <c r="X203">
        <v>1678177714</v>
      </c>
      <c r="Y203">
        <f t="shared" si="71"/>
        <v>0.41</v>
      </c>
      <c r="AA203">
        <v>0</v>
      </c>
      <c r="AB203">
        <v>43.87</v>
      </c>
      <c r="AC203">
        <v>0</v>
      </c>
      <c r="AD203">
        <v>0</v>
      </c>
      <c r="AE203">
        <v>0</v>
      </c>
      <c r="AF203">
        <v>43.87</v>
      </c>
      <c r="AG203">
        <v>0</v>
      </c>
      <c r="AH203">
        <v>0</v>
      </c>
      <c r="AI203">
        <v>1</v>
      </c>
      <c r="AJ203">
        <v>1</v>
      </c>
      <c r="AK203">
        <v>1</v>
      </c>
      <c r="AL203">
        <v>1</v>
      </c>
      <c r="AM203">
        <v>-2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0.41</v>
      </c>
      <c r="AU203" t="s">
        <v>3</v>
      </c>
      <c r="AV203">
        <v>1</v>
      </c>
      <c r="AW203">
        <v>2</v>
      </c>
      <c r="AX203">
        <v>74016665</v>
      </c>
      <c r="AY203">
        <v>1</v>
      </c>
      <c r="AZ203">
        <v>0</v>
      </c>
      <c r="BA203">
        <v>222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17.986699999999999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17.986699999999999</v>
      </c>
      <c r="BS203">
        <v>0</v>
      </c>
      <c r="BT203">
        <v>0</v>
      </c>
      <c r="BU203">
        <v>0</v>
      </c>
      <c r="BV203">
        <v>0</v>
      </c>
      <c r="BW203">
        <v>1</v>
      </c>
      <c r="CV203">
        <v>0</v>
      </c>
      <c r="CW203">
        <f>ROUND(Y203*Source!I192*DO203,7)</f>
        <v>0</v>
      </c>
      <c r="CX203">
        <f>ROUND(Y203*Source!I192,7)</f>
        <v>0.41</v>
      </c>
      <c r="CY203">
        <f>AB203</f>
        <v>43.87</v>
      </c>
      <c r="CZ203">
        <f>AF203</f>
        <v>43.87</v>
      </c>
      <c r="DA203">
        <f>AJ203</f>
        <v>1</v>
      </c>
      <c r="DB203">
        <f t="shared" si="72"/>
        <v>17.989999999999998</v>
      </c>
      <c r="DC203">
        <f t="shared" si="73"/>
        <v>0</v>
      </c>
      <c r="DD203" t="s">
        <v>3</v>
      </c>
      <c r="DE203" t="s">
        <v>3</v>
      </c>
      <c r="DF203">
        <f t="shared" si="74"/>
        <v>0</v>
      </c>
      <c r="DG203">
        <f t="shared" ref="DG203:DG210" si="78">ROUND(ROUND(AF203,2)*CX203,2)</f>
        <v>17.989999999999998</v>
      </c>
      <c r="DH203">
        <f t="shared" si="75"/>
        <v>0</v>
      </c>
      <c r="DI203">
        <f t="shared" si="76"/>
        <v>0</v>
      </c>
      <c r="DJ203">
        <f>DG203+DH203</f>
        <v>17.989999999999998</v>
      </c>
      <c r="DK203">
        <v>1</v>
      </c>
      <c r="DL203" t="s">
        <v>3</v>
      </c>
      <c r="DM203">
        <v>0</v>
      </c>
      <c r="DN203" t="s">
        <v>3</v>
      </c>
      <c r="DO203">
        <v>0</v>
      </c>
    </row>
    <row r="204" spans="1:119" x14ac:dyDescent="0.2">
      <c r="A204">
        <f>ROW(Source!A192)</f>
        <v>192</v>
      </c>
      <c r="B204">
        <v>74014550</v>
      </c>
      <c r="C204">
        <v>74016647</v>
      </c>
      <c r="D204">
        <v>72589309</v>
      </c>
      <c r="E204">
        <v>1</v>
      </c>
      <c r="F204">
        <v>1</v>
      </c>
      <c r="G204">
        <v>1</v>
      </c>
      <c r="H204">
        <v>3</v>
      </c>
      <c r="I204" t="s">
        <v>551</v>
      </c>
      <c r="J204" t="s">
        <v>552</v>
      </c>
      <c r="K204" t="s">
        <v>553</v>
      </c>
      <c r="L204">
        <v>1339</v>
      </c>
      <c r="N204">
        <v>1007</v>
      </c>
      <c r="O204" t="s">
        <v>48</v>
      </c>
      <c r="P204" t="s">
        <v>48</v>
      </c>
      <c r="Q204">
        <v>1</v>
      </c>
      <c r="W204">
        <v>0</v>
      </c>
      <c r="X204">
        <v>481898357</v>
      </c>
      <c r="Y204">
        <f t="shared" si="71"/>
        <v>1.4999999999999999E-2</v>
      </c>
      <c r="AA204">
        <v>115.4</v>
      </c>
      <c r="AB204">
        <v>0</v>
      </c>
      <c r="AC204">
        <v>0</v>
      </c>
      <c r="AD204">
        <v>0</v>
      </c>
      <c r="AE204">
        <v>115.4</v>
      </c>
      <c r="AF204">
        <v>0</v>
      </c>
      <c r="AG204">
        <v>0</v>
      </c>
      <c r="AH204">
        <v>0</v>
      </c>
      <c r="AI204">
        <v>1</v>
      </c>
      <c r="AJ204">
        <v>1</v>
      </c>
      <c r="AK204">
        <v>1</v>
      </c>
      <c r="AL204">
        <v>1</v>
      </c>
      <c r="AM204">
        <v>-2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1.4999999999999999E-2</v>
      </c>
      <c r="AU204" t="s">
        <v>3</v>
      </c>
      <c r="AV204">
        <v>0</v>
      </c>
      <c r="AW204">
        <v>2</v>
      </c>
      <c r="AX204">
        <v>74016666</v>
      </c>
      <c r="AY204">
        <v>1</v>
      </c>
      <c r="AZ204">
        <v>0</v>
      </c>
      <c r="BA204">
        <v>223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1.7310000000000001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</v>
      </c>
      <c r="BQ204">
        <v>1.7310000000000001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CV204">
        <v>0</v>
      </c>
      <c r="CW204">
        <v>0</v>
      </c>
      <c r="CX204">
        <f>ROUND(Y204*Source!I192,7)</f>
        <v>1.4999999999999999E-2</v>
      </c>
      <c r="CY204">
        <f t="shared" ref="CY204:CY209" si="79">AA204</f>
        <v>115.4</v>
      </c>
      <c r="CZ204">
        <f t="shared" ref="CZ204:CZ209" si="80">AE204</f>
        <v>115.4</v>
      </c>
      <c r="DA204">
        <f t="shared" ref="DA204:DA209" si="81">AI204</f>
        <v>1</v>
      </c>
      <c r="DB204">
        <f t="shared" si="72"/>
        <v>1.73</v>
      </c>
      <c r="DC204">
        <f t="shared" si="73"/>
        <v>0</v>
      </c>
      <c r="DD204" t="s">
        <v>3</v>
      </c>
      <c r="DE204" t="s">
        <v>3</v>
      </c>
      <c r="DF204">
        <f t="shared" si="74"/>
        <v>1.73</v>
      </c>
      <c r="DG204">
        <f t="shared" si="78"/>
        <v>0</v>
      </c>
      <c r="DH204">
        <f t="shared" si="75"/>
        <v>0</v>
      </c>
      <c r="DI204">
        <f t="shared" si="76"/>
        <v>0</v>
      </c>
      <c r="DJ204">
        <f t="shared" ref="DJ204:DJ209" si="82">DF204</f>
        <v>1.73</v>
      </c>
      <c r="DK204">
        <v>1</v>
      </c>
      <c r="DL204" t="s">
        <v>3</v>
      </c>
      <c r="DM204">
        <v>0</v>
      </c>
      <c r="DN204" t="s">
        <v>3</v>
      </c>
      <c r="DO204">
        <v>0</v>
      </c>
    </row>
    <row r="205" spans="1:119" x14ac:dyDescent="0.2">
      <c r="A205">
        <f>ROW(Source!A192)</f>
        <v>192</v>
      </c>
      <c r="B205">
        <v>74014550</v>
      </c>
      <c r="C205">
        <v>74016647</v>
      </c>
      <c r="D205">
        <v>72589313</v>
      </c>
      <c r="E205">
        <v>1</v>
      </c>
      <c r="F205">
        <v>1</v>
      </c>
      <c r="G205">
        <v>1</v>
      </c>
      <c r="H205">
        <v>3</v>
      </c>
      <c r="I205" t="s">
        <v>554</v>
      </c>
      <c r="J205" t="s">
        <v>555</v>
      </c>
      <c r="K205" t="s">
        <v>556</v>
      </c>
      <c r="L205">
        <v>1346</v>
      </c>
      <c r="N205">
        <v>1009</v>
      </c>
      <c r="O205" t="s">
        <v>314</v>
      </c>
      <c r="P205" t="s">
        <v>314</v>
      </c>
      <c r="Q205">
        <v>1</v>
      </c>
      <c r="W205">
        <v>0</v>
      </c>
      <c r="X205">
        <v>-306130479</v>
      </c>
      <c r="Y205">
        <f t="shared" si="71"/>
        <v>3.5</v>
      </c>
      <c r="AA205">
        <v>57.52</v>
      </c>
      <c r="AB205">
        <v>0</v>
      </c>
      <c r="AC205">
        <v>0</v>
      </c>
      <c r="AD205">
        <v>0</v>
      </c>
      <c r="AE205">
        <v>41.38</v>
      </c>
      <c r="AF205">
        <v>0</v>
      </c>
      <c r="AG205">
        <v>0</v>
      </c>
      <c r="AH205">
        <v>0</v>
      </c>
      <c r="AI205">
        <v>1.39</v>
      </c>
      <c r="AJ205">
        <v>1</v>
      </c>
      <c r="AK205">
        <v>1</v>
      </c>
      <c r="AL205">
        <v>1</v>
      </c>
      <c r="AM205">
        <v>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3.5</v>
      </c>
      <c r="AU205" t="s">
        <v>3</v>
      </c>
      <c r="AV205">
        <v>0</v>
      </c>
      <c r="AW205">
        <v>2</v>
      </c>
      <c r="AX205">
        <v>74016667</v>
      </c>
      <c r="AY205">
        <v>1</v>
      </c>
      <c r="AZ205">
        <v>0</v>
      </c>
      <c r="BA205">
        <v>224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144.83000000000001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144.83000000000001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CV205">
        <v>0</v>
      </c>
      <c r="CW205">
        <v>0</v>
      </c>
      <c r="CX205">
        <f>ROUND(Y205*Source!I192,7)</f>
        <v>3.5</v>
      </c>
      <c r="CY205">
        <f t="shared" si="79"/>
        <v>57.52</v>
      </c>
      <c r="CZ205">
        <f t="shared" si="80"/>
        <v>41.38</v>
      </c>
      <c r="DA205">
        <f t="shared" si="81"/>
        <v>1.39</v>
      </c>
      <c r="DB205">
        <f t="shared" si="72"/>
        <v>144.83000000000001</v>
      </c>
      <c r="DC205">
        <f t="shared" si="73"/>
        <v>0</v>
      </c>
      <c r="DD205" t="s">
        <v>3</v>
      </c>
      <c r="DE205" t="s">
        <v>3</v>
      </c>
      <c r="DF205">
        <f>ROUND(ROUND(AE205*AI205,2)*CX205,2)</f>
        <v>201.32</v>
      </c>
      <c r="DG205">
        <f t="shared" si="78"/>
        <v>0</v>
      </c>
      <c r="DH205">
        <f t="shared" si="75"/>
        <v>0</v>
      </c>
      <c r="DI205">
        <f t="shared" si="76"/>
        <v>0</v>
      </c>
      <c r="DJ205">
        <f t="shared" si="82"/>
        <v>201.32</v>
      </c>
      <c r="DK205">
        <v>0</v>
      </c>
      <c r="DL205" t="s">
        <v>3</v>
      </c>
      <c r="DM205">
        <v>0</v>
      </c>
      <c r="DN205" t="s">
        <v>3</v>
      </c>
      <c r="DO205">
        <v>0</v>
      </c>
    </row>
    <row r="206" spans="1:119" x14ac:dyDescent="0.2">
      <c r="A206">
        <f>ROW(Source!A192)</f>
        <v>192</v>
      </c>
      <c r="B206">
        <v>74014550</v>
      </c>
      <c r="C206">
        <v>74016647</v>
      </c>
      <c r="D206">
        <v>72591353</v>
      </c>
      <c r="E206">
        <v>1</v>
      </c>
      <c r="F206">
        <v>1</v>
      </c>
      <c r="G206">
        <v>1</v>
      </c>
      <c r="H206">
        <v>3</v>
      </c>
      <c r="I206" t="s">
        <v>518</v>
      </c>
      <c r="J206" t="s">
        <v>519</v>
      </c>
      <c r="K206" t="s">
        <v>520</v>
      </c>
      <c r="L206">
        <v>1383</v>
      </c>
      <c r="N206">
        <v>1013</v>
      </c>
      <c r="O206" t="s">
        <v>521</v>
      </c>
      <c r="P206" t="s">
        <v>521</v>
      </c>
      <c r="Q206">
        <v>1</v>
      </c>
      <c r="W206">
        <v>0</v>
      </c>
      <c r="X206">
        <v>86017057</v>
      </c>
      <c r="Y206">
        <f t="shared" si="71"/>
        <v>0.16200000000000001</v>
      </c>
      <c r="AA206">
        <v>9.5500000000000007</v>
      </c>
      <c r="AB206">
        <v>0</v>
      </c>
      <c r="AC206">
        <v>0</v>
      </c>
      <c r="AD206">
        <v>0</v>
      </c>
      <c r="AE206">
        <v>9.5500000000000007</v>
      </c>
      <c r="AF206">
        <v>0</v>
      </c>
      <c r="AG206">
        <v>0</v>
      </c>
      <c r="AH206">
        <v>0</v>
      </c>
      <c r="AI206">
        <v>1</v>
      </c>
      <c r="AJ206">
        <v>1</v>
      </c>
      <c r="AK206">
        <v>1</v>
      </c>
      <c r="AL206">
        <v>1</v>
      </c>
      <c r="AM206">
        <v>-2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0.16200000000000001</v>
      </c>
      <c r="AU206" t="s">
        <v>3</v>
      </c>
      <c r="AV206">
        <v>0</v>
      </c>
      <c r="AW206">
        <v>2</v>
      </c>
      <c r="AX206">
        <v>74016668</v>
      </c>
      <c r="AY206">
        <v>1</v>
      </c>
      <c r="AZ206">
        <v>0</v>
      </c>
      <c r="BA206">
        <v>225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1.5471000000000001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1.5471000000000001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CV206">
        <v>0</v>
      </c>
      <c r="CW206">
        <v>0</v>
      </c>
      <c r="CX206">
        <f>ROUND(Y206*Source!I192,7)</f>
        <v>0.16200000000000001</v>
      </c>
      <c r="CY206">
        <f t="shared" si="79"/>
        <v>9.5500000000000007</v>
      </c>
      <c r="CZ206">
        <f t="shared" si="80"/>
        <v>9.5500000000000007</v>
      </c>
      <c r="DA206">
        <f t="shared" si="81"/>
        <v>1</v>
      </c>
      <c r="DB206">
        <f t="shared" si="72"/>
        <v>1.55</v>
      </c>
      <c r="DC206">
        <f t="shared" si="73"/>
        <v>0</v>
      </c>
      <c r="DD206" t="s">
        <v>3</v>
      </c>
      <c r="DE206" t="s">
        <v>3</v>
      </c>
      <c r="DF206">
        <f>ROUND(ROUND(AE206,2)*CX206,2)</f>
        <v>1.55</v>
      </c>
      <c r="DG206">
        <f t="shared" si="78"/>
        <v>0</v>
      </c>
      <c r="DH206">
        <f t="shared" si="75"/>
        <v>0</v>
      </c>
      <c r="DI206">
        <f t="shared" si="76"/>
        <v>0</v>
      </c>
      <c r="DJ206">
        <f t="shared" si="82"/>
        <v>1.55</v>
      </c>
      <c r="DK206">
        <v>1</v>
      </c>
      <c r="DL206" t="s">
        <v>3</v>
      </c>
      <c r="DM206">
        <v>0</v>
      </c>
      <c r="DN206" t="s">
        <v>3</v>
      </c>
      <c r="DO206">
        <v>0</v>
      </c>
    </row>
    <row r="207" spans="1:119" x14ac:dyDescent="0.2">
      <c r="A207">
        <f>ROW(Source!A192)</f>
        <v>192</v>
      </c>
      <c r="B207">
        <v>74014550</v>
      </c>
      <c r="C207">
        <v>74016647</v>
      </c>
      <c r="D207">
        <v>72592092</v>
      </c>
      <c r="E207">
        <v>1</v>
      </c>
      <c r="F207">
        <v>1</v>
      </c>
      <c r="G207">
        <v>1</v>
      </c>
      <c r="H207">
        <v>3</v>
      </c>
      <c r="I207" t="s">
        <v>522</v>
      </c>
      <c r="J207" t="s">
        <v>523</v>
      </c>
      <c r="K207" t="s">
        <v>524</v>
      </c>
      <c r="L207">
        <v>1346</v>
      </c>
      <c r="N207">
        <v>1009</v>
      </c>
      <c r="O207" t="s">
        <v>314</v>
      </c>
      <c r="P207" t="s">
        <v>314</v>
      </c>
      <c r="Q207">
        <v>1</v>
      </c>
      <c r="W207">
        <v>0</v>
      </c>
      <c r="X207">
        <v>743240341</v>
      </c>
      <c r="Y207">
        <f t="shared" si="71"/>
        <v>0.09</v>
      </c>
      <c r="AA207">
        <v>131.85</v>
      </c>
      <c r="AB207">
        <v>0</v>
      </c>
      <c r="AC207">
        <v>0</v>
      </c>
      <c r="AD207">
        <v>0</v>
      </c>
      <c r="AE207">
        <v>131.85</v>
      </c>
      <c r="AF207">
        <v>0</v>
      </c>
      <c r="AG207">
        <v>0</v>
      </c>
      <c r="AH207">
        <v>0</v>
      </c>
      <c r="AI207">
        <v>1</v>
      </c>
      <c r="AJ207">
        <v>1</v>
      </c>
      <c r="AK207">
        <v>1</v>
      </c>
      <c r="AL207">
        <v>1</v>
      </c>
      <c r="AM207">
        <v>-2</v>
      </c>
      <c r="AN207">
        <v>0</v>
      </c>
      <c r="AO207">
        <v>0</v>
      </c>
      <c r="AP207">
        <v>1</v>
      </c>
      <c r="AQ207">
        <v>1</v>
      </c>
      <c r="AR207">
        <v>0</v>
      </c>
      <c r="AS207" t="s">
        <v>3</v>
      </c>
      <c r="AT207">
        <v>0.09</v>
      </c>
      <c r="AU207" t="s">
        <v>3</v>
      </c>
      <c r="AV207">
        <v>0</v>
      </c>
      <c r="AW207">
        <v>2</v>
      </c>
      <c r="AX207">
        <v>74016669</v>
      </c>
      <c r="AY207">
        <v>1</v>
      </c>
      <c r="AZ207">
        <v>0</v>
      </c>
      <c r="BA207">
        <v>226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11.866499999999998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11.866499999999998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CV207">
        <v>0</v>
      </c>
      <c r="CW207">
        <v>0</v>
      </c>
      <c r="CX207">
        <f>ROUND(Y207*Source!I192,7)</f>
        <v>0.09</v>
      </c>
      <c r="CY207">
        <f t="shared" si="79"/>
        <v>131.85</v>
      </c>
      <c r="CZ207">
        <f t="shared" si="80"/>
        <v>131.85</v>
      </c>
      <c r="DA207">
        <f t="shared" si="81"/>
        <v>1</v>
      </c>
      <c r="DB207">
        <f t="shared" si="72"/>
        <v>11.87</v>
      </c>
      <c r="DC207">
        <f t="shared" si="73"/>
        <v>0</v>
      </c>
      <c r="DD207" t="s">
        <v>3</v>
      </c>
      <c r="DE207" t="s">
        <v>3</v>
      </c>
      <c r="DF207">
        <f>ROUND(ROUND(AE207,2)*CX207,2)</f>
        <v>11.87</v>
      </c>
      <c r="DG207">
        <f t="shared" si="78"/>
        <v>0</v>
      </c>
      <c r="DH207">
        <f t="shared" si="75"/>
        <v>0</v>
      </c>
      <c r="DI207">
        <f t="shared" si="76"/>
        <v>0</v>
      </c>
      <c r="DJ207">
        <f t="shared" si="82"/>
        <v>11.87</v>
      </c>
      <c r="DK207">
        <v>1</v>
      </c>
      <c r="DL207" t="s">
        <v>3</v>
      </c>
      <c r="DM207">
        <v>0</v>
      </c>
      <c r="DN207" t="s">
        <v>3</v>
      </c>
      <c r="DO207">
        <v>0</v>
      </c>
    </row>
    <row r="208" spans="1:119" x14ac:dyDescent="0.2">
      <c r="A208">
        <f>ROW(Source!A192)</f>
        <v>192</v>
      </c>
      <c r="B208">
        <v>74014550</v>
      </c>
      <c r="C208">
        <v>74016647</v>
      </c>
      <c r="D208">
        <v>72594458</v>
      </c>
      <c r="E208">
        <v>1</v>
      </c>
      <c r="F208">
        <v>1</v>
      </c>
      <c r="G208">
        <v>1</v>
      </c>
      <c r="H208">
        <v>3</v>
      </c>
      <c r="I208" t="s">
        <v>743</v>
      </c>
      <c r="J208" t="s">
        <v>744</v>
      </c>
      <c r="K208" t="s">
        <v>745</v>
      </c>
      <c r="L208">
        <v>1339</v>
      </c>
      <c r="N208">
        <v>1007</v>
      </c>
      <c r="O208" t="s">
        <v>48</v>
      </c>
      <c r="P208" t="s">
        <v>48</v>
      </c>
      <c r="Q208">
        <v>1</v>
      </c>
      <c r="W208">
        <v>0</v>
      </c>
      <c r="X208">
        <v>-695340793</v>
      </c>
      <c r="Y208">
        <f t="shared" si="71"/>
        <v>0.02</v>
      </c>
      <c r="AA208">
        <v>2017.76</v>
      </c>
      <c r="AB208">
        <v>0</v>
      </c>
      <c r="AC208">
        <v>0</v>
      </c>
      <c r="AD208">
        <v>0</v>
      </c>
      <c r="AE208">
        <v>565.20000000000005</v>
      </c>
      <c r="AF208">
        <v>0</v>
      </c>
      <c r="AG208">
        <v>0</v>
      </c>
      <c r="AH208">
        <v>0</v>
      </c>
      <c r="AI208">
        <v>3.57</v>
      </c>
      <c r="AJ208">
        <v>1</v>
      </c>
      <c r="AK208">
        <v>1</v>
      </c>
      <c r="AL208">
        <v>1</v>
      </c>
      <c r="AM208">
        <v>2</v>
      </c>
      <c r="AN208">
        <v>0</v>
      </c>
      <c r="AO208">
        <v>0</v>
      </c>
      <c r="AP208">
        <v>1</v>
      </c>
      <c r="AQ208">
        <v>1</v>
      </c>
      <c r="AR208">
        <v>0</v>
      </c>
      <c r="AS208" t="s">
        <v>3</v>
      </c>
      <c r="AT208">
        <v>0.02</v>
      </c>
      <c r="AU208" t="s">
        <v>3</v>
      </c>
      <c r="AV208">
        <v>0</v>
      </c>
      <c r="AW208">
        <v>2</v>
      </c>
      <c r="AX208">
        <v>74016670</v>
      </c>
      <c r="AY208">
        <v>1</v>
      </c>
      <c r="AZ208">
        <v>0</v>
      </c>
      <c r="BA208">
        <v>227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11.304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11.304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CV208">
        <v>0</v>
      </c>
      <c r="CW208">
        <v>0</v>
      </c>
      <c r="CX208">
        <f>ROUND(Y208*Source!I192,7)</f>
        <v>0.02</v>
      </c>
      <c r="CY208">
        <f t="shared" si="79"/>
        <v>2017.76</v>
      </c>
      <c r="CZ208">
        <f t="shared" si="80"/>
        <v>565.20000000000005</v>
      </c>
      <c r="DA208">
        <f t="shared" si="81"/>
        <v>3.57</v>
      </c>
      <c r="DB208">
        <f t="shared" si="72"/>
        <v>11.3</v>
      </c>
      <c r="DC208">
        <f t="shared" si="73"/>
        <v>0</v>
      </c>
      <c r="DD208" t="s">
        <v>3</v>
      </c>
      <c r="DE208" t="s">
        <v>3</v>
      </c>
      <c r="DF208">
        <f>ROUND(ROUND(AE208*AI208,2)*CX208,2)</f>
        <v>40.36</v>
      </c>
      <c r="DG208">
        <f t="shared" si="78"/>
        <v>0</v>
      </c>
      <c r="DH208">
        <f t="shared" si="75"/>
        <v>0</v>
      </c>
      <c r="DI208">
        <f t="shared" si="76"/>
        <v>0</v>
      </c>
      <c r="DJ208">
        <f t="shared" si="82"/>
        <v>40.36</v>
      </c>
      <c r="DK208">
        <v>0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ROW(Source!A192)</f>
        <v>192</v>
      </c>
      <c r="B209">
        <v>74014550</v>
      </c>
      <c r="C209">
        <v>74016647</v>
      </c>
      <c r="D209">
        <v>72594935</v>
      </c>
      <c r="E209">
        <v>1</v>
      </c>
      <c r="F209">
        <v>1</v>
      </c>
      <c r="G209">
        <v>1</v>
      </c>
      <c r="H209">
        <v>3</v>
      </c>
      <c r="I209" t="s">
        <v>746</v>
      </c>
      <c r="J209" t="s">
        <v>747</v>
      </c>
      <c r="K209" t="s">
        <v>748</v>
      </c>
      <c r="L209">
        <v>1339</v>
      </c>
      <c r="N209">
        <v>1007</v>
      </c>
      <c r="O209" t="s">
        <v>48</v>
      </c>
      <c r="P209" t="s">
        <v>48</v>
      </c>
      <c r="Q209">
        <v>1</v>
      </c>
      <c r="W209">
        <v>0</v>
      </c>
      <c r="X209">
        <v>-1490999673</v>
      </c>
      <c r="Y209">
        <f t="shared" si="71"/>
        <v>1E-3</v>
      </c>
      <c r="AA209">
        <v>6441.93</v>
      </c>
      <c r="AB209">
        <v>0</v>
      </c>
      <c r="AC209">
        <v>0</v>
      </c>
      <c r="AD209">
        <v>0</v>
      </c>
      <c r="AE209">
        <v>4442.71</v>
      </c>
      <c r="AF209">
        <v>0</v>
      </c>
      <c r="AG209">
        <v>0</v>
      </c>
      <c r="AH209">
        <v>0</v>
      </c>
      <c r="AI209">
        <v>1.45</v>
      </c>
      <c r="AJ209">
        <v>1</v>
      </c>
      <c r="AK209">
        <v>1</v>
      </c>
      <c r="AL209">
        <v>1</v>
      </c>
      <c r="AM209">
        <v>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1E-3</v>
      </c>
      <c r="AU209" t="s">
        <v>3</v>
      </c>
      <c r="AV209">
        <v>0</v>
      </c>
      <c r="AW209">
        <v>2</v>
      </c>
      <c r="AX209">
        <v>74016671</v>
      </c>
      <c r="AY209">
        <v>1</v>
      </c>
      <c r="AZ209">
        <v>0</v>
      </c>
      <c r="BA209">
        <v>228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4.4427099999999999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4.4427099999999999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CV209">
        <v>0</v>
      </c>
      <c r="CW209">
        <v>0</v>
      </c>
      <c r="CX209">
        <f>ROUND(Y209*Source!I192,7)</f>
        <v>1E-3</v>
      </c>
      <c r="CY209">
        <f t="shared" si="79"/>
        <v>6441.93</v>
      </c>
      <c r="CZ209">
        <f t="shared" si="80"/>
        <v>4442.71</v>
      </c>
      <c r="DA209">
        <f t="shared" si="81"/>
        <v>1.45</v>
      </c>
      <c r="DB209">
        <f t="shared" si="72"/>
        <v>4.4400000000000004</v>
      </c>
      <c r="DC209">
        <f t="shared" si="73"/>
        <v>0</v>
      </c>
      <c r="DD209" t="s">
        <v>3</v>
      </c>
      <c r="DE209" t="s">
        <v>3</v>
      </c>
      <c r="DF209">
        <f>ROUND(ROUND(AE209*AI209,2)*CX209,2)</f>
        <v>6.44</v>
      </c>
      <c r="DG209">
        <f t="shared" si="78"/>
        <v>0</v>
      </c>
      <c r="DH209">
        <f t="shared" si="75"/>
        <v>0</v>
      </c>
      <c r="DI209">
        <f t="shared" si="76"/>
        <v>0</v>
      </c>
      <c r="DJ209">
        <f t="shared" si="82"/>
        <v>6.44</v>
      </c>
      <c r="DK209">
        <v>0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ROW(Source!A194)</f>
        <v>194</v>
      </c>
      <c r="B210">
        <v>74014550</v>
      </c>
      <c r="C210">
        <v>74016676</v>
      </c>
      <c r="D210">
        <v>20056683</v>
      </c>
      <c r="E210">
        <v>119</v>
      </c>
      <c r="F210">
        <v>1</v>
      </c>
      <c r="G210">
        <v>1</v>
      </c>
      <c r="H210">
        <v>1</v>
      </c>
      <c r="I210" t="s">
        <v>572</v>
      </c>
      <c r="J210" t="s">
        <v>3</v>
      </c>
      <c r="K210" t="s">
        <v>573</v>
      </c>
      <c r="L210">
        <v>1191</v>
      </c>
      <c r="N210">
        <v>1013</v>
      </c>
      <c r="O210" t="s">
        <v>484</v>
      </c>
      <c r="P210" t="s">
        <v>484</v>
      </c>
      <c r="Q210">
        <v>1</v>
      </c>
      <c r="W210">
        <v>0</v>
      </c>
      <c r="X210">
        <v>1521243167</v>
      </c>
      <c r="Y210">
        <f t="shared" si="71"/>
        <v>5.7</v>
      </c>
      <c r="AA210">
        <v>0</v>
      </c>
      <c r="AB210">
        <v>0</v>
      </c>
      <c r="AC210">
        <v>0</v>
      </c>
      <c r="AD210">
        <v>442.06</v>
      </c>
      <c r="AE210">
        <v>0</v>
      </c>
      <c r="AF210">
        <v>0</v>
      </c>
      <c r="AG210">
        <v>0</v>
      </c>
      <c r="AH210">
        <v>442.06</v>
      </c>
      <c r="AI210">
        <v>1</v>
      </c>
      <c r="AJ210">
        <v>1</v>
      </c>
      <c r="AK210">
        <v>1</v>
      </c>
      <c r="AL210">
        <v>1</v>
      </c>
      <c r="AM210">
        <v>-2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5.7</v>
      </c>
      <c r="AU210" t="s">
        <v>3</v>
      </c>
      <c r="AV210">
        <v>1</v>
      </c>
      <c r="AW210">
        <v>2</v>
      </c>
      <c r="AX210">
        <v>74016682</v>
      </c>
      <c r="AY210">
        <v>1</v>
      </c>
      <c r="AZ210">
        <v>0</v>
      </c>
      <c r="BA210">
        <v>232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2519.7420000000002</v>
      </c>
      <c r="BN210">
        <v>5.7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2519.7420000000002</v>
      </c>
      <c r="BU210">
        <v>5.7</v>
      </c>
      <c r="BV210">
        <v>0</v>
      </c>
      <c r="BW210">
        <v>1</v>
      </c>
      <c r="CU210">
        <f>ROUND(AT210*Source!I194*AH210*AL210,2)</f>
        <v>25.2</v>
      </c>
      <c r="CV210">
        <f>ROUND(Y210*Source!I194,7)</f>
        <v>5.7000000000000002E-2</v>
      </c>
      <c r="CW210">
        <v>0</v>
      </c>
      <c r="CX210">
        <f>ROUND(Y210*Source!I194,7)</f>
        <v>5.7000000000000002E-2</v>
      </c>
      <c r="CY210">
        <f>AD210</f>
        <v>442.06</v>
      </c>
      <c r="CZ210">
        <f>AH210</f>
        <v>442.06</v>
      </c>
      <c r="DA210">
        <f>AL210</f>
        <v>1</v>
      </c>
      <c r="DB210">
        <f t="shared" si="72"/>
        <v>2519.7399999999998</v>
      </c>
      <c r="DC210">
        <f t="shared" si="73"/>
        <v>0</v>
      </c>
      <c r="DD210" t="s">
        <v>3</v>
      </c>
      <c r="DE210" t="s">
        <v>3</v>
      </c>
      <c r="DF210">
        <f>ROUND(ROUND(AE210,2)*CX210,2)</f>
        <v>0</v>
      </c>
      <c r="DG210">
        <f t="shared" si="78"/>
        <v>0</v>
      </c>
      <c r="DH210">
        <f t="shared" si="75"/>
        <v>0</v>
      </c>
      <c r="DI210">
        <f t="shared" si="76"/>
        <v>25.2</v>
      </c>
      <c r="DJ210">
        <f>DI210</f>
        <v>25.2</v>
      </c>
      <c r="DK210">
        <v>1</v>
      </c>
      <c r="DL210" t="s">
        <v>3</v>
      </c>
      <c r="DM210">
        <v>0</v>
      </c>
      <c r="DN210" t="s">
        <v>3</v>
      </c>
      <c r="DO210">
        <v>0</v>
      </c>
    </row>
    <row r="211" spans="1:119" x14ac:dyDescent="0.2">
      <c r="A211">
        <f>ROW(Source!A194)</f>
        <v>194</v>
      </c>
      <c r="B211">
        <v>74014550</v>
      </c>
      <c r="C211">
        <v>74016676</v>
      </c>
      <c r="D211">
        <v>72646149</v>
      </c>
      <c r="E211">
        <v>1</v>
      </c>
      <c r="F211">
        <v>1</v>
      </c>
      <c r="G211">
        <v>1</v>
      </c>
      <c r="H211">
        <v>2</v>
      </c>
      <c r="I211" t="s">
        <v>574</v>
      </c>
      <c r="J211" t="s">
        <v>575</v>
      </c>
      <c r="K211" t="s">
        <v>576</v>
      </c>
      <c r="L211">
        <v>1368</v>
      </c>
      <c r="N211">
        <v>1011</v>
      </c>
      <c r="O211" t="s">
        <v>488</v>
      </c>
      <c r="P211" t="s">
        <v>488</v>
      </c>
      <c r="Q211">
        <v>1</v>
      </c>
      <c r="W211">
        <v>0</v>
      </c>
      <c r="X211">
        <v>-322869027</v>
      </c>
      <c r="Y211">
        <f t="shared" si="71"/>
        <v>0.9</v>
      </c>
      <c r="AA211">
        <v>0</v>
      </c>
      <c r="AB211">
        <v>470.42</v>
      </c>
      <c r="AC211">
        <v>0</v>
      </c>
      <c r="AD211">
        <v>0</v>
      </c>
      <c r="AE211">
        <v>0</v>
      </c>
      <c r="AF211">
        <v>345.9</v>
      </c>
      <c r="AG211">
        <v>0</v>
      </c>
      <c r="AH211">
        <v>0</v>
      </c>
      <c r="AI211">
        <v>1</v>
      </c>
      <c r="AJ211">
        <v>1.36</v>
      </c>
      <c r="AK211">
        <v>1</v>
      </c>
      <c r="AL211">
        <v>1</v>
      </c>
      <c r="AM211">
        <v>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0.9</v>
      </c>
      <c r="AU211" t="s">
        <v>3</v>
      </c>
      <c r="AV211">
        <v>1</v>
      </c>
      <c r="AW211">
        <v>2</v>
      </c>
      <c r="AX211">
        <v>74016683</v>
      </c>
      <c r="AY211">
        <v>1</v>
      </c>
      <c r="AZ211">
        <v>0</v>
      </c>
      <c r="BA211">
        <v>233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311.31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0</v>
      </c>
      <c r="BR211">
        <v>311.31</v>
      </c>
      <c r="BS211">
        <v>0</v>
      </c>
      <c r="BT211">
        <v>0</v>
      </c>
      <c r="BU211">
        <v>0</v>
      </c>
      <c r="BV211">
        <v>0</v>
      </c>
      <c r="BW211">
        <v>1</v>
      </c>
      <c r="CV211">
        <v>0</v>
      </c>
      <c r="CW211">
        <f>ROUND(Y211*Source!I194*DO211,7)</f>
        <v>0</v>
      </c>
      <c r="CX211">
        <f>ROUND(Y211*Source!I194,7)</f>
        <v>8.9999999999999993E-3</v>
      </c>
      <c r="CY211">
        <f>AB211</f>
        <v>470.42</v>
      </c>
      <c r="CZ211">
        <f>AF211</f>
        <v>345.9</v>
      </c>
      <c r="DA211">
        <f>AJ211</f>
        <v>1.36</v>
      </c>
      <c r="DB211">
        <f t="shared" si="72"/>
        <v>311.31</v>
      </c>
      <c r="DC211">
        <f t="shared" si="73"/>
        <v>0</v>
      </c>
      <c r="DD211" t="s">
        <v>3</v>
      </c>
      <c r="DE211" t="s">
        <v>3</v>
      </c>
      <c r="DF211">
        <f>ROUND(ROUND(AE211,2)*CX211,2)</f>
        <v>0</v>
      </c>
      <c r="DG211">
        <f>ROUND(ROUND(AF211*AJ211,2)*CX211,2)</f>
        <v>4.2300000000000004</v>
      </c>
      <c r="DH211">
        <f t="shared" si="75"/>
        <v>0</v>
      </c>
      <c r="DI211">
        <f t="shared" si="76"/>
        <v>0</v>
      </c>
      <c r="DJ211">
        <f>DG211+DH211</f>
        <v>4.2300000000000004</v>
      </c>
      <c r="DK211">
        <v>0</v>
      </c>
      <c r="DL211" t="s">
        <v>3</v>
      </c>
      <c r="DM211">
        <v>0</v>
      </c>
      <c r="DN211" t="s">
        <v>3</v>
      </c>
      <c r="DO211">
        <v>0</v>
      </c>
    </row>
    <row r="212" spans="1:119" x14ac:dyDescent="0.2">
      <c r="A212">
        <f>ROW(Source!A194)</f>
        <v>194</v>
      </c>
      <c r="B212">
        <v>74014550</v>
      </c>
      <c r="C212">
        <v>74016676</v>
      </c>
      <c r="D212">
        <v>72646970</v>
      </c>
      <c r="E212">
        <v>1</v>
      </c>
      <c r="F212">
        <v>1</v>
      </c>
      <c r="G212">
        <v>1</v>
      </c>
      <c r="H212">
        <v>2</v>
      </c>
      <c r="I212" t="s">
        <v>577</v>
      </c>
      <c r="J212" t="s">
        <v>578</v>
      </c>
      <c r="K212" t="s">
        <v>579</v>
      </c>
      <c r="L212">
        <v>1368</v>
      </c>
      <c r="N212">
        <v>1011</v>
      </c>
      <c r="O212" t="s">
        <v>488</v>
      </c>
      <c r="P212" t="s">
        <v>488</v>
      </c>
      <c r="Q212">
        <v>1</v>
      </c>
      <c r="W212">
        <v>0</v>
      </c>
      <c r="X212">
        <v>-550484749</v>
      </c>
      <c r="Y212">
        <f t="shared" si="71"/>
        <v>0.48</v>
      </c>
      <c r="AA212">
        <v>0</v>
      </c>
      <c r="AB212">
        <v>48.02</v>
      </c>
      <c r="AC212">
        <v>0</v>
      </c>
      <c r="AD212">
        <v>0</v>
      </c>
      <c r="AE212">
        <v>0</v>
      </c>
      <c r="AF212">
        <v>27.13</v>
      </c>
      <c r="AG212">
        <v>0</v>
      </c>
      <c r="AH212">
        <v>0</v>
      </c>
      <c r="AI212">
        <v>1</v>
      </c>
      <c r="AJ212">
        <v>1.77</v>
      </c>
      <c r="AK212">
        <v>1</v>
      </c>
      <c r="AL212">
        <v>1</v>
      </c>
      <c r="AM212">
        <v>2</v>
      </c>
      <c r="AN212">
        <v>0</v>
      </c>
      <c r="AO212">
        <v>0</v>
      </c>
      <c r="AP212">
        <v>1</v>
      </c>
      <c r="AQ212">
        <v>1</v>
      </c>
      <c r="AR212">
        <v>0</v>
      </c>
      <c r="AS212" t="s">
        <v>3</v>
      </c>
      <c r="AT212">
        <v>0.48</v>
      </c>
      <c r="AU212" t="s">
        <v>3</v>
      </c>
      <c r="AV212">
        <v>1</v>
      </c>
      <c r="AW212">
        <v>2</v>
      </c>
      <c r="AX212">
        <v>74016684</v>
      </c>
      <c r="AY212">
        <v>1</v>
      </c>
      <c r="AZ212">
        <v>0</v>
      </c>
      <c r="BA212">
        <v>234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13.022399999999999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13.022399999999999</v>
      </c>
      <c r="BS212">
        <v>0</v>
      </c>
      <c r="BT212">
        <v>0</v>
      </c>
      <c r="BU212">
        <v>0</v>
      </c>
      <c r="BV212">
        <v>0</v>
      </c>
      <c r="BW212">
        <v>1</v>
      </c>
      <c r="CV212">
        <v>0</v>
      </c>
      <c r="CW212">
        <f>ROUND(Y212*Source!I194*DO212,7)</f>
        <v>0</v>
      </c>
      <c r="CX212">
        <f>ROUND(Y212*Source!I194,7)</f>
        <v>4.7999999999999996E-3</v>
      </c>
      <c r="CY212">
        <f>AB212</f>
        <v>48.02</v>
      </c>
      <c r="CZ212">
        <f>AF212</f>
        <v>27.13</v>
      </c>
      <c r="DA212">
        <f>AJ212</f>
        <v>1.77</v>
      </c>
      <c r="DB212">
        <f t="shared" si="72"/>
        <v>13.02</v>
      </c>
      <c r="DC212">
        <f t="shared" si="73"/>
        <v>0</v>
      </c>
      <c r="DD212" t="s">
        <v>3</v>
      </c>
      <c r="DE212" t="s">
        <v>3</v>
      </c>
      <c r="DF212">
        <f>ROUND(ROUND(AE212,2)*CX212,2)</f>
        <v>0</v>
      </c>
      <c r="DG212">
        <f>ROUND(ROUND(AF212*AJ212,2)*CX212,2)</f>
        <v>0.23</v>
      </c>
      <c r="DH212">
        <f t="shared" si="75"/>
        <v>0</v>
      </c>
      <c r="DI212">
        <f t="shared" si="76"/>
        <v>0</v>
      </c>
      <c r="DJ212">
        <f>DG212+DH212</f>
        <v>0.23</v>
      </c>
      <c r="DK212">
        <v>0</v>
      </c>
      <c r="DL212" t="s">
        <v>3</v>
      </c>
      <c r="DM212">
        <v>0</v>
      </c>
      <c r="DN212" t="s">
        <v>3</v>
      </c>
      <c r="DO212">
        <v>0</v>
      </c>
    </row>
    <row r="213" spans="1:119" x14ac:dyDescent="0.2">
      <c r="A213">
        <f>ROW(Source!A194)</f>
        <v>194</v>
      </c>
      <c r="B213">
        <v>74014550</v>
      </c>
      <c r="C213">
        <v>74016676</v>
      </c>
      <c r="D213">
        <v>72633882</v>
      </c>
      <c r="E213">
        <v>1</v>
      </c>
      <c r="F213">
        <v>1</v>
      </c>
      <c r="G213">
        <v>1</v>
      </c>
      <c r="H213">
        <v>3</v>
      </c>
      <c r="I213" t="s">
        <v>351</v>
      </c>
      <c r="J213" t="s">
        <v>353</v>
      </c>
      <c r="K213" t="s">
        <v>352</v>
      </c>
      <c r="L213">
        <v>1301</v>
      </c>
      <c r="N213">
        <v>1003</v>
      </c>
      <c r="O213" t="s">
        <v>125</v>
      </c>
      <c r="P213" t="s">
        <v>125</v>
      </c>
      <c r="Q213">
        <v>1</v>
      </c>
      <c r="W213">
        <v>0</v>
      </c>
      <c r="X213">
        <v>54765842</v>
      </c>
      <c r="Y213">
        <f t="shared" si="71"/>
        <v>100</v>
      </c>
      <c r="AA213">
        <v>57.83</v>
      </c>
      <c r="AB213">
        <v>0</v>
      </c>
      <c r="AC213">
        <v>0</v>
      </c>
      <c r="AD213">
        <v>0</v>
      </c>
      <c r="AE213">
        <v>56.15</v>
      </c>
      <c r="AF213">
        <v>0</v>
      </c>
      <c r="AG213">
        <v>0</v>
      </c>
      <c r="AH213">
        <v>0</v>
      </c>
      <c r="AI213">
        <v>1.03</v>
      </c>
      <c r="AJ213">
        <v>1</v>
      </c>
      <c r="AK213">
        <v>1</v>
      </c>
      <c r="AL213">
        <v>1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0</v>
      </c>
      <c r="AS213" t="s">
        <v>3</v>
      </c>
      <c r="AT213">
        <v>100</v>
      </c>
      <c r="AU213" t="s">
        <v>3</v>
      </c>
      <c r="AV213">
        <v>0</v>
      </c>
      <c r="AW213">
        <v>1</v>
      </c>
      <c r="AX213">
        <v>-1</v>
      </c>
      <c r="AY213">
        <v>0</v>
      </c>
      <c r="AZ213">
        <v>0</v>
      </c>
      <c r="BA213" t="s">
        <v>3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CV213">
        <v>0</v>
      </c>
      <c r="CW213">
        <v>0</v>
      </c>
      <c r="CX213">
        <f>ROUND(Y213*Source!I194,7)</f>
        <v>1</v>
      </c>
      <c r="CY213">
        <f>AA213</f>
        <v>57.83</v>
      </c>
      <c r="CZ213">
        <f>AE213</f>
        <v>56.15</v>
      </c>
      <c r="DA213">
        <f>AI213</f>
        <v>1.03</v>
      </c>
      <c r="DB213">
        <f t="shared" si="72"/>
        <v>5615</v>
      </c>
      <c r="DC213">
        <f t="shared" si="73"/>
        <v>0</v>
      </c>
      <c r="DD213" t="s">
        <v>3</v>
      </c>
      <c r="DE213" t="s">
        <v>3</v>
      </c>
      <c r="DF213">
        <f>ROUND(ROUND(AE213*AI213,2)*CX213,2)</f>
        <v>57.83</v>
      </c>
      <c r="DG213">
        <f t="shared" ref="DG213:DG221" si="83">ROUND(ROUND(AF213,2)*CX213,2)</f>
        <v>0</v>
      </c>
      <c r="DH213">
        <f t="shared" si="75"/>
        <v>0</v>
      </c>
      <c r="DI213">
        <f t="shared" si="76"/>
        <v>0</v>
      </c>
      <c r="DJ213">
        <f>DF213</f>
        <v>57.83</v>
      </c>
      <c r="DK213">
        <v>0</v>
      </c>
      <c r="DL213" t="s">
        <v>3</v>
      </c>
      <c r="DM213">
        <v>0</v>
      </c>
      <c r="DN213" t="s">
        <v>3</v>
      </c>
      <c r="DO213">
        <v>0</v>
      </c>
    </row>
    <row r="214" spans="1:119" x14ac:dyDescent="0.2">
      <c r="A214">
        <f>ROW(Source!A194)</f>
        <v>194</v>
      </c>
      <c r="B214">
        <v>74014550</v>
      </c>
      <c r="C214">
        <v>74016676</v>
      </c>
      <c r="D214">
        <v>72635017</v>
      </c>
      <c r="E214">
        <v>1</v>
      </c>
      <c r="F214">
        <v>1</v>
      </c>
      <c r="G214">
        <v>1</v>
      </c>
      <c r="H214">
        <v>3</v>
      </c>
      <c r="I214" t="s">
        <v>580</v>
      </c>
      <c r="J214" t="s">
        <v>581</v>
      </c>
      <c r="K214" t="s">
        <v>582</v>
      </c>
      <c r="L214">
        <v>1371</v>
      </c>
      <c r="N214">
        <v>1013</v>
      </c>
      <c r="O214" t="s">
        <v>130</v>
      </c>
      <c r="P214" t="s">
        <v>130</v>
      </c>
      <c r="Q214">
        <v>1</v>
      </c>
      <c r="W214">
        <v>0</v>
      </c>
      <c r="X214">
        <v>-1342207248</v>
      </c>
      <c r="Y214">
        <f t="shared" si="71"/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0.99</v>
      </c>
      <c r="AJ214">
        <v>1</v>
      </c>
      <c r="AK214">
        <v>1</v>
      </c>
      <c r="AL214">
        <v>1</v>
      </c>
      <c r="AM214">
        <v>2</v>
      </c>
      <c r="AN214">
        <v>0</v>
      </c>
      <c r="AO214">
        <v>0</v>
      </c>
      <c r="AP214">
        <v>1</v>
      </c>
      <c r="AQ214">
        <v>1</v>
      </c>
      <c r="AR214">
        <v>0</v>
      </c>
      <c r="AS214" t="s">
        <v>3</v>
      </c>
      <c r="AT214">
        <v>0</v>
      </c>
      <c r="AU214" t="s">
        <v>3</v>
      </c>
      <c r="AV214">
        <v>0</v>
      </c>
      <c r="AW214">
        <v>2</v>
      </c>
      <c r="AX214">
        <v>74016686</v>
      </c>
      <c r="AY214">
        <v>2</v>
      </c>
      <c r="AZ214">
        <v>22528</v>
      </c>
      <c r="BA214">
        <v>236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CV214">
        <v>0</v>
      </c>
      <c r="CW214">
        <v>0</v>
      </c>
      <c r="CX214">
        <f>ROUND(Y214*Source!I194,7)</f>
        <v>0</v>
      </c>
      <c r="CY214">
        <f>AA214</f>
        <v>0</v>
      </c>
      <c r="CZ214">
        <f>AE214</f>
        <v>0</v>
      </c>
      <c r="DA214">
        <f>AI214</f>
        <v>0.99</v>
      </c>
      <c r="DB214">
        <f t="shared" si="72"/>
        <v>0</v>
      </c>
      <c r="DC214">
        <f t="shared" si="73"/>
        <v>0</v>
      </c>
      <c r="DD214" t="s">
        <v>3</v>
      </c>
      <c r="DE214" t="s">
        <v>3</v>
      </c>
      <c r="DF214">
        <f>ROUND(ROUND(AE214*AI214,2)*CX214,2)</f>
        <v>0</v>
      </c>
      <c r="DG214">
        <f t="shared" si="83"/>
        <v>0</v>
      </c>
      <c r="DH214">
        <f t="shared" si="75"/>
        <v>0</v>
      </c>
      <c r="DI214">
        <f t="shared" si="76"/>
        <v>0</v>
      </c>
      <c r="DJ214">
        <f>DF214</f>
        <v>0</v>
      </c>
      <c r="DK214">
        <v>2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ROW(Source!A196)</f>
        <v>196</v>
      </c>
      <c r="B215">
        <v>74014550</v>
      </c>
      <c r="C215">
        <v>74016688</v>
      </c>
      <c r="D215">
        <v>72518787</v>
      </c>
      <c r="E215">
        <v>119</v>
      </c>
      <c r="F215">
        <v>1</v>
      </c>
      <c r="G215">
        <v>1</v>
      </c>
      <c r="H215">
        <v>1</v>
      </c>
      <c r="I215" t="s">
        <v>583</v>
      </c>
      <c r="J215" t="s">
        <v>3</v>
      </c>
      <c r="K215" t="s">
        <v>584</v>
      </c>
      <c r="L215">
        <v>1369</v>
      </c>
      <c r="N215">
        <v>1013</v>
      </c>
      <c r="O215" t="s">
        <v>585</v>
      </c>
      <c r="P215" t="s">
        <v>585</v>
      </c>
      <c r="Q215">
        <v>1</v>
      </c>
      <c r="W215">
        <v>0</v>
      </c>
      <c r="X215">
        <v>-236928766</v>
      </c>
      <c r="Y215">
        <f t="shared" ref="Y215:Y250" si="84">AT215</f>
        <v>45.66</v>
      </c>
      <c r="AA215">
        <v>0</v>
      </c>
      <c r="AB215">
        <v>0</v>
      </c>
      <c r="AC215">
        <v>0</v>
      </c>
      <c r="AD215">
        <v>325.57</v>
      </c>
      <c r="AE215">
        <v>0</v>
      </c>
      <c r="AF215">
        <v>0</v>
      </c>
      <c r="AG215">
        <v>0</v>
      </c>
      <c r="AH215">
        <v>325.57</v>
      </c>
      <c r="AI215">
        <v>1</v>
      </c>
      <c r="AJ215">
        <v>1</v>
      </c>
      <c r="AK215">
        <v>1</v>
      </c>
      <c r="AL215">
        <v>1</v>
      </c>
      <c r="AM215">
        <v>-2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45.66</v>
      </c>
      <c r="AU215" t="s">
        <v>3</v>
      </c>
      <c r="AV215">
        <v>1</v>
      </c>
      <c r="AW215">
        <v>2</v>
      </c>
      <c r="AX215">
        <v>74016703</v>
      </c>
      <c r="AY215">
        <v>1</v>
      </c>
      <c r="AZ215">
        <v>0</v>
      </c>
      <c r="BA215">
        <v>237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14865.526199999998</v>
      </c>
      <c r="BN215">
        <v>45.66</v>
      </c>
      <c r="BO215">
        <v>0</v>
      </c>
      <c r="BP215">
        <v>1</v>
      </c>
      <c r="BQ215">
        <v>0</v>
      </c>
      <c r="BR215">
        <v>0</v>
      </c>
      <c r="BS215">
        <v>0</v>
      </c>
      <c r="BT215">
        <v>14865.526199999998</v>
      </c>
      <c r="BU215">
        <v>45.66</v>
      </c>
      <c r="BV215">
        <v>0</v>
      </c>
      <c r="BW215">
        <v>1</v>
      </c>
      <c r="CU215">
        <f>ROUND(AT215*Source!I196*AH215*AL215,2)</f>
        <v>14.87</v>
      </c>
      <c r="CV215">
        <f>ROUND(Y215*Source!I196,7)</f>
        <v>4.5659999999999999E-2</v>
      </c>
      <c r="CW215">
        <v>0</v>
      </c>
      <c r="CX215">
        <f>ROUND(Y215*Source!I196,7)</f>
        <v>4.5659999999999999E-2</v>
      </c>
      <c r="CY215">
        <f t="shared" ref="CY215:CY220" si="85">AD215</f>
        <v>325.57</v>
      </c>
      <c r="CZ215">
        <f t="shared" ref="CZ215:CZ220" si="86">AH215</f>
        <v>325.57</v>
      </c>
      <c r="DA215">
        <f t="shared" ref="DA215:DA220" si="87">AL215</f>
        <v>1</v>
      </c>
      <c r="DB215">
        <f t="shared" ref="DB215:DB250" si="88">ROUND(ROUND(AT215*CZ215,2),6)</f>
        <v>14865.53</v>
      </c>
      <c r="DC215">
        <f t="shared" ref="DC215:DC250" si="89">ROUND(ROUND(AT215*AG215,2),6)</f>
        <v>0</v>
      </c>
      <c r="DD215" t="s">
        <v>3</v>
      </c>
      <c r="DE215" t="s">
        <v>3</v>
      </c>
      <c r="DF215">
        <f t="shared" ref="DF215:DF225" si="90">ROUND(ROUND(AE215,2)*CX215,2)</f>
        <v>0</v>
      </c>
      <c r="DG215">
        <f t="shared" si="83"/>
        <v>0</v>
      </c>
      <c r="DH215">
        <f t="shared" si="75"/>
        <v>0</v>
      </c>
      <c r="DI215">
        <f t="shared" si="76"/>
        <v>14.87</v>
      </c>
      <c r="DJ215">
        <f t="shared" ref="DJ215:DJ220" si="91">DI215</f>
        <v>14.87</v>
      </c>
      <c r="DK215">
        <v>1</v>
      </c>
      <c r="DL215" t="s">
        <v>3</v>
      </c>
      <c r="DM215">
        <v>0</v>
      </c>
      <c r="DN215" t="s">
        <v>3</v>
      </c>
      <c r="DO215">
        <v>0</v>
      </c>
    </row>
    <row r="216" spans="1:119" x14ac:dyDescent="0.2">
      <c r="A216">
        <f>ROW(Source!A196)</f>
        <v>196</v>
      </c>
      <c r="B216">
        <v>74014550</v>
      </c>
      <c r="C216">
        <v>74016688</v>
      </c>
      <c r="D216">
        <v>72518789</v>
      </c>
      <c r="E216">
        <v>119</v>
      </c>
      <c r="F216">
        <v>1</v>
      </c>
      <c r="G216">
        <v>1</v>
      </c>
      <c r="H216">
        <v>1</v>
      </c>
      <c r="I216" t="s">
        <v>749</v>
      </c>
      <c r="J216" t="s">
        <v>3</v>
      </c>
      <c r="K216" t="s">
        <v>750</v>
      </c>
      <c r="L216">
        <v>1369</v>
      </c>
      <c r="N216">
        <v>1013</v>
      </c>
      <c r="O216" t="s">
        <v>585</v>
      </c>
      <c r="P216" t="s">
        <v>585</v>
      </c>
      <c r="Q216">
        <v>1</v>
      </c>
      <c r="W216">
        <v>0</v>
      </c>
      <c r="X216">
        <v>-587036825</v>
      </c>
      <c r="Y216">
        <f t="shared" si="84"/>
        <v>135.96</v>
      </c>
      <c r="AA216">
        <v>0</v>
      </c>
      <c r="AB216">
        <v>0</v>
      </c>
      <c r="AC216">
        <v>0</v>
      </c>
      <c r="AD216">
        <v>355.44</v>
      </c>
      <c r="AE216">
        <v>0</v>
      </c>
      <c r="AF216">
        <v>0</v>
      </c>
      <c r="AG216">
        <v>0</v>
      </c>
      <c r="AH216">
        <v>355.44</v>
      </c>
      <c r="AI216">
        <v>1</v>
      </c>
      <c r="AJ216">
        <v>1</v>
      </c>
      <c r="AK216">
        <v>1</v>
      </c>
      <c r="AL216">
        <v>1</v>
      </c>
      <c r="AM216">
        <v>-2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135.96</v>
      </c>
      <c r="AU216" t="s">
        <v>3</v>
      </c>
      <c r="AV216">
        <v>1</v>
      </c>
      <c r="AW216">
        <v>2</v>
      </c>
      <c r="AX216">
        <v>74016704</v>
      </c>
      <c r="AY216">
        <v>1</v>
      </c>
      <c r="AZ216">
        <v>0</v>
      </c>
      <c r="BA216">
        <v>238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48325.6224</v>
      </c>
      <c r="BN216">
        <v>135.96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48325.6224</v>
      </c>
      <c r="BU216">
        <v>135.96</v>
      </c>
      <c r="BV216">
        <v>0</v>
      </c>
      <c r="BW216">
        <v>1</v>
      </c>
      <c r="CU216">
        <f>ROUND(AT216*Source!I196*AH216*AL216,2)</f>
        <v>48.33</v>
      </c>
      <c r="CV216">
        <f>ROUND(Y216*Source!I196,7)</f>
        <v>0.13596</v>
      </c>
      <c r="CW216">
        <v>0</v>
      </c>
      <c r="CX216">
        <f>ROUND(Y216*Source!I196,7)</f>
        <v>0.13596</v>
      </c>
      <c r="CY216">
        <f t="shared" si="85"/>
        <v>355.44</v>
      </c>
      <c r="CZ216">
        <f t="shared" si="86"/>
        <v>355.44</v>
      </c>
      <c r="DA216">
        <f t="shared" si="87"/>
        <v>1</v>
      </c>
      <c r="DB216">
        <f t="shared" si="88"/>
        <v>48325.62</v>
      </c>
      <c r="DC216">
        <f t="shared" si="89"/>
        <v>0</v>
      </c>
      <c r="DD216" t="s">
        <v>3</v>
      </c>
      <c r="DE216" t="s">
        <v>3</v>
      </c>
      <c r="DF216">
        <f t="shared" si="90"/>
        <v>0</v>
      </c>
      <c r="DG216">
        <f t="shared" si="83"/>
        <v>0</v>
      </c>
      <c r="DH216">
        <f t="shared" si="75"/>
        <v>0</v>
      </c>
      <c r="DI216">
        <f t="shared" si="76"/>
        <v>48.33</v>
      </c>
      <c r="DJ216">
        <f t="shared" si="91"/>
        <v>48.33</v>
      </c>
      <c r="DK216">
        <v>1</v>
      </c>
      <c r="DL216" t="s">
        <v>3</v>
      </c>
      <c r="DM216">
        <v>0</v>
      </c>
      <c r="DN216" t="s">
        <v>3</v>
      </c>
      <c r="DO216">
        <v>0</v>
      </c>
    </row>
    <row r="217" spans="1:119" x14ac:dyDescent="0.2">
      <c r="A217">
        <f>ROW(Source!A196)</f>
        <v>196</v>
      </c>
      <c r="B217">
        <v>74014550</v>
      </c>
      <c r="C217">
        <v>74016688</v>
      </c>
      <c r="D217">
        <v>72518791</v>
      </c>
      <c r="E217">
        <v>119</v>
      </c>
      <c r="F217">
        <v>1</v>
      </c>
      <c r="G217">
        <v>1</v>
      </c>
      <c r="H217">
        <v>1</v>
      </c>
      <c r="I217" t="s">
        <v>586</v>
      </c>
      <c r="J217" t="s">
        <v>3</v>
      </c>
      <c r="K217" t="s">
        <v>587</v>
      </c>
      <c r="L217">
        <v>1369</v>
      </c>
      <c r="N217">
        <v>1013</v>
      </c>
      <c r="O217" t="s">
        <v>585</v>
      </c>
      <c r="P217" t="s">
        <v>585</v>
      </c>
      <c r="Q217">
        <v>1</v>
      </c>
      <c r="W217">
        <v>0</v>
      </c>
      <c r="X217">
        <v>-512803540</v>
      </c>
      <c r="Y217">
        <f t="shared" si="84"/>
        <v>79.31</v>
      </c>
      <c r="AA217">
        <v>0</v>
      </c>
      <c r="AB217">
        <v>0</v>
      </c>
      <c r="AC217">
        <v>0</v>
      </c>
      <c r="AD217">
        <v>400.24</v>
      </c>
      <c r="AE217">
        <v>0</v>
      </c>
      <c r="AF217">
        <v>0</v>
      </c>
      <c r="AG217">
        <v>0</v>
      </c>
      <c r="AH217">
        <v>400.24</v>
      </c>
      <c r="AI217">
        <v>1</v>
      </c>
      <c r="AJ217">
        <v>1</v>
      </c>
      <c r="AK217">
        <v>1</v>
      </c>
      <c r="AL217">
        <v>1</v>
      </c>
      <c r="AM217">
        <v>-2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79.31</v>
      </c>
      <c r="AU217" t="s">
        <v>3</v>
      </c>
      <c r="AV217">
        <v>1</v>
      </c>
      <c r="AW217">
        <v>2</v>
      </c>
      <c r="AX217">
        <v>74016705</v>
      </c>
      <c r="AY217">
        <v>1</v>
      </c>
      <c r="AZ217">
        <v>0</v>
      </c>
      <c r="BA217">
        <v>239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31743.0344</v>
      </c>
      <c r="BN217">
        <v>79.31</v>
      </c>
      <c r="BO217">
        <v>0</v>
      </c>
      <c r="BP217">
        <v>1</v>
      </c>
      <c r="BQ217">
        <v>0</v>
      </c>
      <c r="BR217">
        <v>0</v>
      </c>
      <c r="BS217">
        <v>0</v>
      </c>
      <c r="BT217">
        <v>31743.0344</v>
      </c>
      <c r="BU217">
        <v>79.31</v>
      </c>
      <c r="BV217">
        <v>0</v>
      </c>
      <c r="BW217">
        <v>1</v>
      </c>
      <c r="CU217">
        <f>ROUND(AT217*Source!I196*AH217*AL217,2)</f>
        <v>31.74</v>
      </c>
      <c r="CV217">
        <f>ROUND(Y217*Source!I196,7)</f>
        <v>7.9310000000000005E-2</v>
      </c>
      <c r="CW217">
        <v>0</v>
      </c>
      <c r="CX217">
        <f>ROUND(Y217*Source!I196,7)</f>
        <v>7.9310000000000005E-2</v>
      </c>
      <c r="CY217">
        <f t="shared" si="85"/>
        <v>400.24</v>
      </c>
      <c r="CZ217">
        <f t="shared" si="86"/>
        <v>400.24</v>
      </c>
      <c r="DA217">
        <f t="shared" si="87"/>
        <v>1</v>
      </c>
      <c r="DB217">
        <f t="shared" si="88"/>
        <v>31743.03</v>
      </c>
      <c r="DC217">
        <f t="shared" si="89"/>
        <v>0</v>
      </c>
      <c r="DD217" t="s">
        <v>3</v>
      </c>
      <c r="DE217" t="s">
        <v>3</v>
      </c>
      <c r="DF217">
        <f t="shared" si="90"/>
        <v>0</v>
      </c>
      <c r="DG217">
        <f t="shared" si="83"/>
        <v>0</v>
      </c>
      <c r="DH217">
        <f t="shared" si="75"/>
        <v>0</v>
      </c>
      <c r="DI217">
        <f t="shared" si="76"/>
        <v>31.74</v>
      </c>
      <c r="DJ217">
        <f t="shared" si="91"/>
        <v>31.74</v>
      </c>
      <c r="DK217">
        <v>1</v>
      </c>
      <c r="DL217" t="s">
        <v>3</v>
      </c>
      <c r="DM217">
        <v>0</v>
      </c>
      <c r="DN217" t="s">
        <v>3</v>
      </c>
      <c r="DO217">
        <v>0</v>
      </c>
    </row>
    <row r="218" spans="1:119" x14ac:dyDescent="0.2">
      <c r="A218">
        <f>ROW(Source!A196)</f>
        <v>196</v>
      </c>
      <c r="B218">
        <v>74014550</v>
      </c>
      <c r="C218">
        <v>74016688</v>
      </c>
      <c r="D218">
        <v>72518793</v>
      </c>
      <c r="E218">
        <v>119</v>
      </c>
      <c r="F218">
        <v>1</v>
      </c>
      <c r="G218">
        <v>1</v>
      </c>
      <c r="H218">
        <v>1</v>
      </c>
      <c r="I218" t="s">
        <v>647</v>
      </c>
      <c r="J218" t="s">
        <v>3</v>
      </c>
      <c r="K218" t="s">
        <v>648</v>
      </c>
      <c r="L218">
        <v>1369</v>
      </c>
      <c r="N218">
        <v>1013</v>
      </c>
      <c r="O218" t="s">
        <v>585</v>
      </c>
      <c r="P218" t="s">
        <v>585</v>
      </c>
      <c r="Q218">
        <v>1</v>
      </c>
      <c r="W218">
        <v>0</v>
      </c>
      <c r="X218">
        <v>1518711480</v>
      </c>
      <c r="Y218">
        <f t="shared" si="84"/>
        <v>60.51</v>
      </c>
      <c r="AA218">
        <v>0</v>
      </c>
      <c r="AB218">
        <v>0</v>
      </c>
      <c r="AC218">
        <v>0</v>
      </c>
      <c r="AD218">
        <v>459.98</v>
      </c>
      <c r="AE218">
        <v>0</v>
      </c>
      <c r="AF218">
        <v>0</v>
      </c>
      <c r="AG218">
        <v>0</v>
      </c>
      <c r="AH218">
        <v>459.98</v>
      </c>
      <c r="AI218">
        <v>1</v>
      </c>
      <c r="AJ218">
        <v>1</v>
      </c>
      <c r="AK218">
        <v>1</v>
      </c>
      <c r="AL218">
        <v>1</v>
      </c>
      <c r="AM218">
        <v>-2</v>
      </c>
      <c r="AN218">
        <v>0</v>
      </c>
      <c r="AO218">
        <v>0</v>
      </c>
      <c r="AP218">
        <v>1</v>
      </c>
      <c r="AQ218">
        <v>1</v>
      </c>
      <c r="AR218">
        <v>0</v>
      </c>
      <c r="AS218" t="s">
        <v>3</v>
      </c>
      <c r="AT218">
        <v>60.51</v>
      </c>
      <c r="AU218" t="s">
        <v>3</v>
      </c>
      <c r="AV218">
        <v>1</v>
      </c>
      <c r="AW218">
        <v>2</v>
      </c>
      <c r="AX218">
        <v>74016706</v>
      </c>
      <c r="AY218">
        <v>1</v>
      </c>
      <c r="AZ218">
        <v>0</v>
      </c>
      <c r="BA218">
        <v>240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27833.389800000001</v>
      </c>
      <c r="BN218">
        <v>60.51</v>
      </c>
      <c r="BO218">
        <v>0</v>
      </c>
      <c r="BP218">
        <v>1</v>
      </c>
      <c r="BQ218">
        <v>0</v>
      </c>
      <c r="BR218">
        <v>0</v>
      </c>
      <c r="BS218">
        <v>0</v>
      </c>
      <c r="BT218">
        <v>27833.389800000001</v>
      </c>
      <c r="BU218">
        <v>60.51</v>
      </c>
      <c r="BV218">
        <v>0</v>
      </c>
      <c r="BW218">
        <v>1</v>
      </c>
      <c r="CU218">
        <f>ROUND(AT218*Source!I196*AH218*AL218,2)</f>
        <v>27.83</v>
      </c>
      <c r="CV218">
        <f>ROUND(Y218*Source!I196,7)</f>
        <v>6.0510000000000001E-2</v>
      </c>
      <c r="CW218">
        <v>0</v>
      </c>
      <c r="CX218">
        <f>ROUND(Y218*Source!I196,7)</f>
        <v>6.0510000000000001E-2</v>
      </c>
      <c r="CY218">
        <f t="shared" si="85"/>
        <v>459.98</v>
      </c>
      <c r="CZ218">
        <f t="shared" si="86"/>
        <v>459.98</v>
      </c>
      <c r="DA218">
        <f t="shared" si="87"/>
        <v>1</v>
      </c>
      <c r="DB218">
        <f t="shared" si="88"/>
        <v>27833.39</v>
      </c>
      <c r="DC218">
        <f t="shared" si="89"/>
        <v>0</v>
      </c>
      <c r="DD218" t="s">
        <v>3</v>
      </c>
      <c r="DE218" t="s">
        <v>3</v>
      </c>
      <c r="DF218">
        <f t="shared" si="90"/>
        <v>0</v>
      </c>
      <c r="DG218">
        <f t="shared" si="83"/>
        <v>0</v>
      </c>
      <c r="DH218">
        <f t="shared" si="75"/>
        <v>0</v>
      </c>
      <c r="DI218">
        <f t="shared" si="76"/>
        <v>27.83</v>
      </c>
      <c r="DJ218">
        <f t="shared" si="91"/>
        <v>27.83</v>
      </c>
      <c r="DK218">
        <v>1</v>
      </c>
      <c r="DL218" t="s">
        <v>3</v>
      </c>
      <c r="DM218">
        <v>0</v>
      </c>
      <c r="DN218" t="s">
        <v>3</v>
      </c>
      <c r="DO218">
        <v>0</v>
      </c>
    </row>
    <row r="219" spans="1:119" x14ac:dyDescent="0.2">
      <c r="A219">
        <f>ROW(Source!A196)</f>
        <v>196</v>
      </c>
      <c r="B219">
        <v>74014550</v>
      </c>
      <c r="C219">
        <v>74016688</v>
      </c>
      <c r="D219">
        <v>72518795</v>
      </c>
      <c r="E219">
        <v>119</v>
      </c>
      <c r="F219">
        <v>1</v>
      </c>
      <c r="G219">
        <v>1</v>
      </c>
      <c r="H219">
        <v>1</v>
      </c>
      <c r="I219" t="s">
        <v>751</v>
      </c>
      <c r="J219" t="s">
        <v>3</v>
      </c>
      <c r="K219" t="s">
        <v>752</v>
      </c>
      <c r="L219">
        <v>1369</v>
      </c>
      <c r="N219">
        <v>1013</v>
      </c>
      <c r="O219" t="s">
        <v>585</v>
      </c>
      <c r="P219" t="s">
        <v>585</v>
      </c>
      <c r="Q219">
        <v>1</v>
      </c>
      <c r="W219">
        <v>0</v>
      </c>
      <c r="X219">
        <v>286205319</v>
      </c>
      <c r="Y219">
        <f t="shared" si="84"/>
        <v>46.35</v>
      </c>
      <c r="AA219">
        <v>0</v>
      </c>
      <c r="AB219">
        <v>0</v>
      </c>
      <c r="AC219">
        <v>0</v>
      </c>
      <c r="AD219">
        <v>537.64</v>
      </c>
      <c r="AE219">
        <v>0</v>
      </c>
      <c r="AF219">
        <v>0</v>
      </c>
      <c r="AG219">
        <v>0</v>
      </c>
      <c r="AH219">
        <v>537.64</v>
      </c>
      <c r="AI219">
        <v>1</v>
      </c>
      <c r="AJ219">
        <v>1</v>
      </c>
      <c r="AK219">
        <v>1</v>
      </c>
      <c r="AL219">
        <v>1</v>
      </c>
      <c r="AM219">
        <v>-2</v>
      </c>
      <c r="AN219">
        <v>0</v>
      </c>
      <c r="AO219">
        <v>0</v>
      </c>
      <c r="AP219">
        <v>1</v>
      </c>
      <c r="AQ219">
        <v>1</v>
      </c>
      <c r="AR219">
        <v>0</v>
      </c>
      <c r="AS219" t="s">
        <v>3</v>
      </c>
      <c r="AT219">
        <v>46.35</v>
      </c>
      <c r="AU219" t="s">
        <v>3</v>
      </c>
      <c r="AV219">
        <v>1</v>
      </c>
      <c r="AW219">
        <v>2</v>
      </c>
      <c r="AX219">
        <v>74016707</v>
      </c>
      <c r="AY219">
        <v>1</v>
      </c>
      <c r="AZ219">
        <v>0</v>
      </c>
      <c r="BA219">
        <v>241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24919.614000000001</v>
      </c>
      <c r="BN219">
        <v>46.35</v>
      </c>
      <c r="BO219">
        <v>0</v>
      </c>
      <c r="BP219">
        <v>1</v>
      </c>
      <c r="BQ219">
        <v>0</v>
      </c>
      <c r="BR219">
        <v>0</v>
      </c>
      <c r="BS219">
        <v>0</v>
      </c>
      <c r="BT219">
        <v>24919.614000000001</v>
      </c>
      <c r="BU219">
        <v>46.35</v>
      </c>
      <c r="BV219">
        <v>0</v>
      </c>
      <c r="BW219">
        <v>1</v>
      </c>
      <c r="CU219">
        <f>ROUND(AT219*Source!I196*AH219*AL219,2)</f>
        <v>24.92</v>
      </c>
      <c r="CV219">
        <f>ROUND(Y219*Source!I196,7)</f>
        <v>4.6350000000000002E-2</v>
      </c>
      <c r="CW219">
        <v>0</v>
      </c>
      <c r="CX219">
        <f>ROUND(Y219*Source!I196,7)</f>
        <v>4.6350000000000002E-2</v>
      </c>
      <c r="CY219">
        <f t="shared" si="85"/>
        <v>537.64</v>
      </c>
      <c r="CZ219">
        <f t="shared" si="86"/>
        <v>537.64</v>
      </c>
      <c r="DA219">
        <f t="shared" si="87"/>
        <v>1</v>
      </c>
      <c r="DB219">
        <f t="shared" si="88"/>
        <v>24919.61</v>
      </c>
      <c r="DC219">
        <f t="shared" si="89"/>
        <v>0</v>
      </c>
      <c r="DD219" t="s">
        <v>3</v>
      </c>
      <c r="DE219" t="s">
        <v>3</v>
      </c>
      <c r="DF219">
        <f t="shared" si="90"/>
        <v>0</v>
      </c>
      <c r="DG219">
        <f t="shared" si="83"/>
        <v>0</v>
      </c>
      <c r="DH219">
        <f t="shared" si="75"/>
        <v>0</v>
      </c>
      <c r="DI219">
        <f t="shared" si="76"/>
        <v>24.92</v>
      </c>
      <c r="DJ219">
        <f t="shared" si="91"/>
        <v>24.92</v>
      </c>
      <c r="DK219">
        <v>1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ROW(Source!A196)</f>
        <v>196</v>
      </c>
      <c r="B220">
        <v>74014550</v>
      </c>
      <c r="C220">
        <v>74016688</v>
      </c>
      <c r="D220">
        <v>20049115</v>
      </c>
      <c r="E220">
        <v>119</v>
      </c>
      <c r="F220">
        <v>1</v>
      </c>
      <c r="G220">
        <v>1</v>
      </c>
      <c r="H220">
        <v>1</v>
      </c>
      <c r="I220" t="s">
        <v>482</v>
      </c>
      <c r="J220" t="s">
        <v>3</v>
      </c>
      <c r="K220" t="s">
        <v>483</v>
      </c>
      <c r="L220">
        <v>1191</v>
      </c>
      <c r="N220">
        <v>1013</v>
      </c>
      <c r="O220" t="s">
        <v>484</v>
      </c>
      <c r="P220" t="s">
        <v>484</v>
      </c>
      <c r="Q220">
        <v>1</v>
      </c>
      <c r="W220">
        <v>0</v>
      </c>
      <c r="X220">
        <v>-1417349443</v>
      </c>
      <c r="Y220">
        <f t="shared" si="84"/>
        <v>78.069999999999993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</v>
      </c>
      <c r="AJ220">
        <v>1</v>
      </c>
      <c r="AK220">
        <v>1</v>
      </c>
      <c r="AL220">
        <v>1</v>
      </c>
      <c r="AM220">
        <v>-2</v>
      </c>
      <c r="AN220">
        <v>0</v>
      </c>
      <c r="AO220">
        <v>0</v>
      </c>
      <c r="AP220">
        <v>1</v>
      </c>
      <c r="AQ220">
        <v>1</v>
      </c>
      <c r="AR220">
        <v>0</v>
      </c>
      <c r="AS220" t="s">
        <v>3</v>
      </c>
      <c r="AT220">
        <v>78.069999999999993</v>
      </c>
      <c r="AU220" t="s">
        <v>3</v>
      </c>
      <c r="AV220">
        <v>2</v>
      </c>
      <c r="AW220">
        <v>2</v>
      </c>
      <c r="AX220">
        <v>74016708</v>
      </c>
      <c r="AY220">
        <v>1</v>
      </c>
      <c r="AZ220">
        <v>0</v>
      </c>
      <c r="BA220">
        <v>242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CV220">
        <v>0</v>
      </c>
      <c r="CW220">
        <v>0</v>
      </c>
      <c r="CX220">
        <f>ROUND(Y220*Source!I196,7)</f>
        <v>7.8070000000000001E-2</v>
      </c>
      <c r="CY220">
        <f t="shared" si="85"/>
        <v>0</v>
      </c>
      <c r="CZ220">
        <f t="shared" si="86"/>
        <v>0</v>
      </c>
      <c r="DA220">
        <f t="shared" si="87"/>
        <v>1</v>
      </c>
      <c r="DB220">
        <f t="shared" si="88"/>
        <v>0</v>
      </c>
      <c r="DC220">
        <f t="shared" si="89"/>
        <v>0</v>
      </c>
      <c r="DD220" t="s">
        <v>3</v>
      </c>
      <c r="DE220" t="s">
        <v>3</v>
      </c>
      <c r="DF220">
        <f t="shared" si="90"/>
        <v>0</v>
      </c>
      <c r="DG220">
        <f t="shared" si="83"/>
        <v>0</v>
      </c>
      <c r="DH220">
        <f t="shared" si="75"/>
        <v>0</v>
      </c>
      <c r="DI220">
        <f t="shared" si="76"/>
        <v>0</v>
      </c>
      <c r="DJ220">
        <f t="shared" si="91"/>
        <v>0</v>
      </c>
      <c r="DK220">
        <v>0</v>
      </c>
      <c r="DL220" t="s">
        <v>3</v>
      </c>
      <c r="DM220">
        <v>0</v>
      </c>
      <c r="DN220" t="s">
        <v>3</v>
      </c>
      <c r="DO220">
        <v>0</v>
      </c>
    </row>
    <row r="221" spans="1:119" x14ac:dyDescent="0.2">
      <c r="A221">
        <f>ROW(Source!A196)</f>
        <v>196</v>
      </c>
      <c r="B221">
        <v>74014550</v>
      </c>
      <c r="C221">
        <v>74016688</v>
      </c>
      <c r="D221">
        <v>72646931</v>
      </c>
      <c r="E221">
        <v>1</v>
      </c>
      <c r="F221">
        <v>1</v>
      </c>
      <c r="G221">
        <v>1</v>
      </c>
      <c r="H221">
        <v>2</v>
      </c>
      <c r="I221" t="s">
        <v>545</v>
      </c>
      <c r="J221" t="s">
        <v>546</v>
      </c>
      <c r="K221" t="s">
        <v>547</v>
      </c>
      <c r="L221">
        <v>1368</v>
      </c>
      <c r="N221">
        <v>1011</v>
      </c>
      <c r="O221" t="s">
        <v>488</v>
      </c>
      <c r="P221" t="s">
        <v>488</v>
      </c>
      <c r="Q221">
        <v>1</v>
      </c>
      <c r="W221">
        <v>0</v>
      </c>
      <c r="X221">
        <v>4063365</v>
      </c>
      <c r="Y221">
        <f t="shared" si="84"/>
        <v>0.32</v>
      </c>
      <c r="AA221">
        <v>0</v>
      </c>
      <c r="AB221">
        <v>655.95</v>
      </c>
      <c r="AC221">
        <v>400.24</v>
      </c>
      <c r="AD221">
        <v>0</v>
      </c>
      <c r="AE221">
        <v>0</v>
      </c>
      <c r="AF221">
        <v>655.95</v>
      </c>
      <c r="AG221">
        <v>400.24</v>
      </c>
      <c r="AH221">
        <v>0</v>
      </c>
      <c r="AI221">
        <v>1</v>
      </c>
      <c r="AJ221">
        <v>1</v>
      </c>
      <c r="AK221">
        <v>1</v>
      </c>
      <c r="AL221">
        <v>1</v>
      </c>
      <c r="AM221">
        <v>-2</v>
      </c>
      <c r="AN221">
        <v>0</v>
      </c>
      <c r="AO221">
        <v>0</v>
      </c>
      <c r="AP221">
        <v>1</v>
      </c>
      <c r="AQ221">
        <v>1</v>
      </c>
      <c r="AR221">
        <v>0</v>
      </c>
      <c r="AS221" t="s">
        <v>3</v>
      </c>
      <c r="AT221">
        <v>0.32</v>
      </c>
      <c r="AU221" t="s">
        <v>3</v>
      </c>
      <c r="AV221">
        <v>1</v>
      </c>
      <c r="AW221">
        <v>2</v>
      </c>
      <c r="AX221">
        <v>74016709</v>
      </c>
      <c r="AY221">
        <v>1</v>
      </c>
      <c r="AZ221">
        <v>0</v>
      </c>
      <c r="BA221">
        <v>243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209.90400000000002</v>
      </c>
      <c r="BL221">
        <v>128.07679999999999</v>
      </c>
      <c r="BM221">
        <v>0</v>
      </c>
      <c r="BN221">
        <v>0</v>
      </c>
      <c r="BO221">
        <v>0.32</v>
      </c>
      <c r="BP221">
        <v>1</v>
      </c>
      <c r="BQ221">
        <v>0</v>
      </c>
      <c r="BR221">
        <v>209.90400000000002</v>
      </c>
      <c r="BS221">
        <v>128.07679999999999</v>
      </c>
      <c r="BT221">
        <v>0</v>
      </c>
      <c r="BU221">
        <v>0</v>
      </c>
      <c r="BV221">
        <v>0.32</v>
      </c>
      <c r="BW221">
        <v>1</v>
      </c>
      <c r="CV221">
        <v>0</v>
      </c>
      <c r="CW221">
        <f>ROUND(Y221*Source!I196*DO221,7)</f>
        <v>3.2000000000000003E-4</v>
      </c>
      <c r="CX221">
        <f>ROUND(Y221*Source!I196,7)</f>
        <v>3.2000000000000003E-4</v>
      </c>
      <c r="CY221">
        <f>AB221</f>
        <v>655.95</v>
      </c>
      <c r="CZ221">
        <f>AF221</f>
        <v>655.95</v>
      </c>
      <c r="DA221">
        <f>AJ221</f>
        <v>1</v>
      </c>
      <c r="DB221">
        <f t="shared" si="88"/>
        <v>209.9</v>
      </c>
      <c r="DC221">
        <f t="shared" si="89"/>
        <v>128.08000000000001</v>
      </c>
      <c r="DD221" t="s">
        <v>3</v>
      </c>
      <c r="DE221" t="s">
        <v>3</v>
      </c>
      <c r="DF221">
        <f t="shared" si="90"/>
        <v>0</v>
      </c>
      <c r="DG221">
        <f t="shared" si="83"/>
        <v>0.21</v>
      </c>
      <c r="DH221">
        <f t="shared" si="75"/>
        <v>0.13</v>
      </c>
      <c r="DI221">
        <f t="shared" si="76"/>
        <v>0</v>
      </c>
      <c r="DJ221">
        <f>DG221+DH221</f>
        <v>0.33999999999999997</v>
      </c>
      <c r="DK221">
        <v>1</v>
      </c>
      <c r="DL221" t="s">
        <v>514</v>
      </c>
      <c r="DM221">
        <v>4</v>
      </c>
      <c r="DN221" t="s">
        <v>484</v>
      </c>
      <c r="DO221">
        <v>1</v>
      </c>
    </row>
    <row r="222" spans="1:119" x14ac:dyDescent="0.2">
      <c r="A222">
        <f>ROW(Source!A196)</f>
        <v>196</v>
      </c>
      <c r="B222">
        <v>74014550</v>
      </c>
      <c r="C222">
        <v>74016688</v>
      </c>
      <c r="D222">
        <v>72647086</v>
      </c>
      <c r="E222">
        <v>1</v>
      </c>
      <c r="F222">
        <v>1</v>
      </c>
      <c r="G222">
        <v>1</v>
      </c>
      <c r="H222">
        <v>2</v>
      </c>
      <c r="I222" t="s">
        <v>657</v>
      </c>
      <c r="J222" t="s">
        <v>658</v>
      </c>
      <c r="K222" t="s">
        <v>659</v>
      </c>
      <c r="L222">
        <v>1368</v>
      </c>
      <c r="N222">
        <v>1011</v>
      </c>
      <c r="O222" t="s">
        <v>488</v>
      </c>
      <c r="P222" t="s">
        <v>488</v>
      </c>
      <c r="Q222">
        <v>1</v>
      </c>
      <c r="W222">
        <v>0</v>
      </c>
      <c r="X222">
        <v>-496688244</v>
      </c>
      <c r="Y222">
        <f t="shared" si="84"/>
        <v>32.75</v>
      </c>
      <c r="AA222">
        <v>0</v>
      </c>
      <c r="AB222">
        <v>1496.71</v>
      </c>
      <c r="AC222">
        <v>459.98</v>
      </c>
      <c r="AD222">
        <v>0</v>
      </c>
      <c r="AE222">
        <v>0</v>
      </c>
      <c r="AF222">
        <v>1069.08</v>
      </c>
      <c r="AG222">
        <v>459.98</v>
      </c>
      <c r="AH222">
        <v>0</v>
      </c>
      <c r="AI222">
        <v>1</v>
      </c>
      <c r="AJ222">
        <v>1.4</v>
      </c>
      <c r="AK222">
        <v>1</v>
      </c>
      <c r="AL222">
        <v>1</v>
      </c>
      <c r="AM222">
        <v>2</v>
      </c>
      <c r="AN222">
        <v>0</v>
      </c>
      <c r="AO222">
        <v>0</v>
      </c>
      <c r="AP222">
        <v>1</v>
      </c>
      <c r="AQ222">
        <v>1</v>
      </c>
      <c r="AR222">
        <v>0</v>
      </c>
      <c r="AS222" t="s">
        <v>3</v>
      </c>
      <c r="AT222">
        <v>32.75</v>
      </c>
      <c r="AU222" t="s">
        <v>3</v>
      </c>
      <c r="AV222">
        <v>1</v>
      </c>
      <c r="AW222">
        <v>2</v>
      </c>
      <c r="AX222">
        <v>74016710</v>
      </c>
      <c r="AY222">
        <v>1</v>
      </c>
      <c r="AZ222">
        <v>0</v>
      </c>
      <c r="BA222">
        <v>244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35012.369999999995</v>
      </c>
      <c r="BL222">
        <v>15064.345000000001</v>
      </c>
      <c r="BM222">
        <v>0</v>
      </c>
      <c r="BN222">
        <v>0</v>
      </c>
      <c r="BO222">
        <v>32.75</v>
      </c>
      <c r="BP222">
        <v>1</v>
      </c>
      <c r="BQ222">
        <v>0</v>
      </c>
      <c r="BR222">
        <v>35012.369999999995</v>
      </c>
      <c r="BS222">
        <v>15064.345000000001</v>
      </c>
      <c r="BT222">
        <v>0</v>
      </c>
      <c r="BU222">
        <v>0</v>
      </c>
      <c r="BV222">
        <v>32.75</v>
      </c>
      <c r="BW222">
        <v>1</v>
      </c>
      <c r="CV222">
        <v>0</v>
      </c>
      <c r="CW222">
        <f>ROUND(Y222*Source!I196*DO222,7)</f>
        <v>3.2750000000000001E-2</v>
      </c>
      <c r="CX222">
        <f>ROUND(Y222*Source!I196,7)</f>
        <v>3.2750000000000001E-2</v>
      </c>
      <c r="CY222">
        <f>AB222</f>
        <v>1496.71</v>
      </c>
      <c r="CZ222">
        <f>AF222</f>
        <v>1069.08</v>
      </c>
      <c r="DA222">
        <f>AJ222</f>
        <v>1.4</v>
      </c>
      <c r="DB222">
        <f t="shared" si="88"/>
        <v>35012.370000000003</v>
      </c>
      <c r="DC222">
        <f t="shared" si="89"/>
        <v>15064.35</v>
      </c>
      <c r="DD222" t="s">
        <v>3</v>
      </c>
      <c r="DE222" t="s">
        <v>3</v>
      </c>
      <c r="DF222">
        <f t="shared" si="90"/>
        <v>0</v>
      </c>
      <c r="DG222">
        <f>ROUND(ROUND(AF222*AJ222,2)*CX222,2)</f>
        <v>49.02</v>
      </c>
      <c r="DH222">
        <f t="shared" si="75"/>
        <v>15.06</v>
      </c>
      <c r="DI222">
        <f t="shared" si="76"/>
        <v>0</v>
      </c>
      <c r="DJ222">
        <f>DG222+DH222</f>
        <v>64.08</v>
      </c>
      <c r="DK222">
        <v>0</v>
      </c>
      <c r="DL222" t="s">
        <v>497</v>
      </c>
      <c r="DM222">
        <v>5</v>
      </c>
      <c r="DN222" t="s">
        <v>484</v>
      </c>
      <c r="DO222">
        <v>1</v>
      </c>
    </row>
    <row r="223" spans="1:119" x14ac:dyDescent="0.2">
      <c r="A223">
        <f>ROW(Source!A196)</f>
        <v>196</v>
      </c>
      <c r="B223">
        <v>74014550</v>
      </c>
      <c r="C223">
        <v>74016688</v>
      </c>
      <c r="D223">
        <v>72647141</v>
      </c>
      <c r="E223">
        <v>1</v>
      </c>
      <c r="F223">
        <v>1</v>
      </c>
      <c r="G223">
        <v>1</v>
      </c>
      <c r="H223">
        <v>2</v>
      </c>
      <c r="I223" t="s">
        <v>511</v>
      </c>
      <c r="J223" t="s">
        <v>512</v>
      </c>
      <c r="K223" t="s">
        <v>513</v>
      </c>
      <c r="L223">
        <v>1368</v>
      </c>
      <c r="N223">
        <v>1011</v>
      </c>
      <c r="O223" t="s">
        <v>488</v>
      </c>
      <c r="P223" t="s">
        <v>488</v>
      </c>
      <c r="Q223">
        <v>1</v>
      </c>
      <c r="W223">
        <v>0</v>
      </c>
      <c r="X223">
        <v>-2130331961</v>
      </c>
      <c r="Y223">
        <f t="shared" si="84"/>
        <v>45</v>
      </c>
      <c r="AA223">
        <v>0</v>
      </c>
      <c r="AB223">
        <v>417.12</v>
      </c>
      <c r="AC223">
        <v>400.24</v>
      </c>
      <c r="AD223">
        <v>0</v>
      </c>
      <c r="AE223">
        <v>0</v>
      </c>
      <c r="AF223">
        <v>417.12</v>
      </c>
      <c r="AG223">
        <v>400.24</v>
      </c>
      <c r="AH223">
        <v>0</v>
      </c>
      <c r="AI223">
        <v>1</v>
      </c>
      <c r="AJ223">
        <v>1</v>
      </c>
      <c r="AK223">
        <v>1</v>
      </c>
      <c r="AL223">
        <v>1</v>
      </c>
      <c r="AM223">
        <v>-2</v>
      </c>
      <c r="AN223">
        <v>0</v>
      </c>
      <c r="AO223">
        <v>0</v>
      </c>
      <c r="AP223">
        <v>1</v>
      </c>
      <c r="AQ223">
        <v>1</v>
      </c>
      <c r="AR223">
        <v>0</v>
      </c>
      <c r="AS223" t="s">
        <v>3</v>
      </c>
      <c r="AT223">
        <v>45</v>
      </c>
      <c r="AU223" t="s">
        <v>3</v>
      </c>
      <c r="AV223">
        <v>1</v>
      </c>
      <c r="AW223">
        <v>2</v>
      </c>
      <c r="AX223">
        <v>74016711</v>
      </c>
      <c r="AY223">
        <v>1</v>
      </c>
      <c r="AZ223">
        <v>0</v>
      </c>
      <c r="BA223">
        <v>245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18770.400000000001</v>
      </c>
      <c r="BL223">
        <v>18010.8</v>
      </c>
      <c r="BM223">
        <v>0</v>
      </c>
      <c r="BN223">
        <v>0</v>
      </c>
      <c r="BO223">
        <v>45</v>
      </c>
      <c r="BP223">
        <v>1</v>
      </c>
      <c r="BQ223">
        <v>0</v>
      </c>
      <c r="BR223">
        <v>18770.400000000001</v>
      </c>
      <c r="BS223">
        <v>18010.8</v>
      </c>
      <c r="BT223">
        <v>0</v>
      </c>
      <c r="BU223">
        <v>0</v>
      </c>
      <c r="BV223">
        <v>45</v>
      </c>
      <c r="BW223">
        <v>1</v>
      </c>
      <c r="CV223">
        <v>0</v>
      </c>
      <c r="CW223">
        <f>ROUND(Y223*Source!I196*DO223,7)</f>
        <v>4.4999999999999998E-2</v>
      </c>
      <c r="CX223">
        <f>ROUND(Y223*Source!I196,7)</f>
        <v>4.4999999999999998E-2</v>
      </c>
      <c r="CY223">
        <f>AB223</f>
        <v>417.12</v>
      </c>
      <c r="CZ223">
        <f>AF223</f>
        <v>417.12</v>
      </c>
      <c r="DA223">
        <f>AJ223</f>
        <v>1</v>
      </c>
      <c r="DB223">
        <f t="shared" si="88"/>
        <v>18770.400000000001</v>
      </c>
      <c r="DC223">
        <f t="shared" si="89"/>
        <v>18010.8</v>
      </c>
      <c r="DD223" t="s">
        <v>3</v>
      </c>
      <c r="DE223" t="s">
        <v>3</v>
      </c>
      <c r="DF223">
        <f t="shared" si="90"/>
        <v>0</v>
      </c>
      <c r="DG223">
        <f t="shared" ref="DG223:DG230" si="92">ROUND(ROUND(AF223,2)*CX223,2)</f>
        <v>18.77</v>
      </c>
      <c r="DH223">
        <f t="shared" si="75"/>
        <v>18.010000000000002</v>
      </c>
      <c r="DI223">
        <f t="shared" si="76"/>
        <v>0</v>
      </c>
      <c r="DJ223">
        <f>DG223+DH223</f>
        <v>36.78</v>
      </c>
      <c r="DK223">
        <v>1</v>
      </c>
      <c r="DL223" t="s">
        <v>514</v>
      </c>
      <c r="DM223">
        <v>4</v>
      </c>
      <c r="DN223" t="s">
        <v>484</v>
      </c>
      <c r="DO223">
        <v>1</v>
      </c>
    </row>
    <row r="224" spans="1:119" x14ac:dyDescent="0.2">
      <c r="A224">
        <f>ROW(Source!A196)</f>
        <v>196</v>
      </c>
      <c r="B224">
        <v>74014550</v>
      </c>
      <c r="C224">
        <v>74016688</v>
      </c>
      <c r="D224">
        <v>72591353</v>
      </c>
      <c r="E224">
        <v>1</v>
      </c>
      <c r="F224">
        <v>1</v>
      </c>
      <c r="G224">
        <v>1</v>
      </c>
      <c r="H224">
        <v>3</v>
      </c>
      <c r="I224" t="s">
        <v>518</v>
      </c>
      <c r="J224" t="s">
        <v>519</v>
      </c>
      <c r="K224" t="s">
        <v>520</v>
      </c>
      <c r="L224">
        <v>1383</v>
      </c>
      <c r="N224">
        <v>1013</v>
      </c>
      <c r="O224" t="s">
        <v>521</v>
      </c>
      <c r="P224" t="s">
        <v>521</v>
      </c>
      <c r="Q224">
        <v>1</v>
      </c>
      <c r="W224">
        <v>0</v>
      </c>
      <c r="X224">
        <v>86017057</v>
      </c>
      <c r="Y224">
        <f t="shared" si="84"/>
        <v>28.58</v>
      </c>
      <c r="AA224">
        <v>9.5500000000000007</v>
      </c>
      <c r="AB224">
        <v>0</v>
      </c>
      <c r="AC224">
        <v>0</v>
      </c>
      <c r="AD224">
        <v>0</v>
      </c>
      <c r="AE224">
        <v>9.5500000000000007</v>
      </c>
      <c r="AF224">
        <v>0</v>
      </c>
      <c r="AG224">
        <v>0</v>
      </c>
      <c r="AH224">
        <v>0</v>
      </c>
      <c r="AI224">
        <v>1</v>
      </c>
      <c r="AJ224">
        <v>1</v>
      </c>
      <c r="AK224">
        <v>1</v>
      </c>
      <c r="AL224">
        <v>1</v>
      </c>
      <c r="AM224">
        <v>-2</v>
      </c>
      <c r="AN224">
        <v>0</v>
      </c>
      <c r="AO224">
        <v>0</v>
      </c>
      <c r="AP224">
        <v>1</v>
      </c>
      <c r="AQ224">
        <v>1</v>
      </c>
      <c r="AR224">
        <v>0</v>
      </c>
      <c r="AS224" t="s">
        <v>3</v>
      </c>
      <c r="AT224">
        <v>28.58</v>
      </c>
      <c r="AU224" t="s">
        <v>3</v>
      </c>
      <c r="AV224">
        <v>0</v>
      </c>
      <c r="AW224">
        <v>2</v>
      </c>
      <c r="AX224">
        <v>74016712</v>
      </c>
      <c r="AY224">
        <v>1</v>
      </c>
      <c r="AZ224">
        <v>0</v>
      </c>
      <c r="BA224">
        <v>246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272.93900000000002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272.93900000000002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CV224">
        <v>0</v>
      </c>
      <c r="CW224">
        <v>0</v>
      </c>
      <c r="CX224">
        <f>ROUND(Y224*Source!I196,7)</f>
        <v>2.8580000000000001E-2</v>
      </c>
      <c r="CY224">
        <f>AA224</f>
        <v>9.5500000000000007</v>
      </c>
      <c r="CZ224">
        <f>AE224</f>
        <v>9.5500000000000007</v>
      </c>
      <c r="DA224">
        <f>AI224</f>
        <v>1</v>
      </c>
      <c r="DB224">
        <f t="shared" si="88"/>
        <v>272.94</v>
      </c>
      <c r="DC224">
        <f t="shared" si="89"/>
        <v>0</v>
      </c>
      <c r="DD224" t="s">
        <v>3</v>
      </c>
      <c r="DE224" t="s">
        <v>3</v>
      </c>
      <c r="DF224">
        <f t="shared" si="90"/>
        <v>0.27</v>
      </c>
      <c r="DG224">
        <f t="shared" si="92"/>
        <v>0</v>
      </c>
      <c r="DH224">
        <f t="shared" si="75"/>
        <v>0</v>
      </c>
      <c r="DI224">
        <f t="shared" si="76"/>
        <v>0</v>
      </c>
      <c r="DJ224">
        <f>DF224</f>
        <v>0.27</v>
      </c>
      <c r="DK224">
        <v>1</v>
      </c>
      <c r="DL224" t="s">
        <v>3</v>
      </c>
      <c r="DM224">
        <v>0</v>
      </c>
      <c r="DN224" t="s">
        <v>3</v>
      </c>
      <c r="DO224">
        <v>0</v>
      </c>
    </row>
    <row r="225" spans="1:119" x14ac:dyDescent="0.2">
      <c r="A225">
        <f>ROW(Source!A196)</f>
        <v>196</v>
      </c>
      <c r="B225">
        <v>74014550</v>
      </c>
      <c r="C225">
        <v>74016688</v>
      </c>
      <c r="D225">
        <v>72592092</v>
      </c>
      <c r="E225">
        <v>1</v>
      </c>
      <c r="F225">
        <v>1</v>
      </c>
      <c r="G225">
        <v>1</v>
      </c>
      <c r="H225">
        <v>3</v>
      </c>
      <c r="I225" t="s">
        <v>522</v>
      </c>
      <c r="J225" t="s">
        <v>523</v>
      </c>
      <c r="K225" t="s">
        <v>524</v>
      </c>
      <c r="L225">
        <v>1346</v>
      </c>
      <c r="N225">
        <v>1009</v>
      </c>
      <c r="O225" t="s">
        <v>314</v>
      </c>
      <c r="P225" t="s">
        <v>314</v>
      </c>
      <c r="Q225">
        <v>1</v>
      </c>
      <c r="W225">
        <v>0</v>
      </c>
      <c r="X225">
        <v>743240341</v>
      </c>
      <c r="Y225">
        <f t="shared" si="84"/>
        <v>14.42</v>
      </c>
      <c r="AA225">
        <v>131.85</v>
      </c>
      <c r="AB225">
        <v>0</v>
      </c>
      <c r="AC225">
        <v>0</v>
      </c>
      <c r="AD225">
        <v>0</v>
      </c>
      <c r="AE225">
        <v>131.85</v>
      </c>
      <c r="AF225">
        <v>0</v>
      </c>
      <c r="AG225">
        <v>0</v>
      </c>
      <c r="AH225">
        <v>0</v>
      </c>
      <c r="AI225">
        <v>1</v>
      </c>
      <c r="AJ225">
        <v>1</v>
      </c>
      <c r="AK225">
        <v>1</v>
      </c>
      <c r="AL225">
        <v>1</v>
      </c>
      <c r="AM225">
        <v>-2</v>
      </c>
      <c r="AN225">
        <v>0</v>
      </c>
      <c r="AO225">
        <v>0</v>
      </c>
      <c r="AP225">
        <v>1</v>
      </c>
      <c r="AQ225">
        <v>1</v>
      </c>
      <c r="AR225">
        <v>0</v>
      </c>
      <c r="AS225" t="s">
        <v>3</v>
      </c>
      <c r="AT225">
        <v>14.42</v>
      </c>
      <c r="AU225" t="s">
        <v>3</v>
      </c>
      <c r="AV225">
        <v>0</v>
      </c>
      <c r="AW225">
        <v>2</v>
      </c>
      <c r="AX225">
        <v>74016713</v>
      </c>
      <c r="AY225">
        <v>1</v>
      </c>
      <c r="AZ225">
        <v>0</v>
      </c>
      <c r="BA225">
        <v>247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1901.2769999999998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1901.2769999999998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CV225">
        <v>0</v>
      </c>
      <c r="CW225">
        <v>0</v>
      </c>
      <c r="CX225">
        <f>ROUND(Y225*Source!I196,7)</f>
        <v>1.4420000000000001E-2</v>
      </c>
      <c r="CY225">
        <f>AA225</f>
        <v>131.85</v>
      </c>
      <c r="CZ225">
        <f>AE225</f>
        <v>131.85</v>
      </c>
      <c r="DA225">
        <f>AI225</f>
        <v>1</v>
      </c>
      <c r="DB225">
        <f t="shared" si="88"/>
        <v>1901.28</v>
      </c>
      <c r="DC225">
        <f t="shared" si="89"/>
        <v>0</v>
      </c>
      <c r="DD225" t="s">
        <v>3</v>
      </c>
      <c r="DE225" t="s">
        <v>3</v>
      </c>
      <c r="DF225">
        <f t="shared" si="90"/>
        <v>1.9</v>
      </c>
      <c r="DG225">
        <f t="shared" si="92"/>
        <v>0</v>
      </c>
      <c r="DH225">
        <f t="shared" si="75"/>
        <v>0</v>
      </c>
      <c r="DI225">
        <f t="shared" si="76"/>
        <v>0</v>
      </c>
      <c r="DJ225">
        <f>DF225</f>
        <v>1.9</v>
      </c>
      <c r="DK225">
        <v>1</v>
      </c>
      <c r="DL225" t="s">
        <v>3</v>
      </c>
      <c r="DM225">
        <v>0</v>
      </c>
      <c r="DN225" t="s">
        <v>3</v>
      </c>
      <c r="DO225">
        <v>0</v>
      </c>
    </row>
    <row r="226" spans="1:119" x14ac:dyDescent="0.2">
      <c r="A226">
        <f>ROW(Source!A196)</f>
        <v>196</v>
      </c>
      <c r="B226">
        <v>74014550</v>
      </c>
      <c r="C226">
        <v>74016688</v>
      </c>
      <c r="D226">
        <v>72593374</v>
      </c>
      <c r="E226">
        <v>1</v>
      </c>
      <c r="F226">
        <v>1</v>
      </c>
      <c r="G226">
        <v>1</v>
      </c>
      <c r="H226">
        <v>3</v>
      </c>
      <c r="I226" t="s">
        <v>753</v>
      </c>
      <c r="J226" t="s">
        <v>754</v>
      </c>
      <c r="K226" t="s">
        <v>755</v>
      </c>
      <c r="L226">
        <v>1371</v>
      </c>
      <c r="N226">
        <v>1013</v>
      </c>
      <c r="O226" t="s">
        <v>130</v>
      </c>
      <c r="P226" t="s">
        <v>130</v>
      </c>
      <c r="Q226">
        <v>1</v>
      </c>
      <c r="W226">
        <v>0</v>
      </c>
      <c r="X226">
        <v>1535755415</v>
      </c>
      <c r="Y226">
        <f t="shared" si="84"/>
        <v>0.52</v>
      </c>
      <c r="AA226">
        <v>127.65</v>
      </c>
      <c r="AB226">
        <v>0</v>
      </c>
      <c r="AC226">
        <v>0</v>
      </c>
      <c r="AD226">
        <v>0</v>
      </c>
      <c r="AE226">
        <v>104.63</v>
      </c>
      <c r="AF226">
        <v>0</v>
      </c>
      <c r="AG226">
        <v>0</v>
      </c>
      <c r="AH226">
        <v>0</v>
      </c>
      <c r="AI226">
        <v>1.22</v>
      </c>
      <c r="AJ226">
        <v>1</v>
      </c>
      <c r="AK226">
        <v>1</v>
      </c>
      <c r="AL226">
        <v>1</v>
      </c>
      <c r="AM226">
        <v>2</v>
      </c>
      <c r="AN226">
        <v>0</v>
      </c>
      <c r="AO226">
        <v>0</v>
      </c>
      <c r="AP226">
        <v>1</v>
      </c>
      <c r="AQ226">
        <v>1</v>
      </c>
      <c r="AR226">
        <v>0</v>
      </c>
      <c r="AS226" t="s">
        <v>3</v>
      </c>
      <c r="AT226">
        <v>0.52</v>
      </c>
      <c r="AU226" t="s">
        <v>3</v>
      </c>
      <c r="AV226">
        <v>0</v>
      </c>
      <c r="AW226">
        <v>2</v>
      </c>
      <c r="AX226">
        <v>74016714</v>
      </c>
      <c r="AY226">
        <v>1</v>
      </c>
      <c r="AZ226">
        <v>0</v>
      </c>
      <c r="BA226">
        <v>248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54.407600000000002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54.407600000000002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CV226">
        <v>0</v>
      </c>
      <c r="CW226">
        <v>0</v>
      </c>
      <c r="CX226">
        <f>ROUND(Y226*Source!I196,7)</f>
        <v>5.1999999999999995E-4</v>
      </c>
      <c r="CY226">
        <f>AA226</f>
        <v>127.65</v>
      </c>
      <c r="CZ226">
        <f>AE226</f>
        <v>104.63</v>
      </c>
      <c r="DA226">
        <f>AI226</f>
        <v>1.22</v>
      </c>
      <c r="DB226">
        <f t="shared" si="88"/>
        <v>54.41</v>
      </c>
      <c r="DC226">
        <f t="shared" si="89"/>
        <v>0</v>
      </c>
      <c r="DD226" t="s">
        <v>3</v>
      </c>
      <c r="DE226" t="s">
        <v>3</v>
      </c>
      <c r="DF226">
        <f>ROUND(ROUND(AE226*AI226,2)*CX226,2)</f>
        <v>7.0000000000000007E-2</v>
      </c>
      <c r="DG226">
        <f t="shared" si="92"/>
        <v>0</v>
      </c>
      <c r="DH226">
        <f t="shared" si="75"/>
        <v>0</v>
      </c>
      <c r="DI226">
        <f t="shared" si="76"/>
        <v>0</v>
      </c>
      <c r="DJ226">
        <f>DF226</f>
        <v>7.0000000000000007E-2</v>
      </c>
      <c r="DK226">
        <v>0</v>
      </c>
      <c r="DL226" t="s">
        <v>3</v>
      </c>
      <c r="DM226">
        <v>0</v>
      </c>
      <c r="DN226" t="s">
        <v>3</v>
      </c>
      <c r="DO226">
        <v>0</v>
      </c>
    </row>
    <row r="227" spans="1:119" x14ac:dyDescent="0.2">
      <c r="A227">
        <f>ROW(Source!A196)</f>
        <v>196</v>
      </c>
      <c r="B227">
        <v>74014550</v>
      </c>
      <c r="C227">
        <v>74016688</v>
      </c>
      <c r="D227">
        <v>72602578</v>
      </c>
      <c r="E227">
        <v>1</v>
      </c>
      <c r="F227">
        <v>1</v>
      </c>
      <c r="G227">
        <v>1</v>
      </c>
      <c r="H227">
        <v>3</v>
      </c>
      <c r="I227" t="s">
        <v>756</v>
      </c>
      <c r="J227" t="s">
        <v>757</v>
      </c>
      <c r="K227" t="s">
        <v>758</v>
      </c>
      <c r="L227">
        <v>1339</v>
      </c>
      <c r="N227">
        <v>1007</v>
      </c>
      <c r="O227" t="s">
        <v>48</v>
      </c>
      <c r="P227" t="s">
        <v>48</v>
      </c>
      <c r="Q227">
        <v>1</v>
      </c>
      <c r="W227">
        <v>0</v>
      </c>
      <c r="X227">
        <v>2045150726</v>
      </c>
      <c r="Y227">
        <f t="shared" si="84"/>
        <v>0.46</v>
      </c>
      <c r="AA227">
        <v>16988.099999999999</v>
      </c>
      <c r="AB227">
        <v>0</v>
      </c>
      <c r="AC227">
        <v>0</v>
      </c>
      <c r="AD227">
        <v>0</v>
      </c>
      <c r="AE227">
        <v>16655</v>
      </c>
      <c r="AF227">
        <v>0</v>
      </c>
      <c r="AG227">
        <v>0</v>
      </c>
      <c r="AH227">
        <v>0</v>
      </c>
      <c r="AI227">
        <v>1.02</v>
      </c>
      <c r="AJ227">
        <v>1</v>
      </c>
      <c r="AK227">
        <v>1</v>
      </c>
      <c r="AL227">
        <v>1</v>
      </c>
      <c r="AM227">
        <v>2</v>
      </c>
      <c r="AN227">
        <v>0</v>
      </c>
      <c r="AO227">
        <v>0</v>
      </c>
      <c r="AP227">
        <v>1</v>
      </c>
      <c r="AQ227">
        <v>1</v>
      </c>
      <c r="AR227">
        <v>0</v>
      </c>
      <c r="AS227" t="s">
        <v>3</v>
      </c>
      <c r="AT227">
        <v>0.46</v>
      </c>
      <c r="AU227" t="s">
        <v>3</v>
      </c>
      <c r="AV227">
        <v>0</v>
      </c>
      <c r="AW227">
        <v>2</v>
      </c>
      <c r="AX227">
        <v>74016715</v>
      </c>
      <c r="AY227">
        <v>1</v>
      </c>
      <c r="AZ227">
        <v>0</v>
      </c>
      <c r="BA227">
        <v>249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7661.3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1</v>
      </c>
      <c r="BQ227">
        <v>7661.3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CV227">
        <v>0</v>
      </c>
      <c r="CW227">
        <v>0</v>
      </c>
      <c r="CX227">
        <f>ROUND(Y227*Source!I196,7)</f>
        <v>4.6000000000000001E-4</v>
      </c>
      <c r="CY227">
        <f>AA227</f>
        <v>16988.099999999999</v>
      </c>
      <c r="CZ227">
        <f>AE227</f>
        <v>16655</v>
      </c>
      <c r="DA227">
        <f>AI227</f>
        <v>1.02</v>
      </c>
      <c r="DB227">
        <f t="shared" si="88"/>
        <v>7661.3</v>
      </c>
      <c r="DC227">
        <f t="shared" si="89"/>
        <v>0</v>
      </c>
      <c r="DD227" t="s">
        <v>3</v>
      </c>
      <c r="DE227" t="s">
        <v>3</v>
      </c>
      <c r="DF227">
        <f>ROUND(ROUND(AE227*AI227,2)*CX227,2)</f>
        <v>7.81</v>
      </c>
      <c r="DG227">
        <f t="shared" si="92"/>
        <v>0</v>
      </c>
      <c r="DH227">
        <f t="shared" si="75"/>
        <v>0</v>
      </c>
      <c r="DI227">
        <f t="shared" si="76"/>
        <v>0</v>
      </c>
      <c r="DJ227">
        <f>DF227</f>
        <v>7.81</v>
      </c>
      <c r="DK227">
        <v>0</v>
      </c>
      <c r="DL227" t="s">
        <v>3</v>
      </c>
      <c r="DM227">
        <v>0</v>
      </c>
      <c r="DN227" t="s">
        <v>3</v>
      </c>
      <c r="DO227">
        <v>0</v>
      </c>
    </row>
    <row r="228" spans="1:119" x14ac:dyDescent="0.2">
      <c r="A228">
        <f>ROW(Source!A196)</f>
        <v>196</v>
      </c>
      <c r="B228">
        <v>74014550</v>
      </c>
      <c r="C228">
        <v>74016688</v>
      </c>
      <c r="D228">
        <v>72629472</v>
      </c>
      <c r="E228">
        <v>1</v>
      </c>
      <c r="F228">
        <v>1</v>
      </c>
      <c r="G228">
        <v>1</v>
      </c>
      <c r="H228">
        <v>3</v>
      </c>
      <c r="I228" t="s">
        <v>359</v>
      </c>
      <c r="J228" t="s">
        <v>361</v>
      </c>
      <c r="K228" t="s">
        <v>360</v>
      </c>
      <c r="L228">
        <v>1301</v>
      </c>
      <c r="N228">
        <v>1003</v>
      </c>
      <c r="O228" t="s">
        <v>125</v>
      </c>
      <c r="P228" t="s">
        <v>125</v>
      </c>
      <c r="Q228">
        <v>1</v>
      </c>
      <c r="W228">
        <v>0</v>
      </c>
      <c r="X228">
        <v>341957667</v>
      </c>
      <c r="Y228">
        <f t="shared" si="84"/>
        <v>1000</v>
      </c>
      <c r="AA228">
        <v>405.32</v>
      </c>
      <c r="AB228">
        <v>0</v>
      </c>
      <c r="AC228">
        <v>0</v>
      </c>
      <c r="AD228">
        <v>0</v>
      </c>
      <c r="AE228">
        <v>460.59</v>
      </c>
      <c r="AF228">
        <v>0</v>
      </c>
      <c r="AG228">
        <v>0</v>
      </c>
      <c r="AH228">
        <v>0</v>
      </c>
      <c r="AI228">
        <v>0.88</v>
      </c>
      <c r="AJ228">
        <v>1</v>
      </c>
      <c r="AK228">
        <v>1</v>
      </c>
      <c r="AL228">
        <v>1</v>
      </c>
      <c r="AM228">
        <v>0</v>
      </c>
      <c r="AN228">
        <v>0</v>
      </c>
      <c r="AO228">
        <v>0</v>
      </c>
      <c r="AP228">
        <v>1</v>
      </c>
      <c r="AQ228">
        <v>0</v>
      </c>
      <c r="AR228">
        <v>0</v>
      </c>
      <c r="AS228" t="s">
        <v>3</v>
      </c>
      <c r="AT228">
        <v>1000</v>
      </c>
      <c r="AU228" t="s">
        <v>3</v>
      </c>
      <c r="AV228">
        <v>0</v>
      </c>
      <c r="AW228">
        <v>1</v>
      </c>
      <c r="AX228">
        <v>-1</v>
      </c>
      <c r="AY228">
        <v>0</v>
      </c>
      <c r="AZ228">
        <v>0</v>
      </c>
      <c r="BA228" t="s">
        <v>3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CV228">
        <v>0</v>
      </c>
      <c r="CW228">
        <v>0</v>
      </c>
      <c r="CX228">
        <f>ROUND(Y228*Source!I196,7)</f>
        <v>1</v>
      </c>
      <c r="CY228">
        <f>AA228</f>
        <v>405.32</v>
      </c>
      <c r="CZ228">
        <f>AE228</f>
        <v>460.59</v>
      </c>
      <c r="DA228">
        <f>AI228</f>
        <v>0.88</v>
      </c>
      <c r="DB228">
        <f t="shared" si="88"/>
        <v>460590</v>
      </c>
      <c r="DC228">
        <f t="shared" si="89"/>
        <v>0</v>
      </c>
      <c r="DD228" t="s">
        <v>3</v>
      </c>
      <c r="DE228" t="s">
        <v>3</v>
      </c>
      <c r="DF228">
        <f>ROUND(ROUND(AE228*AI228,2)*CX228,2)</f>
        <v>405.32</v>
      </c>
      <c r="DG228">
        <f t="shared" si="92"/>
        <v>0</v>
      </c>
      <c r="DH228">
        <f t="shared" si="75"/>
        <v>0</v>
      </c>
      <c r="DI228">
        <f t="shared" si="76"/>
        <v>0</v>
      </c>
      <c r="DJ228">
        <f>DF228</f>
        <v>405.32</v>
      </c>
      <c r="DK228">
        <v>0</v>
      </c>
      <c r="DL228" t="s">
        <v>3</v>
      </c>
      <c r="DM228">
        <v>0</v>
      </c>
      <c r="DN228" t="s">
        <v>3</v>
      </c>
      <c r="DO228">
        <v>0</v>
      </c>
    </row>
    <row r="229" spans="1:119" x14ac:dyDescent="0.2">
      <c r="A229">
        <f>ROW(Source!A198)</f>
        <v>198</v>
      </c>
      <c r="B229">
        <v>74014550</v>
      </c>
      <c r="C229">
        <v>74016718</v>
      </c>
      <c r="D229">
        <v>20066464</v>
      </c>
      <c r="E229">
        <v>119</v>
      </c>
      <c r="F229">
        <v>1</v>
      </c>
      <c r="G229">
        <v>1</v>
      </c>
      <c r="H229">
        <v>1</v>
      </c>
      <c r="I229" t="s">
        <v>759</v>
      </c>
      <c r="J229" t="s">
        <v>3</v>
      </c>
      <c r="K229" t="s">
        <v>760</v>
      </c>
      <c r="L229">
        <v>1191</v>
      </c>
      <c r="N229">
        <v>1013</v>
      </c>
      <c r="O229" t="s">
        <v>484</v>
      </c>
      <c r="P229" t="s">
        <v>484</v>
      </c>
      <c r="Q229">
        <v>1</v>
      </c>
      <c r="W229">
        <v>0</v>
      </c>
      <c r="X229">
        <v>174150515</v>
      </c>
      <c r="Y229">
        <f t="shared" si="84"/>
        <v>0.39</v>
      </c>
      <c r="AA229">
        <v>0</v>
      </c>
      <c r="AB229">
        <v>0</v>
      </c>
      <c r="AC229">
        <v>0</v>
      </c>
      <c r="AD229">
        <v>406.22</v>
      </c>
      <c r="AE229">
        <v>0</v>
      </c>
      <c r="AF229">
        <v>0</v>
      </c>
      <c r="AG229">
        <v>0</v>
      </c>
      <c r="AH229">
        <v>406.22</v>
      </c>
      <c r="AI229">
        <v>1</v>
      </c>
      <c r="AJ229">
        <v>1</v>
      </c>
      <c r="AK229">
        <v>1</v>
      </c>
      <c r="AL229">
        <v>1</v>
      </c>
      <c r="AM229">
        <v>-2</v>
      </c>
      <c r="AN229">
        <v>0</v>
      </c>
      <c r="AO229">
        <v>0</v>
      </c>
      <c r="AP229">
        <v>1</v>
      </c>
      <c r="AQ229">
        <v>1</v>
      </c>
      <c r="AR229">
        <v>0</v>
      </c>
      <c r="AS229" t="s">
        <v>3</v>
      </c>
      <c r="AT229">
        <v>0.39</v>
      </c>
      <c r="AU229" t="s">
        <v>3</v>
      </c>
      <c r="AV229">
        <v>1</v>
      </c>
      <c r="AW229">
        <v>2</v>
      </c>
      <c r="AX229">
        <v>74016726</v>
      </c>
      <c r="AY229">
        <v>1</v>
      </c>
      <c r="AZ229">
        <v>0</v>
      </c>
      <c r="BA229">
        <v>251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158.42580000000001</v>
      </c>
      <c r="BN229">
        <v>0.39</v>
      </c>
      <c r="BO229">
        <v>0</v>
      </c>
      <c r="BP229">
        <v>1</v>
      </c>
      <c r="BQ229">
        <v>0</v>
      </c>
      <c r="BR229">
        <v>0</v>
      </c>
      <c r="BS229">
        <v>0</v>
      </c>
      <c r="BT229">
        <v>158.42580000000001</v>
      </c>
      <c r="BU229">
        <v>0.39</v>
      </c>
      <c r="BV229">
        <v>0</v>
      </c>
      <c r="BW229">
        <v>1</v>
      </c>
      <c r="CU229">
        <f>ROUND(AT229*Source!I198*AH229*AL229,2)</f>
        <v>158.43</v>
      </c>
      <c r="CV229">
        <f>ROUND(Y229*Source!I198,7)</f>
        <v>0.39</v>
      </c>
      <c r="CW229">
        <v>0</v>
      </c>
      <c r="CX229">
        <f>ROUND(Y229*Source!I198,7)</f>
        <v>0.39</v>
      </c>
      <c r="CY229">
        <f>AD229</f>
        <v>406.22</v>
      </c>
      <c r="CZ229">
        <f>AH229</f>
        <v>406.22</v>
      </c>
      <c r="DA229">
        <f>AL229</f>
        <v>1</v>
      </c>
      <c r="DB229">
        <f t="shared" si="88"/>
        <v>158.43</v>
      </c>
      <c r="DC229">
        <f t="shared" si="89"/>
        <v>0</v>
      </c>
      <c r="DD229" t="s">
        <v>3</v>
      </c>
      <c r="DE229" t="s">
        <v>3</v>
      </c>
      <c r="DF229">
        <f>ROUND(ROUND(AE229,2)*CX229,2)</f>
        <v>0</v>
      </c>
      <c r="DG229">
        <f t="shared" si="92"/>
        <v>0</v>
      </c>
      <c r="DH229">
        <f t="shared" si="75"/>
        <v>0</v>
      </c>
      <c r="DI229">
        <f t="shared" si="76"/>
        <v>158.43</v>
      </c>
      <c r="DJ229">
        <f>DI229</f>
        <v>158.43</v>
      </c>
      <c r="DK229">
        <v>1</v>
      </c>
      <c r="DL229" t="s">
        <v>3</v>
      </c>
      <c r="DM229">
        <v>0</v>
      </c>
      <c r="DN229" t="s">
        <v>3</v>
      </c>
      <c r="DO229">
        <v>0</v>
      </c>
    </row>
    <row r="230" spans="1:119" x14ac:dyDescent="0.2">
      <c r="A230">
        <f>ROW(Source!A198)</f>
        <v>198</v>
      </c>
      <c r="B230">
        <v>74014550</v>
      </c>
      <c r="C230">
        <v>74016718</v>
      </c>
      <c r="D230">
        <v>72647087</v>
      </c>
      <c r="E230">
        <v>1</v>
      </c>
      <c r="F230">
        <v>1</v>
      </c>
      <c r="G230">
        <v>1</v>
      </c>
      <c r="H230">
        <v>2</v>
      </c>
      <c r="I230" t="s">
        <v>761</v>
      </c>
      <c r="J230" t="s">
        <v>762</v>
      </c>
      <c r="K230" t="s">
        <v>763</v>
      </c>
      <c r="L230">
        <v>1368</v>
      </c>
      <c r="N230">
        <v>1011</v>
      </c>
      <c r="O230" t="s">
        <v>488</v>
      </c>
      <c r="P230" t="s">
        <v>488</v>
      </c>
      <c r="Q230">
        <v>1</v>
      </c>
      <c r="W230">
        <v>0</v>
      </c>
      <c r="X230">
        <v>1424417067</v>
      </c>
      <c r="Y230">
        <f t="shared" si="84"/>
        <v>0.12</v>
      </c>
      <c r="AA230">
        <v>0</v>
      </c>
      <c r="AB230">
        <v>107.31</v>
      </c>
      <c r="AC230">
        <v>0</v>
      </c>
      <c r="AD230">
        <v>0</v>
      </c>
      <c r="AE230">
        <v>0</v>
      </c>
      <c r="AF230">
        <v>107.31</v>
      </c>
      <c r="AG230">
        <v>0</v>
      </c>
      <c r="AH230">
        <v>0</v>
      </c>
      <c r="AI230">
        <v>1</v>
      </c>
      <c r="AJ230">
        <v>1</v>
      </c>
      <c r="AK230">
        <v>1</v>
      </c>
      <c r="AL230">
        <v>1</v>
      </c>
      <c r="AM230">
        <v>-2</v>
      </c>
      <c r="AN230">
        <v>0</v>
      </c>
      <c r="AO230">
        <v>0</v>
      </c>
      <c r="AP230">
        <v>1</v>
      </c>
      <c r="AQ230">
        <v>1</v>
      </c>
      <c r="AR230">
        <v>0</v>
      </c>
      <c r="AS230" t="s">
        <v>3</v>
      </c>
      <c r="AT230">
        <v>0.12</v>
      </c>
      <c r="AU230" t="s">
        <v>3</v>
      </c>
      <c r="AV230">
        <v>1</v>
      </c>
      <c r="AW230">
        <v>2</v>
      </c>
      <c r="AX230">
        <v>74016727</v>
      </c>
      <c r="AY230">
        <v>1</v>
      </c>
      <c r="AZ230">
        <v>0</v>
      </c>
      <c r="BA230">
        <v>252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12.8772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12.8772</v>
      </c>
      <c r="BS230">
        <v>0</v>
      </c>
      <c r="BT230">
        <v>0</v>
      </c>
      <c r="BU230">
        <v>0</v>
      </c>
      <c r="BV230">
        <v>0</v>
      </c>
      <c r="BW230">
        <v>1</v>
      </c>
      <c r="CV230">
        <v>0</v>
      </c>
      <c r="CW230">
        <f>ROUND(Y230*Source!I198*DO230,7)</f>
        <v>0</v>
      </c>
      <c r="CX230">
        <f>ROUND(Y230*Source!I198,7)</f>
        <v>0.12</v>
      </c>
      <c r="CY230">
        <f>AB230</f>
        <v>107.31</v>
      </c>
      <c r="CZ230">
        <f>AF230</f>
        <v>107.31</v>
      </c>
      <c r="DA230">
        <f>AJ230</f>
        <v>1</v>
      </c>
      <c r="DB230">
        <f t="shared" si="88"/>
        <v>12.88</v>
      </c>
      <c r="DC230">
        <f t="shared" si="89"/>
        <v>0</v>
      </c>
      <c r="DD230" t="s">
        <v>3</v>
      </c>
      <c r="DE230" t="s">
        <v>3</v>
      </c>
      <c r="DF230">
        <f>ROUND(ROUND(AE230,2)*CX230,2)</f>
        <v>0</v>
      </c>
      <c r="DG230">
        <f t="shared" si="92"/>
        <v>12.88</v>
      </c>
      <c r="DH230">
        <f t="shared" si="75"/>
        <v>0</v>
      </c>
      <c r="DI230">
        <f t="shared" si="76"/>
        <v>0</v>
      </c>
      <c r="DJ230">
        <f>DG230+DH230</f>
        <v>12.88</v>
      </c>
      <c r="DK230">
        <v>1</v>
      </c>
      <c r="DL230" t="s">
        <v>3</v>
      </c>
      <c r="DM230">
        <v>0</v>
      </c>
      <c r="DN230" t="s">
        <v>3</v>
      </c>
      <c r="DO230">
        <v>0</v>
      </c>
    </row>
    <row r="231" spans="1:119" x14ac:dyDescent="0.2">
      <c r="A231">
        <f>ROW(Source!A198)</f>
        <v>198</v>
      </c>
      <c r="B231">
        <v>74014550</v>
      </c>
      <c r="C231">
        <v>74016718</v>
      </c>
      <c r="D231">
        <v>72647089</v>
      </c>
      <c r="E231">
        <v>1</v>
      </c>
      <c r="F231">
        <v>1</v>
      </c>
      <c r="G231">
        <v>1</v>
      </c>
      <c r="H231">
        <v>2</v>
      </c>
      <c r="I231" t="s">
        <v>588</v>
      </c>
      <c r="J231" t="s">
        <v>589</v>
      </c>
      <c r="K231" t="s">
        <v>590</v>
      </c>
      <c r="L231">
        <v>1368</v>
      </c>
      <c r="N231">
        <v>1011</v>
      </c>
      <c r="O231" t="s">
        <v>488</v>
      </c>
      <c r="P231" t="s">
        <v>488</v>
      </c>
      <c r="Q231">
        <v>1</v>
      </c>
      <c r="W231">
        <v>0</v>
      </c>
      <c r="X231">
        <v>860887119</v>
      </c>
      <c r="Y231">
        <f t="shared" si="84"/>
        <v>0.15</v>
      </c>
      <c r="AA231">
        <v>0</v>
      </c>
      <c r="AB231">
        <v>13.81</v>
      </c>
      <c r="AC231">
        <v>0</v>
      </c>
      <c r="AD231">
        <v>0</v>
      </c>
      <c r="AE231">
        <v>0</v>
      </c>
      <c r="AF231">
        <v>8.6300000000000008</v>
      </c>
      <c r="AG231">
        <v>0</v>
      </c>
      <c r="AH231">
        <v>0</v>
      </c>
      <c r="AI231">
        <v>1</v>
      </c>
      <c r="AJ231">
        <v>1.6</v>
      </c>
      <c r="AK231">
        <v>1</v>
      </c>
      <c r="AL231">
        <v>1</v>
      </c>
      <c r="AM231">
        <v>2</v>
      </c>
      <c r="AN231">
        <v>0</v>
      </c>
      <c r="AO231">
        <v>0</v>
      </c>
      <c r="AP231">
        <v>1</v>
      </c>
      <c r="AQ231">
        <v>1</v>
      </c>
      <c r="AR231">
        <v>0</v>
      </c>
      <c r="AS231" t="s">
        <v>3</v>
      </c>
      <c r="AT231">
        <v>0.15</v>
      </c>
      <c r="AU231" t="s">
        <v>3</v>
      </c>
      <c r="AV231">
        <v>1</v>
      </c>
      <c r="AW231">
        <v>2</v>
      </c>
      <c r="AX231">
        <v>74016728</v>
      </c>
      <c r="AY231">
        <v>1</v>
      </c>
      <c r="AZ231">
        <v>0</v>
      </c>
      <c r="BA231">
        <v>253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1.2945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1.2945</v>
      </c>
      <c r="BS231">
        <v>0</v>
      </c>
      <c r="BT231">
        <v>0</v>
      </c>
      <c r="BU231">
        <v>0</v>
      </c>
      <c r="BV231">
        <v>0</v>
      </c>
      <c r="BW231">
        <v>1</v>
      </c>
      <c r="CV231">
        <v>0</v>
      </c>
      <c r="CW231">
        <f>ROUND(Y231*Source!I198*DO231,7)</f>
        <v>0</v>
      </c>
      <c r="CX231">
        <f>ROUND(Y231*Source!I198,7)</f>
        <v>0.15</v>
      </c>
      <c r="CY231">
        <f>AB231</f>
        <v>13.81</v>
      </c>
      <c r="CZ231">
        <f>AF231</f>
        <v>8.6300000000000008</v>
      </c>
      <c r="DA231">
        <f>AJ231</f>
        <v>1.6</v>
      </c>
      <c r="DB231">
        <f t="shared" si="88"/>
        <v>1.29</v>
      </c>
      <c r="DC231">
        <f t="shared" si="89"/>
        <v>0</v>
      </c>
      <c r="DD231" t="s">
        <v>3</v>
      </c>
      <c r="DE231" t="s">
        <v>3</v>
      </c>
      <c r="DF231">
        <f>ROUND(ROUND(AE231,2)*CX231,2)</f>
        <v>0</v>
      </c>
      <c r="DG231">
        <f>ROUND(ROUND(AF231*AJ231,2)*CX231,2)</f>
        <v>2.0699999999999998</v>
      </c>
      <c r="DH231">
        <f t="shared" si="75"/>
        <v>0</v>
      </c>
      <c r="DI231">
        <f t="shared" si="76"/>
        <v>0</v>
      </c>
      <c r="DJ231">
        <f>DG231+DH231</f>
        <v>2.0699999999999998</v>
      </c>
      <c r="DK231">
        <v>0</v>
      </c>
      <c r="DL231" t="s">
        <v>3</v>
      </c>
      <c r="DM231">
        <v>0</v>
      </c>
      <c r="DN231" t="s">
        <v>3</v>
      </c>
      <c r="DO231">
        <v>0</v>
      </c>
    </row>
    <row r="232" spans="1:119" x14ac:dyDescent="0.2">
      <c r="A232">
        <f>ROW(Source!A198)</f>
        <v>198</v>
      </c>
      <c r="B232">
        <v>74014550</v>
      </c>
      <c r="C232">
        <v>74016718</v>
      </c>
      <c r="D232">
        <v>72647111</v>
      </c>
      <c r="E232">
        <v>1</v>
      </c>
      <c r="F232">
        <v>1</v>
      </c>
      <c r="G232">
        <v>1</v>
      </c>
      <c r="H232">
        <v>2</v>
      </c>
      <c r="I232" t="s">
        <v>591</v>
      </c>
      <c r="J232" t="s">
        <v>592</v>
      </c>
      <c r="K232" t="s">
        <v>593</v>
      </c>
      <c r="L232">
        <v>1368</v>
      </c>
      <c r="N232">
        <v>1011</v>
      </c>
      <c r="O232" t="s">
        <v>488</v>
      </c>
      <c r="P232" t="s">
        <v>488</v>
      </c>
      <c r="Q232">
        <v>1</v>
      </c>
      <c r="W232">
        <v>0</v>
      </c>
      <c r="X232">
        <v>1391482573</v>
      </c>
      <c r="Y232">
        <f t="shared" si="84"/>
        <v>0.21</v>
      </c>
      <c r="AA232">
        <v>0</v>
      </c>
      <c r="AB232">
        <v>4.34</v>
      </c>
      <c r="AC232">
        <v>0</v>
      </c>
      <c r="AD232">
        <v>0</v>
      </c>
      <c r="AE232">
        <v>0</v>
      </c>
      <c r="AF232">
        <v>3.34</v>
      </c>
      <c r="AG232">
        <v>0</v>
      </c>
      <c r="AH232">
        <v>0</v>
      </c>
      <c r="AI232">
        <v>1</v>
      </c>
      <c r="AJ232">
        <v>1.3</v>
      </c>
      <c r="AK232">
        <v>1</v>
      </c>
      <c r="AL232">
        <v>1</v>
      </c>
      <c r="AM232">
        <v>2</v>
      </c>
      <c r="AN232">
        <v>0</v>
      </c>
      <c r="AO232">
        <v>0</v>
      </c>
      <c r="AP232">
        <v>1</v>
      </c>
      <c r="AQ232">
        <v>1</v>
      </c>
      <c r="AR232">
        <v>0</v>
      </c>
      <c r="AS232" t="s">
        <v>3</v>
      </c>
      <c r="AT232">
        <v>0.21</v>
      </c>
      <c r="AU232" t="s">
        <v>3</v>
      </c>
      <c r="AV232">
        <v>1</v>
      </c>
      <c r="AW232">
        <v>2</v>
      </c>
      <c r="AX232">
        <v>74016729</v>
      </c>
      <c r="AY232">
        <v>1</v>
      </c>
      <c r="AZ232">
        <v>0</v>
      </c>
      <c r="BA232">
        <v>254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0.70139999999999991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0.70139999999999991</v>
      </c>
      <c r="BS232">
        <v>0</v>
      </c>
      <c r="BT232">
        <v>0</v>
      </c>
      <c r="BU232">
        <v>0</v>
      </c>
      <c r="BV232">
        <v>0</v>
      </c>
      <c r="BW232">
        <v>1</v>
      </c>
      <c r="CV232">
        <v>0</v>
      </c>
      <c r="CW232">
        <f>ROUND(Y232*Source!I198*DO232,7)</f>
        <v>0</v>
      </c>
      <c r="CX232">
        <f>ROUND(Y232*Source!I198,7)</f>
        <v>0.21</v>
      </c>
      <c r="CY232">
        <f>AB232</f>
        <v>4.34</v>
      </c>
      <c r="CZ232">
        <f>AF232</f>
        <v>3.34</v>
      </c>
      <c r="DA232">
        <f>AJ232</f>
        <v>1.3</v>
      </c>
      <c r="DB232">
        <f t="shared" si="88"/>
        <v>0.7</v>
      </c>
      <c r="DC232">
        <f t="shared" si="89"/>
        <v>0</v>
      </c>
      <c r="DD232" t="s">
        <v>3</v>
      </c>
      <c r="DE232" t="s">
        <v>3</v>
      </c>
      <c r="DF232">
        <f>ROUND(ROUND(AE232,2)*CX232,2)</f>
        <v>0</v>
      </c>
      <c r="DG232">
        <f>ROUND(ROUND(AF232*AJ232,2)*CX232,2)</f>
        <v>0.91</v>
      </c>
      <c r="DH232">
        <f t="shared" si="75"/>
        <v>0</v>
      </c>
      <c r="DI232">
        <f t="shared" si="76"/>
        <v>0</v>
      </c>
      <c r="DJ232">
        <f>DG232+DH232</f>
        <v>0.91</v>
      </c>
      <c r="DK232">
        <v>0</v>
      </c>
      <c r="DL232" t="s">
        <v>3</v>
      </c>
      <c r="DM232">
        <v>0</v>
      </c>
      <c r="DN232" t="s">
        <v>3</v>
      </c>
      <c r="DO232">
        <v>0</v>
      </c>
    </row>
    <row r="233" spans="1:119" x14ac:dyDescent="0.2">
      <c r="A233">
        <f>ROW(Source!A198)</f>
        <v>198</v>
      </c>
      <c r="B233">
        <v>74014550</v>
      </c>
      <c r="C233">
        <v>74016718</v>
      </c>
      <c r="D233">
        <v>72589277</v>
      </c>
      <c r="E233">
        <v>1</v>
      </c>
      <c r="F233">
        <v>1</v>
      </c>
      <c r="G233">
        <v>1</v>
      </c>
      <c r="H233">
        <v>3</v>
      </c>
      <c r="I233" t="s">
        <v>602</v>
      </c>
      <c r="J233" t="s">
        <v>603</v>
      </c>
      <c r="K233" t="s">
        <v>604</v>
      </c>
      <c r="L233">
        <v>1346</v>
      </c>
      <c r="N233">
        <v>1009</v>
      </c>
      <c r="O233" t="s">
        <v>314</v>
      </c>
      <c r="P233" t="s">
        <v>314</v>
      </c>
      <c r="Q233">
        <v>1</v>
      </c>
      <c r="W233">
        <v>0</v>
      </c>
      <c r="X233">
        <v>478489546</v>
      </c>
      <c r="Y233">
        <f t="shared" si="84"/>
        <v>6.0000000000000001E-3</v>
      </c>
      <c r="AA233">
        <v>1002.64</v>
      </c>
      <c r="AB233">
        <v>0</v>
      </c>
      <c r="AC233">
        <v>0</v>
      </c>
      <c r="AD233">
        <v>0</v>
      </c>
      <c r="AE233">
        <v>596.80999999999995</v>
      </c>
      <c r="AF233">
        <v>0</v>
      </c>
      <c r="AG233">
        <v>0</v>
      </c>
      <c r="AH233">
        <v>0</v>
      </c>
      <c r="AI233">
        <v>1.68</v>
      </c>
      <c r="AJ233">
        <v>1</v>
      </c>
      <c r="AK233">
        <v>1</v>
      </c>
      <c r="AL233">
        <v>1</v>
      </c>
      <c r="AM233">
        <v>2</v>
      </c>
      <c r="AN233">
        <v>0</v>
      </c>
      <c r="AO233">
        <v>0</v>
      </c>
      <c r="AP233">
        <v>1</v>
      </c>
      <c r="AQ233">
        <v>1</v>
      </c>
      <c r="AR233">
        <v>0</v>
      </c>
      <c r="AS233" t="s">
        <v>3</v>
      </c>
      <c r="AT233">
        <v>6.0000000000000001E-3</v>
      </c>
      <c r="AU233" t="s">
        <v>3</v>
      </c>
      <c r="AV233">
        <v>0</v>
      </c>
      <c r="AW233">
        <v>2</v>
      </c>
      <c r="AX233">
        <v>74016730</v>
      </c>
      <c r="AY233">
        <v>1</v>
      </c>
      <c r="AZ233">
        <v>0</v>
      </c>
      <c r="BA233">
        <v>255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3.5808599999999999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3.5808599999999999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CV233">
        <v>0</v>
      </c>
      <c r="CW233">
        <v>0</v>
      </c>
      <c r="CX233">
        <f>ROUND(Y233*Source!I198,7)</f>
        <v>6.0000000000000001E-3</v>
      </c>
      <c r="CY233">
        <f>AA233</f>
        <v>1002.64</v>
      </c>
      <c r="CZ233">
        <f>AE233</f>
        <v>596.80999999999995</v>
      </c>
      <c r="DA233">
        <f>AI233</f>
        <v>1.68</v>
      </c>
      <c r="DB233">
        <f t="shared" si="88"/>
        <v>3.58</v>
      </c>
      <c r="DC233">
        <f t="shared" si="89"/>
        <v>0</v>
      </c>
      <c r="DD233" t="s">
        <v>3</v>
      </c>
      <c r="DE233" t="s">
        <v>3</v>
      </c>
      <c r="DF233">
        <f>ROUND(ROUND(AE233*AI233,2)*CX233,2)</f>
        <v>6.02</v>
      </c>
      <c r="DG233">
        <f>ROUND(ROUND(AF233,2)*CX233,2)</f>
        <v>0</v>
      </c>
      <c r="DH233">
        <f t="shared" si="75"/>
        <v>0</v>
      </c>
      <c r="DI233">
        <f t="shared" si="76"/>
        <v>0</v>
      </c>
      <c r="DJ233">
        <f>DF233</f>
        <v>6.02</v>
      </c>
      <c r="DK233">
        <v>0</v>
      </c>
      <c r="DL233" t="s">
        <v>3</v>
      </c>
      <c r="DM233">
        <v>0</v>
      </c>
      <c r="DN233" t="s">
        <v>3</v>
      </c>
      <c r="DO233">
        <v>0</v>
      </c>
    </row>
    <row r="234" spans="1:119" x14ac:dyDescent="0.2">
      <c r="A234">
        <f>ROW(Source!A198)</f>
        <v>198</v>
      </c>
      <c r="B234">
        <v>74014550</v>
      </c>
      <c r="C234">
        <v>74016718</v>
      </c>
      <c r="D234">
        <v>72592076</v>
      </c>
      <c r="E234">
        <v>1</v>
      </c>
      <c r="F234">
        <v>1</v>
      </c>
      <c r="G234">
        <v>1</v>
      </c>
      <c r="H234">
        <v>3</v>
      </c>
      <c r="I234" t="s">
        <v>764</v>
      </c>
      <c r="J234" t="s">
        <v>765</v>
      </c>
      <c r="K234" t="s">
        <v>766</v>
      </c>
      <c r="L234">
        <v>1348</v>
      </c>
      <c r="N234">
        <v>1009</v>
      </c>
      <c r="O234" t="s">
        <v>243</v>
      </c>
      <c r="P234" t="s">
        <v>243</v>
      </c>
      <c r="Q234">
        <v>1000</v>
      </c>
      <c r="W234">
        <v>0</v>
      </c>
      <c r="X234">
        <v>1316252272</v>
      </c>
      <c r="Y234">
        <f t="shared" si="84"/>
        <v>4.0000000000000003E-5</v>
      </c>
      <c r="AA234">
        <v>101535.08</v>
      </c>
      <c r="AB234">
        <v>0</v>
      </c>
      <c r="AC234">
        <v>0</v>
      </c>
      <c r="AD234">
        <v>0</v>
      </c>
      <c r="AE234">
        <v>101535.08</v>
      </c>
      <c r="AF234">
        <v>0</v>
      </c>
      <c r="AG234">
        <v>0</v>
      </c>
      <c r="AH234">
        <v>0</v>
      </c>
      <c r="AI234">
        <v>1</v>
      </c>
      <c r="AJ234">
        <v>1</v>
      </c>
      <c r="AK234">
        <v>1</v>
      </c>
      <c r="AL234">
        <v>1</v>
      </c>
      <c r="AM234">
        <v>-2</v>
      </c>
      <c r="AN234">
        <v>0</v>
      </c>
      <c r="AO234">
        <v>0</v>
      </c>
      <c r="AP234">
        <v>1</v>
      </c>
      <c r="AQ234">
        <v>1</v>
      </c>
      <c r="AR234">
        <v>0</v>
      </c>
      <c r="AS234" t="s">
        <v>3</v>
      </c>
      <c r="AT234">
        <v>4.0000000000000003E-5</v>
      </c>
      <c r="AU234" t="s">
        <v>3</v>
      </c>
      <c r="AV234">
        <v>0</v>
      </c>
      <c r="AW234">
        <v>2</v>
      </c>
      <c r="AX234">
        <v>74016731</v>
      </c>
      <c r="AY234">
        <v>1</v>
      </c>
      <c r="AZ234">
        <v>0</v>
      </c>
      <c r="BA234">
        <v>256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4.0614032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1</v>
      </c>
      <c r="BQ234">
        <v>4.0614032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CV234">
        <v>0</v>
      </c>
      <c r="CW234">
        <v>0</v>
      </c>
      <c r="CX234">
        <f>ROUND(Y234*Source!I198,7)</f>
        <v>4.0000000000000003E-5</v>
      </c>
      <c r="CY234">
        <f>AA234</f>
        <v>101535.08</v>
      </c>
      <c r="CZ234">
        <f>AE234</f>
        <v>101535.08</v>
      </c>
      <c r="DA234">
        <f>AI234</f>
        <v>1</v>
      </c>
      <c r="DB234">
        <f t="shared" si="88"/>
        <v>4.0599999999999996</v>
      </c>
      <c r="DC234">
        <f t="shared" si="89"/>
        <v>0</v>
      </c>
      <c r="DD234" t="s">
        <v>3</v>
      </c>
      <c r="DE234" t="s">
        <v>3</v>
      </c>
      <c r="DF234">
        <f>ROUND(ROUND(AE234,2)*CX234,2)</f>
        <v>4.0599999999999996</v>
      </c>
      <c r="DG234">
        <f>ROUND(ROUND(AF234,2)*CX234,2)</f>
        <v>0</v>
      </c>
      <c r="DH234">
        <f t="shared" si="75"/>
        <v>0</v>
      </c>
      <c r="DI234">
        <f t="shared" si="76"/>
        <v>0</v>
      </c>
      <c r="DJ234">
        <f>DF234</f>
        <v>4.0599999999999996</v>
      </c>
      <c r="DK234">
        <v>1</v>
      </c>
      <c r="DL234" t="s">
        <v>3</v>
      </c>
      <c r="DM234">
        <v>0</v>
      </c>
      <c r="DN234" t="s">
        <v>3</v>
      </c>
      <c r="DO234">
        <v>0</v>
      </c>
    </row>
    <row r="235" spans="1:119" x14ac:dyDescent="0.2">
      <c r="A235">
        <f>ROW(Source!A198)</f>
        <v>198</v>
      </c>
      <c r="B235">
        <v>74014550</v>
      </c>
      <c r="C235">
        <v>74016718</v>
      </c>
      <c r="D235">
        <v>72594025</v>
      </c>
      <c r="E235">
        <v>1</v>
      </c>
      <c r="F235">
        <v>1</v>
      </c>
      <c r="G235">
        <v>1</v>
      </c>
      <c r="H235">
        <v>3</v>
      </c>
      <c r="I235" t="s">
        <v>594</v>
      </c>
      <c r="J235" t="s">
        <v>595</v>
      </c>
      <c r="K235" t="s">
        <v>596</v>
      </c>
      <c r="L235">
        <v>1346</v>
      </c>
      <c r="N235">
        <v>1009</v>
      </c>
      <c r="O235" t="s">
        <v>314</v>
      </c>
      <c r="P235" t="s">
        <v>314</v>
      </c>
      <c r="Q235">
        <v>1</v>
      </c>
      <c r="W235">
        <v>0</v>
      </c>
      <c r="X235">
        <v>-1493600273</v>
      </c>
      <c r="Y235">
        <f t="shared" si="84"/>
        <v>8.9999999999999998E-4</v>
      </c>
      <c r="AA235">
        <v>91.46</v>
      </c>
      <c r="AB235">
        <v>0</v>
      </c>
      <c r="AC235">
        <v>0</v>
      </c>
      <c r="AD235">
        <v>0</v>
      </c>
      <c r="AE235">
        <v>56.11</v>
      </c>
      <c r="AF235">
        <v>0</v>
      </c>
      <c r="AG235">
        <v>0</v>
      </c>
      <c r="AH235">
        <v>0</v>
      </c>
      <c r="AI235">
        <v>1.63</v>
      </c>
      <c r="AJ235">
        <v>1</v>
      </c>
      <c r="AK235">
        <v>1</v>
      </c>
      <c r="AL235">
        <v>1</v>
      </c>
      <c r="AM235">
        <v>2</v>
      </c>
      <c r="AN235">
        <v>0</v>
      </c>
      <c r="AO235">
        <v>0</v>
      </c>
      <c r="AP235">
        <v>1</v>
      </c>
      <c r="AQ235">
        <v>1</v>
      </c>
      <c r="AR235">
        <v>0</v>
      </c>
      <c r="AS235" t="s">
        <v>3</v>
      </c>
      <c r="AT235">
        <v>8.9999999999999998E-4</v>
      </c>
      <c r="AU235" t="s">
        <v>3</v>
      </c>
      <c r="AV235">
        <v>0</v>
      </c>
      <c r="AW235">
        <v>2</v>
      </c>
      <c r="AX235">
        <v>74016732</v>
      </c>
      <c r="AY235">
        <v>1</v>
      </c>
      <c r="AZ235">
        <v>0</v>
      </c>
      <c r="BA235">
        <v>257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5.0498999999999995E-2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5.0498999999999995E-2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CV235">
        <v>0</v>
      </c>
      <c r="CW235">
        <v>0</v>
      </c>
      <c r="CX235">
        <f>ROUND(Y235*Source!I198,7)</f>
        <v>8.9999999999999998E-4</v>
      </c>
      <c r="CY235">
        <f>AA235</f>
        <v>91.46</v>
      </c>
      <c r="CZ235">
        <f>AE235</f>
        <v>56.11</v>
      </c>
      <c r="DA235">
        <f>AI235</f>
        <v>1.63</v>
      </c>
      <c r="DB235">
        <f t="shared" si="88"/>
        <v>0.05</v>
      </c>
      <c r="DC235">
        <f t="shared" si="89"/>
        <v>0</v>
      </c>
      <c r="DD235" t="s">
        <v>3</v>
      </c>
      <c r="DE235" t="s">
        <v>3</v>
      </c>
      <c r="DF235">
        <f>ROUND(ROUND(AE235*AI235,2)*CX235,2)</f>
        <v>0.08</v>
      </c>
      <c r="DG235">
        <f>ROUND(ROUND(AF235,2)*CX235,2)</f>
        <v>0</v>
      </c>
      <c r="DH235">
        <f t="shared" si="75"/>
        <v>0</v>
      </c>
      <c r="DI235">
        <f t="shared" si="76"/>
        <v>0</v>
      </c>
      <c r="DJ235">
        <f>DF235</f>
        <v>0.08</v>
      </c>
      <c r="DK235">
        <v>0</v>
      </c>
      <c r="DL235" t="s">
        <v>3</v>
      </c>
      <c r="DM235">
        <v>0</v>
      </c>
      <c r="DN235" t="s">
        <v>3</v>
      </c>
      <c r="DO235">
        <v>0</v>
      </c>
    </row>
    <row r="236" spans="1:119" x14ac:dyDescent="0.2">
      <c r="A236">
        <f>ROW(Source!A200)</f>
        <v>200</v>
      </c>
      <c r="B236">
        <v>74014550</v>
      </c>
      <c r="C236">
        <v>74016736</v>
      </c>
      <c r="D236">
        <v>20049167</v>
      </c>
      <c r="E236">
        <v>119</v>
      </c>
      <c r="F236">
        <v>1</v>
      </c>
      <c r="G236">
        <v>1</v>
      </c>
      <c r="H236">
        <v>1</v>
      </c>
      <c r="I236" t="s">
        <v>605</v>
      </c>
      <c r="J236" t="s">
        <v>3</v>
      </c>
      <c r="K236" t="s">
        <v>606</v>
      </c>
      <c r="L236">
        <v>1191</v>
      </c>
      <c r="N236">
        <v>1013</v>
      </c>
      <c r="O236" t="s">
        <v>484</v>
      </c>
      <c r="P236" t="s">
        <v>484</v>
      </c>
      <c r="Q236">
        <v>1</v>
      </c>
      <c r="W236">
        <v>0</v>
      </c>
      <c r="X236">
        <v>-715079457</v>
      </c>
      <c r="Y236">
        <f t="shared" si="84"/>
        <v>27</v>
      </c>
      <c r="AA236">
        <v>0</v>
      </c>
      <c r="AB236">
        <v>0</v>
      </c>
      <c r="AC236">
        <v>0</v>
      </c>
      <c r="AD236">
        <v>377.84</v>
      </c>
      <c r="AE236">
        <v>0</v>
      </c>
      <c r="AF236">
        <v>0</v>
      </c>
      <c r="AG236">
        <v>0</v>
      </c>
      <c r="AH236">
        <v>377.84</v>
      </c>
      <c r="AI236">
        <v>1</v>
      </c>
      <c r="AJ236">
        <v>1</v>
      </c>
      <c r="AK236">
        <v>1</v>
      </c>
      <c r="AL236">
        <v>1</v>
      </c>
      <c r="AM236">
        <v>-2</v>
      </c>
      <c r="AN236">
        <v>0</v>
      </c>
      <c r="AO236">
        <v>0</v>
      </c>
      <c r="AP236">
        <v>1</v>
      </c>
      <c r="AQ236">
        <v>1</v>
      </c>
      <c r="AR236">
        <v>0</v>
      </c>
      <c r="AS236" t="s">
        <v>3</v>
      </c>
      <c r="AT236">
        <v>27</v>
      </c>
      <c r="AU236" t="s">
        <v>3</v>
      </c>
      <c r="AV236">
        <v>1</v>
      </c>
      <c r="AW236">
        <v>2</v>
      </c>
      <c r="AX236">
        <v>74016742</v>
      </c>
      <c r="AY236">
        <v>1</v>
      </c>
      <c r="AZ236">
        <v>0</v>
      </c>
      <c r="BA236">
        <v>260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10201.679999999998</v>
      </c>
      <c r="BN236">
        <v>27</v>
      </c>
      <c r="BO236">
        <v>0</v>
      </c>
      <c r="BP236">
        <v>1</v>
      </c>
      <c r="BQ236">
        <v>0</v>
      </c>
      <c r="BR236">
        <v>0</v>
      </c>
      <c r="BS236">
        <v>0</v>
      </c>
      <c r="BT236">
        <v>10201.679999999998</v>
      </c>
      <c r="BU236">
        <v>27</v>
      </c>
      <c r="BV236">
        <v>0</v>
      </c>
      <c r="BW236">
        <v>1</v>
      </c>
      <c r="CU236">
        <f>ROUND(AT236*Source!I200*AH236*AL236,2)</f>
        <v>244.84</v>
      </c>
      <c r="CV236">
        <f>ROUND(Y236*Source!I200,7)</f>
        <v>0.64800000000000002</v>
      </c>
      <c r="CW236">
        <v>0</v>
      </c>
      <c r="CX236">
        <f>ROUND(Y236*Source!I200,7)</f>
        <v>0.64800000000000002</v>
      </c>
      <c r="CY236">
        <f>AD236</f>
        <v>377.84</v>
      </c>
      <c r="CZ236">
        <f>AH236</f>
        <v>377.84</v>
      </c>
      <c r="DA236">
        <f>AL236</f>
        <v>1</v>
      </c>
      <c r="DB236">
        <f t="shared" si="88"/>
        <v>10201.68</v>
      </c>
      <c r="DC236">
        <f t="shared" si="89"/>
        <v>0</v>
      </c>
      <c r="DD236" t="s">
        <v>3</v>
      </c>
      <c r="DE236" t="s">
        <v>3</v>
      </c>
      <c r="DF236">
        <f t="shared" ref="DF236:DF243" si="93">ROUND(ROUND(AE236,2)*CX236,2)</f>
        <v>0</v>
      </c>
      <c r="DG236">
        <f>ROUND(ROUND(AF236,2)*CX236,2)</f>
        <v>0</v>
      </c>
      <c r="DH236">
        <f t="shared" si="75"/>
        <v>0</v>
      </c>
      <c r="DI236">
        <f t="shared" si="76"/>
        <v>244.84</v>
      </c>
      <c r="DJ236">
        <f>DI236</f>
        <v>244.84</v>
      </c>
      <c r="DK236">
        <v>1</v>
      </c>
      <c r="DL236" t="s">
        <v>3</v>
      </c>
      <c r="DM236">
        <v>0</v>
      </c>
      <c r="DN236" t="s">
        <v>3</v>
      </c>
      <c r="DO236">
        <v>0</v>
      </c>
    </row>
    <row r="237" spans="1:119" x14ac:dyDescent="0.2">
      <c r="A237">
        <f>ROW(Source!A200)</f>
        <v>200</v>
      </c>
      <c r="B237">
        <v>74014550</v>
      </c>
      <c r="C237">
        <v>74016736</v>
      </c>
      <c r="D237">
        <v>20049115</v>
      </c>
      <c r="E237">
        <v>119</v>
      </c>
      <c r="F237">
        <v>1</v>
      </c>
      <c r="G237">
        <v>1</v>
      </c>
      <c r="H237">
        <v>1</v>
      </c>
      <c r="I237" t="s">
        <v>482</v>
      </c>
      <c r="J237" t="s">
        <v>3</v>
      </c>
      <c r="K237" t="s">
        <v>483</v>
      </c>
      <c r="L237">
        <v>1191</v>
      </c>
      <c r="N237">
        <v>1013</v>
      </c>
      <c r="O237" t="s">
        <v>484</v>
      </c>
      <c r="P237" t="s">
        <v>484</v>
      </c>
      <c r="Q237">
        <v>1</v>
      </c>
      <c r="W237">
        <v>0</v>
      </c>
      <c r="X237">
        <v>-1417349443</v>
      </c>
      <c r="Y237">
        <f t="shared" si="84"/>
        <v>7.42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</v>
      </c>
      <c r="AJ237">
        <v>1</v>
      </c>
      <c r="AK237">
        <v>1</v>
      </c>
      <c r="AL237">
        <v>1</v>
      </c>
      <c r="AM237">
        <v>-2</v>
      </c>
      <c r="AN237">
        <v>0</v>
      </c>
      <c r="AO237">
        <v>0</v>
      </c>
      <c r="AP237">
        <v>1</v>
      </c>
      <c r="AQ237">
        <v>1</v>
      </c>
      <c r="AR237">
        <v>0</v>
      </c>
      <c r="AS237" t="s">
        <v>3</v>
      </c>
      <c r="AT237">
        <v>7.42</v>
      </c>
      <c r="AU237" t="s">
        <v>3</v>
      </c>
      <c r="AV237">
        <v>2</v>
      </c>
      <c r="AW237">
        <v>2</v>
      </c>
      <c r="AX237">
        <v>74016743</v>
      </c>
      <c r="AY237">
        <v>1</v>
      </c>
      <c r="AZ237">
        <v>0</v>
      </c>
      <c r="BA237">
        <v>261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CV237">
        <v>0</v>
      </c>
      <c r="CW237">
        <v>0</v>
      </c>
      <c r="CX237">
        <f>ROUND(Y237*Source!I200,7)</f>
        <v>0.17807999999999999</v>
      </c>
      <c r="CY237">
        <f>AD237</f>
        <v>0</v>
      </c>
      <c r="CZ237">
        <f>AH237</f>
        <v>0</v>
      </c>
      <c r="DA237">
        <f>AL237</f>
        <v>1</v>
      </c>
      <c r="DB237">
        <f t="shared" si="88"/>
        <v>0</v>
      </c>
      <c r="DC237">
        <f t="shared" si="89"/>
        <v>0</v>
      </c>
      <c r="DD237" t="s">
        <v>3</v>
      </c>
      <c r="DE237" t="s">
        <v>3</v>
      </c>
      <c r="DF237">
        <f t="shared" si="93"/>
        <v>0</v>
      </c>
      <c r="DG237">
        <f>ROUND(ROUND(AF237,2)*CX237,2)</f>
        <v>0</v>
      </c>
      <c r="DH237">
        <f t="shared" si="75"/>
        <v>0</v>
      </c>
      <c r="DI237">
        <f t="shared" si="76"/>
        <v>0</v>
      </c>
      <c r="DJ237">
        <f>DI237</f>
        <v>0</v>
      </c>
      <c r="DK237">
        <v>0</v>
      </c>
      <c r="DL237" t="s">
        <v>3</v>
      </c>
      <c r="DM237">
        <v>0</v>
      </c>
      <c r="DN237" t="s">
        <v>3</v>
      </c>
      <c r="DO237">
        <v>0</v>
      </c>
    </row>
    <row r="238" spans="1:119" x14ac:dyDescent="0.2">
      <c r="A238">
        <f>ROW(Source!A200)</f>
        <v>200</v>
      </c>
      <c r="B238">
        <v>74014550</v>
      </c>
      <c r="C238">
        <v>74016736</v>
      </c>
      <c r="D238">
        <v>72646779</v>
      </c>
      <c r="E238">
        <v>1</v>
      </c>
      <c r="F238">
        <v>1</v>
      </c>
      <c r="G238">
        <v>1</v>
      </c>
      <c r="H238">
        <v>2</v>
      </c>
      <c r="I238" t="s">
        <v>607</v>
      </c>
      <c r="J238" t="s">
        <v>608</v>
      </c>
      <c r="K238" t="s">
        <v>609</v>
      </c>
      <c r="L238">
        <v>1368</v>
      </c>
      <c r="N238">
        <v>1011</v>
      </c>
      <c r="O238" t="s">
        <v>488</v>
      </c>
      <c r="P238" t="s">
        <v>488</v>
      </c>
      <c r="Q238">
        <v>1</v>
      </c>
      <c r="W238">
        <v>0</v>
      </c>
      <c r="X238">
        <v>-1026261040</v>
      </c>
      <c r="Y238">
        <f t="shared" si="84"/>
        <v>7.42</v>
      </c>
      <c r="AA238">
        <v>0</v>
      </c>
      <c r="AB238">
        <v>1343.94</v>
      </c>
      <c r="AC238">
        <v>459.98</v>
      </c>
      <c r="AD238">
        <v>0</v>
      </c>
      <c r="AE238">
        <v>0</v>
      </c>
      <c r="AF238">
        <v>995.51</v>
      </c>
      <c r="AG238">
        <v>459.98</v>
      </c>
      <c r="AH238">
        <v>0</v>
      </c>
      <c r="AI238">
        <v>1</v>
      </c>
      <c r="AJ238">
        <v>1.35</v>
      </c>
      <c r="AK238">
        <v>1</v>
      </c>
      <c r="AL238">
        <v>1</v>
      </c>
      <c r="AM238">
        <v>2</v>
      </c>
      <c r="AN238">
        <v>0</v>
      </c>
      <c r="AO238">
        <v>0</v>
      </c>
      <c r="AP238">
        <v>1</v>
      </c>
      <c r="AQ238">
        <v>1</v>
      </c>
      <c r="AR238">
        <v>0</v>
      </c>
      <c r="AS238" t="s">
        <v>3</v>
      </c>
      <c r="AT238">
        <v>7.42</v>
      </c>
      <c r="AU238" t="s">
        <v>3</v>
      </c>
      <c r="AV238">
        <v>1</v>
      </c>
      <c r="AW238">
        <v>2</v>
      </c>
      <c r="AX238">
        <v>74016744</v>
      </c>
      <c r="AY238">
        <v>1</v>
      </c>
      <c r="AZ238">
        <v>0</v>
      </c>
      <c r="BA238">
        <v>262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7386.6841999999997</v>
      </c>
      <c r="BL238">
        <v>3413.0516000000002</v>
      </c>
      <c r="BM238">
        <v>0</v>
      </c>
      <c r="BN238">
        <v>0</v>
      </c>
      <c r="BO238">
        <v>7.42</v>
      </c>
      <c r="BP238">
        <v>1</v>
      </c>
      <c r="BQ238">
        <v>0</v>
      </c>
      <c r="BR238">
        <v>7386.6841999999997</v>
      </c>
      <c r="BS238">
        <v>3413.0516000000002</v>
      </c>
      <c r="BT238">
        <v>0</v>
      </c>
      <c r="BU238">
        <v>0</v>
      </c>
      <c r="BV238">
        <v>7.42</v>
      </c>
      <c r="BW238">
        <v>1</v>
      </c>
      <c r="CV238">
        <v>0</v>
      </c>
      <c r="CW238">
        <f>ROUND(Y238*Source!I200*DO238,7)</f>
        <v>0.17807999999999999</v>
      </c>
      <c r="CX238">
        <f>ROUND(Y238*Source!I200,7)</f>
        <v>0.17807999999999999</v>
      </c>
      <c r="CY238">
        <f>AB238</f>
        <v>1343.94</v>
      </c>
      <c r="CZ238">
        <f>AF238</f>
        <v>995.51</v>
      </c>
      <c r="DA238">
        <f>AJ238</f>
        <v>1.35</v>
      </c>
      <c r="DB238">
        <f t="shared" si="88"/>
        <v>7386.68</v>
      </c>
      <c r="DC238">
        <f t="shared" si="89"/>
        <v>3413.05</v>
      </c>
      <c r="DD238" t="s">
        <v>3</v>
      </c>
      <c r="DE238" t="s">
        <v>3</v>
      </c>
      <c r="DF238">
        <f t="shared" si="93"/>
        <v>0</v>
      </c>
      <c r="DG238">
        <f>ROUND(ROUND(AF238*AJ238,2)*CX238,2)</f>
        <v>239.33</v>
      </c>
      <c r="DH238">
        <f t="shared" si="75"/>
        <v>81.91</v>
      </c>
      <c r="DI238">
        <f t="shared" si="76"/>
        <v>0</v>
      </c>
      <c r="DJ238">
        <f>DG238+DH238</f>
        <v>321.24</v>
      </c>
      <c r="DK238">
        <v>0</v>
      </c>
      <c r="DL238" t="s">
        <v>497</v>
      </c>
      <c r="DM238">
        <v>5</v>
      </c>
      <c r="DN238" t="s">
        <v>484</v>
      </c>
      <c r="DO238">
        <v>1</v>
      </c>
    </row>
    <row r="239" spans="1:119" x14ac:dyDescent="0.2">
      <c r="A239">
        <f>ROW(Source!A200)</f>
        <v>200</v>
      </c>
      <c r="B239">
        <v>74014550</v>
      </c>
      <c r="C239">
        <v>74016736</v>
      </c>
      <c r="D239">
        <v>72646972</v>
      </c>
      <c r="E239">
        <v>1</v>
      </c>
      <c r="F239">
        <v>1</v>
      </c>
      <c r="G239">
        <v>1</v>
      </c>
      <c r="H239">
        <v>2</v>
      </c>
      <c r="I239" t="s">
        <v>610</v>
      </c>
      <c r="J239" t="s">
        <v>611</v>
      </c>
      <c r="K239" t="s">
        <v>612</v>
      </c>
      <c r="L239">
        <v>1368</v>
      </c>
      <c r="N239">
        <v>1011</v>
      </c>
      <c r="O239" t="s">
        <v>488</v>
      </c>
      <c r="P239" t="s">
        <v>488</v>
      </c>
      <c r="Q239">
        <v>1</v>
      </c>
      <c r="W239">
        <v>0</v>
      </c>
      <c r="X239">
        <v>559791142</v>
      </c>
      <c r="Y239">
        <f t="shared" si="84"/>
        <v>7.42</v>
      </c>
      <c r="AA239">
        <v>0</v>
      </c>
      <c r="AB239">
        <v>60.91</v>
      </c>
      <c r="AC239">
        <v>0</v>
      </c>
      <c r="AD239">
        <v>0</v>
      </c>
      <c r="AE239">
        <v>0</v>
      </c>
      <c r="AF239">
        <v>34.409999999999997</v>
      </c>
      <c r="AG239">
        <v>0</v>
      </c>
      <c r="AH239">
        <v>0</v>
      </c>
      <c r="AI239">
        <v>1</v>
      </c>
      <c r="AJ239">
        <v>1.77</v>
      </c>
      <c r="AK239">
        <v>1</v>
      </c>
      <c r="AL239">
        <v>1</v>
      </c>
      <c r="AM239">
        <v>2</v>
      </c>
      <c r="AN239">
        <v>0</v>
      </c>
      <c r="AO239">
        <v>0</v>
      </c>
      <c r="AP239">
        <v>1</v>
      </c>
      <c r="AQ239">
        <v>1</v>
      </c>
      <c r="AR239">
        <v>0</v>
      </c>
      <c r="AS239" t="s">
        <v>3</v>
      </c>
      <c r="AT239">
        <v>7.42</v>
      </c>
      <c r="AU239" t="s">
        <v>3</v>
      </c>
      <c r="AV239">
        <v>1</v>
      </c>
      <c r="AW239">
        <v>2</v>
      </c>
      <c r="AX239">
        <v>74016745</v>
      </c>
      <c r="AY239">
        <v>1</v>
      </c>
      <c r="AZ239">
        <v>0</v>
      </c>
      <c r="BA239">
        <v>263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255.32219999999998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255.32219999999998</v>
      </c>
      <c r="BS239">
        <v>0</v>
      </c>
      <c r="BT239">
        <v>0</v>
      </c>
      <c r="BU239">
        <v>0</v>
      </c>
      <c r="BV239">
        <v>0</v>
      </c>
      <c r="BW239">
        <v>1</v>
      </c>
      <c r="CV239">
        <v>0</v>
      </c>
      <c r="CW239">
        <f>ROUND(Y239*Source!I200*DO239,7)</f>
        <v>0</v>
      </c>
      <c r="CX239">
        <f>ROUND(Y239*Source!I200,7)</f>
        <v>0.17807999999999999</v>
      </c>
      <c r="CY239">
        <f>AB239</f>
        <v>60.91</v>
      </c>
      <c r="CZ239">
        <f>AF239</f>
        <v>34.409999999999997</v>
      </c>
      <c r="DA239">
        <f>AJ239</f>
        <v>1.77</v>
      </c>
      <c r="DB239">
        <f t="shared" si="88"/>
        <v>255.32</v>
      </c>
      <c r="DC239">
        <f t="shared" si="89"/>
        <v>0</v>
      </c>
      <c r="DD239" t="s">
        <v>3</v>
      </c>
      <c r="DE239" t="s">
        <v>3</v>
      </c>
      <c r="DF239">
        <f t="shared" si="93"/>
        <v>0</v>
      </c>
      <c r="DG239">
        <f>ROUND(ROUND(AF239*AJ239,2)*CX239,2)</f>
        <v>10.85</v>
      </c>
      <c r="DH239">
        <f t="shared" si="75"/>
        <v>0</v>
      </c>
      <c r="DI239">
        <f t="shared" si="76"/>
        <v>0</v>
      </c>
      <c r="DJ239">
        <f>DG239+DH239</f>
        <v>10.85</v>
      </c>
      <c r="DK239">
        <v>0</v>
      </c>
      <c r="DL239" t="s">
        <v>3</v>
      </c>
      <c r="DM239">
        <v>0</v>
      </c>
      <c r="DN239" t="s">
        <v>3</v>
      </c>
      <c r="DO239">
        <v>0</v>
      </c>
    </row>
    <row r="240" spans="1:119" x14ac:dyDescent="0.2">
      <c r="A240">
        <f>ROW(Source!A200)</f>
        <v>200</v>
      </c>
      <c r="B240">
        <v>74014550</v>
      </c>
      <c r="C240">
        <v>74016736</v>
      </c>
      <c r="D240">
        <v>72524853</v>
      </c>
      <c r="E240">
        <v>119</v>
      </c>
      <c r="F240">
        <v>1</v>
      </c>
      <c r="G240">
        <v>1</v>
      </c>
      <c r="H240">
        <v>3</v>
      </c>
      <c r="I240" t="s">
        <v>192</v>
      </c>
      <c r="J240" t="s">
        <v>3</v>
      </c>
      <c r="K240" t="s">
        <v>193</v>
      </c>
      <c r="L240">
        <v>3277935</v>
      </c>
      <c r="N240">
        <v>1013</v>
      </c>
      <c r="O240" t="s">
        <v>194</v>
      </c>
      <c r="P240" t="s">
        <v>194</v>
      </c>
      <c r="Q240">
        <v>1</v>
      </c>
      <c r="W240">
        <v>0</v>
      </c>
      <c r="X240">
        <v>274903907</v>
      </c>
      <c r="Y240">
        <f t="shared" si="84"/>
        <v>2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 t="s">
        <v>3</v>
      </c>
      <c r="AT240">
        <v>2</v>
      </c>
      <c r="AU240" t="s">
        <v>3</v>
      </c>
      <c r="AV240">
        <v>0</v>
      </c>
      <c r="AW240">
        <v>2</v>
      </c>
      <c r="AX240">
        <v>74016746</v>
      </c>
      <c r="AY240">
        <v>1</v>
      </c>
      <c r="AZ240">
        <v>0</v>
      </c>
      <c r="BA240">
        <v>264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CV240">
        <v>0</v>
      </c>
      <c r="CW240">
        <v>0</v>
      </c>
      <c r="CX240">
        <f>ROUND(Y240*Source!I200,7)</f>
        <v>4.8000000000000001E-2</v>
      </c>
      <c r="CY240">
        <f>AA240</f>
        <v>0</v>
      </c>
      <c r="CZ240">
        <f>AE240</f>
        <v>0</v>
      </c>
      <c r="DA240">
        <f>AI240</f>
        <v>1</v>
      </c>
      <c r="DB240">
        <f t="shared" si="88"/>
        <v>0</v>
      </c>
      <c r="DC240">
        <f t="shared" si="89"/>
        <v>0</v>
      </c>
      <c r="DD240" t="s">
        <v>3</v>
      </c>
      <c r="DE240" t="s">
        <v>3</v>
      </c>
      <c r="DF240">
        <f t="shared" si="93"/>
        <v>0</v>
      </c>
      <c r="DG240">
        <f>ROUND(ROUND(AF240,2)*CX240,2)</f>
        <v>0</v>
      </c>
      <c r="DH240">
        <f t="shared" si="75"/>
        <v>0</v>
      </c>
      <c r="DI240">
        <f t="shared" si="76"/>
        <v>0</v>
      </c>
      <c r="DJ240">
        <f>DF240</f>
        <v>0</v>
      </c>
      <c r="DK240">
        <v>0</v>
      </c>
      <c r="DL240" t="s">
        <v>3</v>
      </c>
      <c r="DM240">
        <v>0</v>
      </c>
      <c r="DN240" t="s">
        <v>3</v>
      </c>
      <c r="DO240">
        <v>0</v>
      </c>
    </row>
    <row r="241" spans="1:119" x14ac:dyDescent="0.2">
      <c r="A241">
        <f>ROW(Source!A203)</f>
        <v>203</v>
      </c>
      <c r="B241">
        <v>74014550</v>
      </c>
      <c r="C241">
        <v>74016749</v>
      </c>
      <c r="D241">
        <v>20054404</v>
      </c>
      <c r="E241">
        <v>119</v>
      </c>
      <c r="F241">
        <v>1</v>
      </c>
      <c r="G241">
        <v>1</v>
      </c>
      <c r="H241">
        <v>1</v>
      </c>
      <c r="I241" t="s">
        <v>600</v>
      </c>
      <c r="J241" t="s">
        <v>3</v>
      </c>
      <c r="K241" t="s">
        <v>601</v>
      </c>
      <c r="L241">
        <v>1191</v>
      </c>
      <c r="N241">
        <v>1013</v>
      </c>
      <c r="O241" t="s">
        <v>484</v>
      </c>
      <c r="P241" t="s">
        <v>484</v>
      </c>
      <c r="Q241">
        <v>1</v>
      </c>
      <c r="W241">
        <v>0</v>
      </c>
      <c r="X241">
        <v>-1105933552</v>
      </c>
      <c r="Y241">
        <f t="shared" si="84"/>
        <v>0.28000000000000003</v>
      </c>
      <c r="AA241">
        <v>0</v>
      </c>
      <c r="AB241">
        <v>0</v>
      </c>
      <c r="AC241">
        <v>0</v>
      </c>
      <c r="AD241">
        <v>386.8</v>
      </c>
      <c r="AE241">
        <v>0</v>
      </c>
      <c r="AF241">
        <v>0</v>
      </c>
      <c r="AG241">
        <v>0</v>
      </c>
      <c r="AH241">
        <v>386.8</v>
      </c>
      <c r="AI241">
        <v>1</v>
      </c>
      <c r="AJ241">
        <v>1</v>
      </c>
      <c r="AK241">
        <v>1</v>
      </c>
      <c r="AL241">
        <v>1</v>
      </c>
      <c r="AM241">
        <v>-2</v>
      </c>
      <c r="AN241">
        <v>0</v>
      </c>
      <c r="AO241">
        <v>0</v>
      </c>
      <c r="AP241">
        <v>1</v>
      </c>
      <c r="AQ241">
        <v>1</v>
      </c>
      <c r="AR241">
        <v>0</v>
      </c>
      <c r="AS241" t="s">
        <v>3</v>
      </c>
      <c r="AT241">
        <v>0.28000000000000003</v>
      </c>
      <c r="AU241" t="s">
        <v>3</v>
      </c>
      <c r="AV241">
        <v>1</v>
      </c>
      <c r="AW241">
        <v>2</v>
      </c>
      <c r="AX241">
        <v>74016756</v>
      </c>
      <c r="AY241">
        <v>1</v>
      </c>
      <c r="AZ241">
        <v>0</v>
      </c>
      <c r="BA241">
        <v>265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108.30400000000002</v>
      </c>
      <c r="BN241">
        <v>0.28000000000000003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108.30400000000002</v>
      </c>
      <c r="BU241">
        <v>0.28000000000000003</v>
      </c>
      <c r="BV241">
        <v>0</v>
      </c>
      <c r="BW241">
        <v>1</v>
      </c>
      <c r="CU241">
        <f>ROUND(AT241*Source!I203*AH241*AL241,2)</f>
        <v>216.61</v>
      </c>
      <c r="CV241">
        <f>ROUND(Y241*Source!I203,7)</f>
        <v>0.56000000000000005</v>
      </c>
      <c r="CW241">
        <v>0</v>
      </c>
      <c r="CX241">
        <f>ROUND(Y241*Source!I203,7)</f>
        <v>0.56000000000000005</v>
      </c>
      <c r="CY241">
        <f>AD241</f>
        <v>386.8</v>
      </c>
      <c r="CZ241">
        <f>AH241</f>
        <v>386.8</v>
      </c>
      <c r="DA241">
        <f>AL241</f>
        <v>1</v>
      </c>
      <c r="DB241">
        <f t="shared" si="88"/>
        <v>108.3</v>
      </c>
      <c r="DC241">
        <f t="shared" si="89"/>
        <v>0</v>
      </c>
      <c r="DD241" t="s">
        <v>3</v>
      </c>
      <c r="DE241" t="s">
        <v>3</v>
      </c>
      <c r="DF241">
        <f t="shared" si="93"/>
        <v>0</v>
      </c>
      <c r="DG241">
        <f>ROUND(ROUND(AF241,2)*CX241,2)</f>
        <v>0</v>
      </c>
      <c r="DH241">
        <f t="shared" si="75"/>
        <v>0</v>
      </c>
      <c r="DI241">
        <f t="shared" si="76"/>
        <v>216.61</v>
      </c>
      <c r="DJ241">
        <f>DI241</f>
        <v>216.61</v>
      </c>
      <c r="DK241">
        <v>1</v>
      </c>
      <c r="DL241" t="s">
        <v>3</v>
      </c>
      <c r="DM241">
        <v>0</v>
      </c>
      <c r="DN241" t="s">
        <v>3</v>
      </c>
      <c r="DO241">
        <v>0</v>
      </c>
    </row>
    <row r="242" spans="1:119" x14ac:dyDescent="0.2">
      <c r="A242">
        <f>ROW(Source!A203)</f>
        <v>203</v>
      </c>
      <c r="B242">
        <v>74014550</v>
      </c>
      <c r="C242">
        <v>74016749</v>
      </c>
      <c r="D242">
        <v>72647089</v>
      </c>
      <c r="E242">
        <v>1</v>
      </c>
      <c r="F242">
        <v>1</v>
      </c>
      <c r="G242">
        <v>1</v>
      </c>
      <c r="H242">
        <v>2</v>
      </c>
      <c r="I242" t="s">
        <v>588</v>
      </c>
      <c r="J242" t="s">
        <v>589</v>
      </c>
      <c r="K242" t="s">
        <v>590</v>
      </c>
      <c r="L242">
        <v>1368</v>
      </c>
      <c r="N242">
        <v>1011</v>
      </c>
      <c r="O242" t="s">
        <v>488</v>
      </c>
      <c r="P242" t="s">
        <v>488</v>
      </c>
      <c r="Q242">
        <v>1</v>
      </c>
      <c r="W242">
        <v>0</v>
      </c>
      <c r="X242">
        <v>860887119</v>
      </c>
      <c r="Y242">
        <f t="shared" si="84"/>
        <v>0.15</v>
      </c>
      <c r="AA242">
        <v>0</v>
      </c>
      <c r="AB242">
        <v>13.81</v>
      </c>
      <c r="AC242">
        <v>0</v>
      </c>
      <c r="AD242">
        <v>0</v>
      </c>
      <c r="AE242">
        <v>0</v>
      </c>
      <c r="AF242">
        <v>8.6300000000000008</v>
      </c>
      <c r="AG242">
        <v>0</v>
      </c>
      <c r="AH242">
        <v>0</v>
      </c>
      <c r="AI242">
        <v>1</v>
      </c>
      <c r="AJ242">
        <v>1.6</v>
      </c>
      <c r="AK242">
        <v>1</v>
      </c>
      <c r="AL242">
        <v>1</v>
      </c>
      <c r="AM242">
        <v>2</v>
      </c>
      <c r="AN242">
        <v>0</v>
      </c>
      <c r="AO242">
        <v>0</v>
      </c>
      <c r="AP242">
        <v>1</v>
      </c>
      <c r="AQ242">
        <v>1</v>
      </c>
      <c r="AR242">
        <v>0</v>
      </c>
      <c r="AS242" t="s">
        <v>3</v>
      </c>
      <c r="AT242">
        <v>0.15</v>
      </c>
      <c r="AU242" t="s">
        <v>3</v>
      </c>
      <c r="AV242">
        <v>1</v>
      </c>
      <c r="AW242">
        <v>2</v>
      </c>
      <c r="AX242">
        <v>74016757</v>
      </c>
      <c r="AY242">
        <v>1</v>
      </c>
      <c r="AZ242">
        <v>0</v>
      </c>
      <c r="BA242">
        <v>266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1.2945</v>
      </c>
      <c r="BL242">
        <v>0</v>
      </c>
      <c r="BM242">
        <v>0</v>
      </c>
      <c r="BN242">
        <v>0</v>
      </c>
      <c r="BO242">
        <v>0</v>
      </c>
      <c r="BP242">
        <v>1</v>
      </c>
      <c r="BQ242">
        <v>0</v>
      </c>
      <c r="BR242">
        <v>1.2945</v>
      </c>
      <c r="BS242">
        <v>0</v>
      </c>
      <c r="BT242">
        <v>0</v>
      </c>
      <c r="BU242">
        <v>0</v>
      </c>
      <c r="BV242">
        <v>0</v>
      </c>
      <c r="BW242">
        <v>1</v>
      </c>
      <c r="CV242">
        <v>0</v>
      </c>
      <c r="CW242">
        <f>ROUND(Y242*Source!I203*DO242,7)</f>
        <v>0</v>
      </c>
      <c r="CX242">
        <f>ROUND(Y242*Source!I203,7)</f>
        <v>0.3</v>
      </c>
      <c r="CY242">
        <f>AB242</f>
        <v>13.81</v>
      </c>
      <c r="CZ242">
        <f>AF242</f>
        <v>8.6300000000000008</v>
      </c>
      <c r="DA242">
        <f>AJ242</f>
        <v>1.6</v>
      </c>
      <c r="DB242">
        <f t="shared" si="88"/>
        <v>1.29</v>
      </c>
      <c r="DC242">
        <f t="shared" si="89"/>
        <v>0</v>
      </c>
      <c r="DD242" t="s">
        <v>3</v>
      </c>
      <c r="DE242" t="s">
        <v>3</v>
      </c>
      <c r="DF242">
        <f t="shared" si="93"/>
        <v>0</v>
      </c>
      <c r="DG242">
        <f>ROUND(ROUND(AF242*AJ242,2)*CX242,2)</f>
        <v>4.1399999999999997</v>
      </c>
      <c r="DH242">
        <f t="shared" si="75"/>
        <v>0</v>
      </c>
      <c r="DI242">
        <f t="shared" si="76"/>
        <v>0</v>
      </c>
      <c r="DJ242">
        <f>DG242+DH242</f>
        <v>4.1399999999999997</v>
      </c>
      <c r="DK242">
        <v>0</v>
      </c>
      <c r="DL242" t="s">
        <v>3</v>
      </c>
      <c r="DM242">
        <v>0</v>
      </c>
      <c r="DN242" t="s">
        <v>3</v>
      </c>
      <c r="DO242">
        <v>0</v>
      </c>
    </row>
    <row r="243" spans="1:119" x14ac:dyDescent="0.2">
      <c r="A243">
        <f>ROW(Source!A203)</f>
        <v>203</v>
      </c>
      <c r="B243">
        <v>74014550</v>
      </c>
      <c r="C243">
        <v>74016749</v>
      </c>
      <c r="D243">
        <v>72647111</v>
      </c>
      <c r="E243">
        <v>1</v>
      </c>
      <c r="F243">
        <v>1</v>
      </c>
      <c r="G243">
        <v>1</v>
      </c>
      <c r="H243">
        <v>2</v>
      </c>
      <c r="I243" t="s">
        <v>591</v>
      </c>
      <c r="J243" t="s">
        <v>592</v>
      </c>
      <c r="K243" t="s">
        <v>593</v>
      </c>
      <c r="L243">
        <v>1368</v>
      </c>
      <c r="N243">
        <v>1011</v>
      </c>
      <c r="O243" t="s">
        <v>488</v>
      </c>
      <c r="P243" t="s">
        <v>488</v>
      </c>
      <c r="Q243">
        <v>1</v>
      </c>
      <c r="W243">
        <v>0</v>
      </c>
      <c r="X243">
        <v>1391482573</v>
      </c>
      <c r="Y243">
        <f t="shared" si="84"/>
        <v>0.28999999999999998</v>
      </c>
      <c r="AA243">
        <v>0</v>
      </c>
      <c r="AB243">
        <v>4.34</v>
      </c>
      <c r="AC243">
        <v>0</v>
      </c>
      <c r="AD243">
        <v>0</v>
      </c>
      <c r="AE243">
        <v>0</v>
      </c>
      <c r="AF243">
        <v>3.34</v>
      </c>
      <c r="AG243">
        <v>0</v>
      </c>
      <c r="AH243">
        <v>0</v>
      </c>
      <c r="AI243">
        <v>1</v>
      </c>
      <c r="AJ243">
        <v>1.3</v>
      </c>
      <c r="AK243">
        <v>1</v>
      </c>
      <c r="AL243">
        <v>1</v>
      </c>
      <c r="AM243">
        <v>2</v>
      </c>
      <c r="AN243">
        <v>0</v>
      </c>
      <c r="AO243">
        <v>0</v>
      </c>
      <c r="AP243">
        <v>1</v>
      </c>
      <c r="AQ243">
        <v>1</v>
      </c>
      <c r="AR243">
        <v>0</v>
      </c>
      <c r="AS243" t="s">
        <v>3</v>
      </c>
      <c r="AT243">
        <v>0.28999999999999998</v>
      </c>
      <c r="AU243" t="s">
        <v>3</v>
      </c>
      <c r="AV243">
        <v>1</v>
      </c>
      <c r="AW243">
        <v>2</v>
      </c>
      <c r="AX243">
        <v>74016758</v>
      </c>
      <c r="AY243">
        <v>1</v>
      </c>
      <c r="AZ243">
        <v>0</v>
      </c>
      <c r="BA243">
        <v>267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0.96859999999999991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0</v>
      </c>
      <c r="BR243">
        <v>0.96859999999999991</v>
      </c>
      <c r="BS243">
        <v>0</v>
      </c>
      <c r="BT243">
        <v>0</v>
      </c>
      <c r="BU243">
        <v>0</v>
      </c>
      <c r="BV243">
        <v>0</v>
      </c>
      <c r="BW243">
        <v>1</v>
      </c>
      <c r="CV243">
        <v>0</v>
      </c>
      <c r="CW243">
        <f>ROUND(Y243*Source!I203*DO243,7)</f>
        <v>0</v>
      </c>
      <c r="CX243">
        <f>ROUND(Y243*Source!I203,7)</f>
        <v>0.57999999999999996</v>
      </c>
      <c r="CY243">
        <f>AB243</f>
        <v>4.34</v>
      </c>
      <c r="CZ243">
        <f>AF243</f>
        <v>3.34</v>
      </c>
      <c r="DA243">
        <f>AJ243</f>
        <v>1.3</v>
      </c>
      <c r="DB243">
        <f t="shared" si="88"/>
        <v>0.97</v>
      </c>
      <c r="DC243">
        <f t="shared" si="89"/>
        <v>0</v>
      </c>
      <c r="DD243" t="s">
        <v>3</v>
      </c>
      <c r="DE243" t="s">
        <v>3</v>
      </c>
      <c r="DF243">
        <f t="shared" si="93"/>
        <v>0</v>
      </c>
      <c r="DG243">
        <f>ROUND(ROUND(AF243*AJ243,2)*CX243,2)</f>
        <v>2.52</v>
      </c>
      <c r="DH243">
        <f t="shared" si="75"/>
        <v>0</v>
      </c>
      <c r="DI243">
        <f t="shared" si="76"/>
        <v>0</v>
      </c>
      <c r="DJ243">
        <f>DG243+DH243</f>
        <v>2.52</v>
      </c>
      <c r="DK243">
        <v>0</v>
      </c>
      <c r="DL243" t="s">
        <v>3</v>
      </c>
      <c r="DM243">
        <v>0</v>
      </c>
      <c r="DN243" t="s">
        <v>3</v>
      </c>
      <c r="DO243">
        <v>0</v>
      </c>
    </row>
    <row r="244" spans="1:119" x14ac:dyDescent="0.2">
      <c r="A244">
        <f>ROW(Source!A203)</f>
        <v>203</v>
      </c>
      <c r="B244">
        <v>74014550</v>
      </c>
      <c r="C244">
        <v>74016749</v>
      </c>
      <c r="D244">
        <v>72589277</v>
      </c>
      <c r="E244">
        <v>1</v>
      </c>
      <c r="F244">
        <v>1</v>
      </c>
      <c r="G244">
        <v>1</v>
      </c>
      <c r="H244">
        <v>3</v>
      </c>
      <c r="I244" t="s">
        <v>602</v>
      </c>
      <c r="J244" t="s">
        <v>603</v>
      </c>
      <c r="K244" t="s">
        <v>604</v>
      </c>
      <c r="L244">
        <v>1346</v>
      </c>
      <c r="N244">
        <v>1009</v>
      </c>
      <c r="O244" t="s">
        <v>314</v>
      </c>
      <c r="P244" t="s">
        <v>314</v>
      </c>
      <c r="Q244">
        <v>1</v>
      </c>
      <c r="W244">
        <v>0</v>
      </c>
      <c r="X244">
        <v>478489546</v>
      </c>
      <c r="Y244">
        <f t="shared" si="84"/>
        <v>0.01</v>
      </c>
      <c r="AA244">
        <v>1002.64</v>
      </c>
      <c r="AB244">
        <v>0</v>
      </c>
      <c r="AC244">
        <v>0</v>
      </c>
      <c r="AD244">
        <v>0</v>
      </c>
      <c r="AE244">
        <v>596.80999999999995</v>
      </c>
      <c r="AF244">
        <v>0</v>
      </c>
      <c r="AG244">
        <v>0</v>
      </c>
      <c r="AH244">
        <v>0</v>
      </c>
      <c r="AI244">
        <v>1.68</v>
      </c>
      <c r="AJ244">
        <v>1</v>
      </c>
      <c r="AK244">
        <v>1</v>
      </c>
      <c r="AL244">
        <v>1</v>
      </c>
      <c r="AM244">
        <v>2</v>
      </c>
      <c r="AN244">
        <v>0</v>
      </c>
      <c r="AO244">
        <v>0</v>
      </c>
      <c r="AP244">
        <v>1</v>
      </c>
      <c r="AQ244">
        <v>1</v>
      </c>
      <c r="AR244">
        <v>0</v>
      </c>
      <c r="AS244" t="s">
        <v>3</v>
      </c>
      <c r="AT244">
        <v>0.01</v>
      </c>
      <c r="AU244" t="s">
        <v>3</v>
      </c>
      <c r="AV244">
        <v>0</v>
      </c>
      <c r="AW244">
        <v>2</v>
      </c>
      <c r="AX244">
        <v>74016759</v>
      </c>
      <c r="AY244">
        <v>1</v>
      </c>
      <c r="AZ244">
        <v>0</v>
      </c>
      <c r="BA244">
        <v>268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5.9680999999999997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5.9680999999999997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CV244">
        <v>0</v>
      </c>
      <c r="CW244">
        <v>0</v>
      </c>
      <c r="CX244">
        <f>ROUND(Y244*Source!I203,7)</f>
        <v>0.02</v>
      </c>
      <c r="CY244">
        <f>AA244</f>
        <v>1002.64</v>
      </c>
      <c r="CZ244">
        <f>AE244</f>
        <v>596.80999999999995</v>
      </c>
      <c r="DA244">
        <f>AI244</f>
        <v>1.68</v>
      </c>
      <c r="DB244">
        <f t="shared" si="88"/>
        <v>5.97</v>
      </c>
      <c r="DC244">
        <f t="shared" si="89"/>
        <v>0</v>
      </c>
      <c r="DD244" t="s">
        <v>3</v>
      </c>
      <c r="DE244" t="s">
        <v>3</v>
      </c>
      <c r="DF244">
        <f>ROUND(ROUND(AE244*AI244,2)*CX244,2)</f>
        <v>20.05</v>
      </c>
      <c r="DG244">
        <f>ROUND(ROUND(AF244,2)*CX244,2)</f>
        <v>0</v>
      </c>
      <c r="DH244">
        <f t="shared" si="75"/>
        <v>0</v>
      </c>
      <c r="DI244">
        <f t="shared" si="76"/>
        <v>0</v>
      </c>
      <c r="DJ244">
        <f>DF244</f>
        <v>20.05</v>
      </c>
      <c r="DK244">
        <v>0</v>
      </c>
      <c r="DL244" t="s">
        <v>3</v>
      </c>
      <c r="DM244">
        <v>0</v>
      </c>
      <c r="DN244" t="s">
        <v>3</v>
      </c>
      <c r="DO244">
        <v>0</v>
      </c>
    </row>
    <row r="245" spans="1:119" x14ac:dyDescent="0.2">
      <c r="A245">
        <f>ROW(Source!A203)</f>
        <v>203</v>
      </c>
      <c r="B245">
        <v>74014550</v>
      </c>
      <c r="C245">
        <v>74016749</v>
      </c>
      <c r="D245">
        <v>72594025</v>
      </c>
      <c r="E245">
        <v>1</v>
      </c>
      <c r="F245">
        <v>1</v>
      </c>
      <c r="G245">
        <v>1</v>
      </c>
      <c r="H245">
        <v>3</v>
      </c>
      <c r="I245" t="s">
        <v>594</v>
      </c>
      <c r="J245" t="s">
        <v>595</v>
      </c>
      <c r="K245" t="s">
        <v>596</v>
      </c>
      <c r="L245">
        <v>1346</v>
      </c>
      <c r="N245">
        <v>1009</v>
      </c>
      <c r="O245" t="s">
        <v>314</v>
      </c>
      <c r="P245" t="s">
        <v>314</v>
      </c>
      <c r="Q245">
        <v>1</v>
      </c>
      <c r="W245">
        <v>0</v>
      </c>
      <c r="X245">
        <v>-1493600273</v>
      </c>
      <c r="Y245">
        <f t="shared" si="84"/>
        <v>1E-3</v>
      </c>
      <c r="AA245">
        <v>91.46</v>
      </c>
      <c r="AB245">
        <v>0</v>
      </c>
      <c r="AC245">
        <v>0</v>
      </c>
      <c r="AD245">
        <v>0</v>
      </c>
      <c r="AE245">
        <v>56.11</v>
      </c>
      <c r="AF245">
        <v>0</v>
      </c>
      <c r="AG245">
        <v>0</v>
      </c>
      <c r="AH245">
        <v>0</v>
      </c>
      <c r="AI245">
        <v>1.63</v>
      </c>
      <c r="AJ245">
        <v>1</v>
      </c>
      <c r="AK245">
        <v>1</v>
      </c>
      <c r="AL245">
        <v>1</v>
      </c>
      <c r="AM245">
        <v>2</v>
      </c>
      <c r="AN245">
        <v>0</v>
      </c>
      <c r="AO245">
        <v>0</v>
      </c>
      <c r="AP245">
        <v>1</v>
      </c>
      <c r="AQ245">
        <v>1</v>
      </c>
      <c r="AR245">
        <v>0</v>
      </c>
      <c r="AS245" t="s">
        <v>3</v>
      </c>
      <c r="AT245">
        <v>1E-3</v>
      </c>
      <c r="AU245" t="s">
        <v>3</v>
      </c>
      <c r="AV245">
        <v>0</v>
      </c>
      <c r="AW245">
        <v>2</v>
      </c>
      <c r="AX245">
        <v>74016760</v>
      </c>
      <c r="AY245">
        <v>1</v>
      </c>
      <c r="AZ245">
        <v>0</v>
      </c>
      <c r="BA245">
        <v>269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5.611E-2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5.611E-2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CV245">
        <v>0</v>
      </c>
      <c r="CW245">
        <v>0</v>
      </c>
      <c r="CX245">
        <f>ROUND(Y245*Source!I203,7)</f>
        <v>2E-3</v>
      </c>
      <c r="CY245">
        <f>AA245</f>
        <v>91.46</v>
      </c>
      <c r="CZ245">
        <f>AE245</f>
        <v>56.11</v>
      </c>
      <c r="DA245">
        <f>AI245</f>
        <v>1.63</v>
      </c>
      <c r="DB245">
        <f t="shared" si="88"/>
        <v>0.06</v>
      </c>
      <c r="DC245">
        <f t="shared" si="89"/>
        <v>0</v>
      </c>
      <c r="DD245" t="s">
        <v>3</v>
      </c>
      <c r="DE245" t="s">
        <v>3</v>
      </c>
      <c r="DF245">
        <f>ROUND(ROUND(AE245*AI245,2)*CX245,2)</f>
        <v>0.18</v>
      </c>
      <c r="DG245">
        <f>ROUND(ROUND(AF245,2)*CX245,2)</f>
        <v>0</v>
      </c>
      <c r="DH245">
        <f t="shared" si="75"/>
        <v>0</v>
      </c>
      <c r="DI245">
        <f t="shared" si="76"/>
        <v>0</v>
      </c>
      <c r="DJ245">
        <f>DF245</f>
        <v>0.18</v>
      </c>
      <c r="DK245">
        <v>0</v>
      </c>
      <c r="DL245" t="s">
        <v>3</v>
      </c>
      <c r="DM245">
        <v>0</v>
      </c>
      <c r="DN245" t="s">
        <v>3</v>
      </c>
      <c r="DO245">
        <v>0</v>
      </c>
    </row>
    <row r="246" spans="1:119" x14ac:dyDescent="0.2">
      <c r="A246">
        <f>ROW(Source!A203)</f>
        <v>203</v>
      </c>
      <c r="B246">
        <v>74014550</v>
      </c>
      <c r="C246">
        <v>74016749</v>
      </c>
      <c r="D246">
        <v>72635251</v>
      </c>
      <c r="E246">
        <v>1</v>
      </c>
      <c r="F246">
        <v>1</v>
      </c>
      <c r="G246">
        <v>1</v>
      </c>
      <c r="H246">
        <v>3</v>
      </c>
      <c r="I246" t="s">
        <v>382</v>
      </c>
      <c r="J246" t="s">
        <v>384</v>
      </c>
      <c r="K246" t="s">
        <v>383</v>
      </c>
      <c r="L246">
        <v>1371</v>
      </c>
      <c r="N246">
        <v>1013</v>
      </c>
      <c r="O246" t="s">
        <v>130</v>
      </c>
      <c r="P246" t="s">
        <v>130</v>
      </c>
      <c r="Q246">
        <v>1</v>
      </c>
      <c r="W246">
        <v>0</v>
      </c>
      <c r="X246">
        <v>1640984246</v>
      </c>
      <c r="Y246">
        <f t="shared" si="84"/>
        <v>1</v>
      </c>
      <c r="AA246">
        <v>153.4</v>
      </c>
      <c r="AB246">
        <v>0</v>
      </c>
      <c r="AC246">
        <v>0</v>
      </c>
      <c r="AD246">
        <v>0</v>
      </c>
      <c r="AE246">
        <v>120.79</v>
      </c>
      <c r="AF246">
        <v>0</v>
      </c>
      <c r="AG246">
        <v>0</v>
      </c>
      <c r="AH246">
        <v>0</v>
      </c>
      <c r="AI246">
        <v>1.27</v>
      </c>
      <c r="AJ246">
        <v>1</v>
      </c>
      <c r="AK246">
        <v>1</v>
      </c>
      <c r="AL246">
        <v>1</v>
      </c>
      <c r="AM246">
        <v>0</v>
      </c>
      <c r="AN246">
        <v>0</v>
      </c>
      <c r="AO246">
        <v>0</v>
      </c>
      <c r="AP246">
        <v>1</v>
      </c>
      <c r="AQ246">
        <v>0</v>
      </c>
      <c r="AR246">
        <v>0</v>
      </c>
      <c r="AS246" t="s">
        <v>3</v>
      </c>
      <c r="AT246">
        <v>1</v>
      </c>
      <c r="AU246" t="s">
        <v>3</v>
      </c>
      <c r="AV246">
        <v>0</v>
      </c>
      <c r="AW246">
        <v>1</v>
      </c>
      <c r="AX246">
        <v>-1</v>
      </c>
      <c r="AY246">
        <v>0</v>
      </c>
      <c r="AZ246">
        <v>0</v>
      </c>
      <c r="BA246" t="s">
        <v>3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CV246">
        <v>0</v>
      </c>
      <c r="CW246">
        <v>0</v>
      </c>
      <c r="CX246">
        <f>ROUND(Y246*Source!I203,7)</f>
        <v>2</v>
      </c>
      <c r="CY246">
        <f>AA246</f>
        <v>153.4</v>
      </c>
      <c r="CZ246">
        <f>AE246</f>
        <v>120.79</v>
      </c>
      <c r="DA246">
        <f>AI246</f>
        <v>1.27</v>
      </c>
      <c r="DB246">
        <f t="shared" si="88"/>
        <v>120.79</v>
      </c>
      <c r="DC246">
        <f t="shared" si="89"/>
        <v>0</v>
      </c>
      <c r="DD246" t="s">
        <v>3</v>
      </c>
      <c r="DE246" t="s">
        <v>3</v>
      </c>
      <c r="DF246">
        <f>ROUND(ROUND(AE246*AI246,2)*CX246,2)</f>
        <v>306.8</v>
      </c>
      <c r="DG246">
        <f>ROUND(ROUND(AF246,2)*CX246,2)</f>
        <v>0</v>
      </c>
      <c r="DH246">
        <f t="shared" si="75"/>
        <v>0</v>
      </c>
      <c r="DI246">
        <f t="shared" si="76"/>
        <v>0</v>
      </c>
      <c r="DJ246">
        <f>DF246</f>
        <v>306.8</v>
      </c>
      <c r="DK246">
        <v>0</v>
      </c>
      <c r="DL246" t="s">
        <v>3</v>
      </c>
      <c r="DM246">
        <v>0</v>
      </c>
      <c r="DN246" t="s">
        <v>3</v>
      </c>
      <c r="DO246">
        <v>0</v>
      </c>
    </row>
    <row r="247" spans="1:119" x14ac:dyDescent="0.2">
      <c r="A247">
        <f>ROW(Source!A205)</f>
        <v>205</v>
      </c>
      <c r="B247">
        <v>74014550</v>
      </c>
      <c r="C247">
        <v>74016763</v>
      </c>
      <c r="D247">
        <v>72518669</v>
      </c>
      <c r="E247">
        <v>119</v>
      </c>
      <c r="F247">
        <v>1</v>
      </c>
      <c r="G247">
        <v>1</v>
      </c>
      <c r="H247">
        <v>1</v>
      </c>
      <c r="I247" t="s">
        <v>543</v>
      </c>
      <c r="J247" t="s">
        <v>3</v>
      </c>
      <c r="K247" t="s">
        <v>544</v>
      </c>
      <c r="L247">
        <v>1191</v>
      </c>
      <c r="N247">
        <v>1013</v>
      </c>
      <c r="O247" t="s">
        <v>484</v>
      </c>
      <c r="P247" t="s">
        <v>484</v>
      </c>
      <c r="Q247">
        <v>1</v>
      </c>
      <c r="W247">
        <v>0</v>
      </c>
      <c r="X247">
        <v>1903532093</v>
      </c>
      <c r="Y247">
        <f t="shared" si="84"/>
        <v>1.4</v>
      </c>
      <c r="AA247">
        <v>0</v>
      </c>
      <c r="AB247">
        <v>0</v>
      </c>
      <c r="AC247">
        <v>0</v>
      </c>
      <c r="AD247">
        <v>430.11</v>
      </c>
      <c r="AE247">
        <v>0</v>
      </c>
      <c r="AF247">
        <v>0</v>
      </c>
      <c r="AG247">
        <v>0</v>
      </c>
      <c r="AH247">
        <v>430.11</v>
      </c>
      <c r="AI247">
        <v>1</v>
      </c>
      <c r="AJ247">
        <v>1</v>
      </c>
      <c r="AK247">
        <v>1</v>
      </c>
      <c r="AL247">
        <v>1</v>
      </c>
      <c r="AM247">
        <v>-2</v>
      </c>
      <c r="AN247">
        <v>0</v>
      </c>
      <c r="AO247">
        <v>0</v>
      </c>
      <c r="AP247">
        <v>1</v>
      </c>
      <c r="AQ247">
        <v>1</v>
      </c>
      <c r="AR247">
        <v>0</v>
      </c>
      <c r="AS247" t="s">
        <v>3</v>
      </c>
      <c r="AT247">
        <v>1.4</v>
      </c>
      <c r="AU247" t="s">
        <v>3</v>
      </c>
      <c r="AV247">
        <v>1</v>
      </c>
      <c r="AW247">
        <v>2</v>
      </c>
      <c r="AX247">
        <v>74017899</v>
      </c>
      <c r="AY247">
        <v>1</v>
      </c>
      <c r="AZ247">
        <v>0</v>
      </c>
      <c r="BA247">
        <v>271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602.154</v>
      </c>
      <c r="BN247">
        <v>1.4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602.154</v>
      </c>
      <c r="BU247">
        <v>1.4</v>
      </c>
      <c r="BV247">
        <v>0</v>
      </c>
      <c r="BW247">
        <v>1</v>
      </c>
      <c r="CU247">
        <f>ROUND(AT247*Source!I205*AH247*AL247,2)</f>
        <v>602.15</v>
      </c>
      <c r="CV247">
        <f>ROUND(Y247*Source!I205,7)</f>
        <v>1.4</v>
      </c>
      <c r="CW247">
        <v>0</v>
      </c>
      <c r="CX247">
        <f>ROUND(Y247*Source!I205,7)</f>
        <v>1.4</v>
      </c>
      <c r="CY247">
        <f>AD247</f>
        <v>430.11</v>
      </c>
      <c r="CZ247">
        <f>AH247</f>
        <v>430.11</v>
      </c>
      <c r="DA247">
        <f>AL247</f>
        <v>1</v>
      </c>
      <c r="DB247">
        <f t="shared" si="88"/>
        <v>602.15</v>
      </c>
      <c r="DC247">
        <f t="shared" si="89"/>
        <v>0</v>
      </c>
      <c r="DD247" t="s">
        <v>3</v>
      </c>
      <c r="DE247" t="s">
        <v>3</v>
      </c>
      <c r="DF247">
        <f>ROUND(ROUND(AE247,2)*CX247,2)</f>
        <v>0</v>
      </c>
      <c r="DG247">
        <f>ROUND(ROUND(AF247,2)*CX247,2)</f>
        <v>0</v>
      </c>
      <c r="DH247">
        <f t="shared" si="75"/>
        <v>0</v>
      </c>
      <c r="DI247">
        <f t="shared" si="76"/>
        <v>602.15</v>
      </c>
      <c r="DJ247">
        <f>DI247</f>
        <v>602.15</v>
      </c>
      <c r="DK247">
        <v>1</v>
      </c>
      <c r="DL247" t="s">
        <v>3</v>
      </c>
      <c r="DM247">
        <v>0</v>
      </c>
      <c r="DN247" t="s">
        <v>3</v>
      </c>
      <c r="DO247">
        <v>0</v>
      </c>
    </row>
    <row r="248" spans="1:119" x14ac:dyDescent="0.2">
      <c r="A248">
        <f>ROW(Source!A205)</f>
        <v>205</v>
      </c>
      <c r="B248">
        <v>74014550</v>
      </c>
      <c r="C248">
        <v>74016763</v>
      </c>
      <c r="D248">
        <v>72647089</v>
      </c>
      <c r="E248">
        <v>1</v>
      </c>
      <c r="F248">
        <v>1</v>
      </c>
      <c r="G248">
        <v>1</v>
      </c>
      <c r="H248">
        <v>2</v>
      </c>
      <c r="I248" t="s">
        <v>588</v>
      </c>
      <c r="J248" t="s">
        <v>589</v>
      </c>
      <c r="K248" t="s">
        <v>590</v>
      </c>
      <c r="L248">
        <v>1368</v>
      </c>
      <c r="N248">
        <v>1011</v>
      </c>
      <c r="O248" t="s">
        <v>488</v>
      </c>
      <c r="P248" t="s">
        <v>488</v>
      </c>
      <c r="Q248">
        <v>1</v>
      </c>
      <c r="W248">
        <v>0</v>
      </c>
      <c r="X248">
        <v>860887119</v>
      </c>
      <c r="Y248">
        <f t="shared" si="84"/>
        <v>0.38</v>
      </c>
      <c r="AA248">
        <v>0</v>
      </c>
      <c r="AB248">
        <v>13.81</v>
      </c>
      <c r="AC248">
        <v>0</v>
      </c>
      <c r="AD248">
        <v>0</v>
      </c>
      <c r="AE248">
        <v>0</v>
      </c>
      <c r="AF248">
        <v>8.6300000000000008</v>
      </c>
      <c r="AG248">
        <v>0</v>
      </c>
      <c r="AH248">
        <v>0</v>
      </c>
      <c r="AI248">
        <v>1</v>
      </c>
      <c r="AJ248">
        <v>1.6</v>
      </c>
      <c r="AK248">
        <v>1</v>
      </c>
      <c r="AL248">
        <v>1</v>
      </c>
      <c r="AM248">
        <v>2</v>
      </c>
      <c r="AN248">
        <v>0</v>
      </c>
      <c r="AO248">
        <v>0</v>
      </c>
      <c r="AP248">
        <v>1</v>
      </c>
      <c r="AQ248">
        <v>1</v>
      </c>
      <c r="AR248">
        <v>0</v>
      </c>
      <c r="AS248" t="s">
        <v>3</v>
      </c>
      <c r="AT248">
        <v>0.38</v>
      </c>
      <c r="AU248" t="s">
        <v>3</v>
      </c>
      <c r="AV248">
        <v>1</v>
      </c>
      <c r="AW248">
        <v>2</v>
      </c>
      <c r="AX248">
        <v>74017900</v>
      </c>
      <c r="AY248">
        <v>1</v>
      </c>
      <c r="AZ248">
        <v>0</v>
      </c>
      <c r="BA248">
        <v>272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3.2794000000000003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3.2794000000000003</v>
      </c>
      <c r="BS248">
        <v>0</v>
      </c>
      <c r="BT248">
        <v>0</v>
      </c>
      <c r="BU248">
        <v>0</v>
      </c>
      <c r="BV248">
        <v>0</v>
      </c>
      <c r="BW248">
        <v>1</v>
      </c>
      <c r="CV248">
        <v>0</v>
      </c>
      <c r="CW248">
        <f>ROUND(Y248*Source!I205*DO248,7)</f>
        <v>0</v>
      </c>
      <c r="CX248">
        <f>ROUND(Y248*Source!I205,7)</f>
        <v>0.38</v>
      </c>
      <c r="CY248">
        <f>AB248</f>
        <v>13.81</v>
      </c>
      <c r="CZ248">
        <f>AF248</f>
        <v>8.6300000000000008</v>
      </c>
      <c r="DA248">
        <f>AJ248</f>
        <v>1.6</v>
      </c>
      <c r="DB248">
        <f t="shared" si="88"/>
        <v>3.28</v>
      </c>
      <c r="DC248">
        <f t="shared" si="89"/>
        <v>0</v>
      </c>
      <c r="DD248" t="s">
        <v>3</v>
      </c>
      <c r="DE248" t="s">
        <v>3</v>
      </c>
      <c r="DF248">
        <f>ROUND(ROUND(AE248,2)*CX248,2)</f>
        <v>0</v>
      </c>
      <c r="DG248">
        <f>ROUND(ROUND(AF248*AJ248,2)*CX248,2)</f>
        <v>5.25</v>
      </c>
      <c r="DH248">
        <f t="shared" si="75"/>
        <v>0</v>
      </c>
      <c r="DI248">
        <f t="shared" si="76"/>
        <v>0</v>
      </c>
      <c r="DJ248">
        <f>DG248+DH248</f>
        <v>5.25</v>
      </c>
      <c r="DK248">
        <v>0</v>
      </c>
      <c r="DL248" t="s">
        <v>3</v>
      </c>
      <c r="DM248">
        <v>0</v>
      </c>
      <c r="DN248" t="s">
        <v>3</v>
      </c>
      <c r="DO248">
        <v>0</v>
      </c>
    </row>
    <row r="249" spans="1:119" x14ac:dyDescent="0.2">
      <c r="A249">
        <f>ROW(Source!A205)</f>
        <v>205</v>
      </c>
      <c r="B249">
        <v>74014550</v>
      </c>
      <c r="C249">
        <v>74016763</v>
      </c>
      <c r="D249">
        <v>72589277</v>
      </c>
      <c r="E249">
        <v>1</v>
      </c>
      <c r="F249">
        <v>1</v>
      </c>
      <c r="G249">
        <v>1</v>
      </c>
      <c r="H249">
        <v>3</v>
      </c>
      <c r="I249" t="s">
        <v>602</v>
      </c>
      <c r="J249" t="s">
        <v>603</v>
      </c>
      <c r="K249" t="s">
        <v>604</v>
      </c>
      <c r="L249">
        <v>1346</v>
      </c>
      <c r="N249">
        <v>1009</v>
      </c>
      <c r="O249" t="s">
        <v>314</v>
      </c>
      <c r="P249" t="s">
        <v>314</v>
      </c>
      <c r="Q249">
        <v>1</v>
      </c>
      <c r="W249">
        <v>0</v>
      </c>
      <c r="X249">
        <v>478489546</v>
      </c>
      <c r="Y249">
        <f t="shared" si="84"/>
        <v>0.04</v>
      </c>
      <c r="AA249">
        <v>1002.64</v>
      </c>
      <c r="AB249">
        <v>0</v>
      </c>
      <c r="AC249">
        <v>0</v>
      </c>
      <c r="AD249">
        <v>0</v>
      </c>
      <c r="AE249">
        <v>596.80999999999995</v>
      </c>
      <c r="AF249">
        <v>0</v>
      </c>
      <c r="AG249">
        <v>0</v>
      </c>
      <c r="AH249">
        <v>0</v>
      </c>
      <c r="AI249">
        <v>1.68</v>
      </c>
      <c r="AJ249">
        <v>1</v>
      </c>
      <c r="AK249">
        <v>1</v>
      </c>
      <c r="AL249">
        <v>1</v>
      </c>
      <c r="AM249">
        <v>2</v>
      </c>
      <c r="AN249">
        <v>0</v>
      </c>
      <c r="AO249">
        <v>0</v>
      </c>
      <c r="AP249">
        <v>1</v>
      </c>
      <c r="AQ249">
        <v>1</v>
      </c>
      <c r="AR249">
        <v>0</v>
      </c>
      <c r="AS249" t="s">
        <v>3</v>
      </c>
      <c r="AT249">
        <v>0.04</v>
      </c>
      <c r="AU249" t="s">
        <v>3</v>
      </c>
      <c r="AV249">
        <v>0</v>
      </c>
      <c r="AW249">
        <v>2</v>
      </c>
      <c r="AX249">
        <v>74017901</v>
      </c>
      <c r="AY249">
        <v>1</v>
      </c>
      <c r="AZ249">
        <v>0</v>
      </c>
      <c r="BA249">
        <v>273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23.872399999999999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23.872399999999999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CV249">
        <v>0</v>
      </c>
      <c r="CW249">
        <v>0</v>
      </c>
      <c r="CX249">
        <f>ROUND(Y249*Source!I205,7)</f>
        <v>0.04</v>
      </c>
      <c r="CY249">
        <f>AA249</f>
        <v>1002.64</v>
      </c>
      <c r="CZ249">
        <f>AE249</f>
        <v>596.80999999999995</v>
      </c>
      <c r="DA249">
        <f>AI249</f>
        <v>1.68</v>
      </c>
      <c r="DB249">
        <f t="shared" si="88"/>
        <v>23.87</v>
      </c>
      <c r="DC249">
        <f t="shared" si="89"/>
        <v>0</v>
      </c>
      <c r="DD249" t="s">
        <v>3</v>
      </c>
      <c r="DE249" t="s">
        <v>3</v>
      </c>
      <c r="DF249">
        <f>ROUND(ROUND(AE249*AI249,2)*CX249,2)</f>
        <v>40.11</v>
      </c>
      <c r="DG249">
        <f>ROUND(ROUND(AF249,2)*CX249,2)</f>
        <v>0</v>
      </c>
      <c r="DH249">
        <f t="shared" si="75"/>
        <v>0</v>
      </c>
      <c r="DI249">
        <f t="shared" si="76"/>
        <v>0</v>
      </c>
      <c r="DJ249">
        <f>DF249</f>
        <v>40.11</v>
      </c>
      <c r="DK249">
        <v>0</v>
      </c>
      <c r="DL249" t="s">
        <v>3</v>
      </c>
      <c r="DM249">
        <v>0</v>
      </c>
      <c r="DN249" t="s">
        <v>3</v>
      </c>
      <c r="DO249">
        <v>0</v>
      </c>
    </row>
    <row r="250" spans="1:119" x14ac:dyDescent="0.2">
      <c r="A250">
        <f>ROW(Source!A205)</f>
        <v>205</v>
      </c>
      <c r="B250">
        <v>74014550</v>
      </c>
      <c r="C250">
        <v>74016763</v>
      </c>
      <c r="D250">
        <v>72635740</v>
      </c>
      <c r="E250">
        <v>1</v>
      </c>
      <c r="F250">
        <v>1</v>
      </c>
      <c r="G250">
        <v>1</v>
      </c>
      <c r="H250">
        <v>3</v>
      </c>
      <c r="I250" t="s">
        <v>390</v>
      </c>
      <c r="J250" t="s">
        <v>392</v>
      </c>
      <c r="K250" t="s">
        <v>391</v>
      </c>
      <c r="L250">
        <v>1371</v>
      </c>
      <c r="N250">
        <v>1013</v>
      </c>
      <c r="O250" t="s">
        <v>130</v>
      </c>
      <c r="P250" t="s">
        <v>130</v>
      </c>
      <c r="Q250">
        <v>1</v>
      </c>
      <c r="W250">
        <v>0</v>
      </c>
      <c r="X250">
        <v>-1971811453</v>
      </c>
      <c r="Y250">
        <f t="shared" si="84"/>
        <v>1</v>
      </c>
      <c r="AA250">
        <v>3075.37</v>
      </c>
      <c r="AB250">
        <v>0</v>
      </c>
      <c r="AC250">
        <v>0</v>
      </c>
      <c r="AD250">
        <v>0</v>
      </c>
      <c r="AE250">
        <v>3106.43</v>
      </c>
      <c r="AF250">
        <v>0</v>
      </c>
      <c r="AG250">
        <v>0</v>
      </c>
      <c r="AH250">
        <v>0</v>
      </c>
      <c r="AI250">
        <v>0.99</v>
      </c>
      <c r="AJ250">
        <v>1</v>
      </c>
      <c r="AK250">
        <v>1</v>
      </c>
      <c r="AL250">
        <v>1</v>
      </c>
      <c r="AM250">
        <v>0</v>
      </c>
      <c r="AN250">
        <v>0</v>
      </c>
      <c r="AO250">
        <v>0</v>
      </c>
      <c r="AP250">
        <v>1</v>
      </c>
      <c r="AQ250">
        <v>0</v>
      </c>
      <c r="AR250">
        <v>0</v>
      </c>
      <c r="AS250" t="s">
        <v>3</v>
      </c>
      <c r="AT250">
        <v>1</v>
      </c>
      <c r="AU250" t="s">
        <v>3</v>
      </c>
      <c r="AV250">
        <v>0</v>
      </c>
      <c r="AW250">
        <v>1</v>
      </c>
      <c r="AX250">
        <v>-1</v>
      </c>
      <c r="AY250">
        <v>0</v>
      </c>
      <c r="AZ250">
        <v>0</v>
      </c>
      <c r="BA250" t="s">
        <v>3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CV250">
        <v>0</v>
      </c>
      <c r="CW250">
        <v>0</v>
      </c>
      <c r="CX250">
        <f>ROUND(Y250*Source!I205,7)</f>
        <v>1</v>
      </c>
      <c r="CY250">
        <f>AA250</f>
        <v>3075.37</v>
      </c>
      <c r="CZ250">
        <f>AE250</f>
        <v>3106.43</v>
      </c>
      <c r="DA250">
        <f>AI250</f>
        <v>0.99</v>
      </c>
      <c r="DB250">
        <f t="shared" si="88"/>
        <v>3106.43</v>
      </c>
      <c r="DC250">
        <f t="shared" si="89"/>
        <v>0</v>
      </c>
      <c r="DD250" t="s">
        <v>3</v>
      </c>
      <c r="DE250" t="s">
        <v>3</v>
      </c>
      <c r="DF250">
        <f>ROUND(ROUND(AE250*AI250,2)*CX250,2)</f>
        <v>3075.37</v>
      </c>
      <c r="DG250">
        <f>ROUND(ROUND(AF250,2)*CX250,2)</f>
        <v>0</v>
      </c>
      <c r="DH250">
        <f t="shared" si="75"/>
        <v>0</v>
      </c>
      <c r="DI250">
        <f t="shared" si="76"/>
        <v>0</v>
      </c>
      <c r="DJ250">
        <f>DF250</f>
        <v>3075.37</v>
      </c>
      <c r="DK250">
        <v>0</v>
      </c>
      <c r="DL250" t="s">
        <v>3</v>
      </c>
      <c r="DM250">
        <v>0</v>
      </c>
      <c r="DN250" t="s">
        <v>3</v>
      </c>
      <c r="DO250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4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ROW(Source!A28)</f>
        <v>28</v>
      </c>
      <c r="B1">
        <v>74015990</v>
      </c>
      <c r="C1">
        <v>74015987</v>
      </c>
      <c r="D1">
        <v>20049115</v>
      </c>
      <c r="E1">
        <v>117</v>
      </c>
      <c r="F1">
        <v>1</v>
      </c>
      <c r="G1">
        <v>1</v>
      </c>
      <c r="H1">
        <v>1</v>
      </c>
      <c r="I1" t="s">
        <v>482</v>
      </c>
      <c r="J1" t="s">
        <v>3</v>
      </c>
      <c r="K1" t="s">
        <v>483</v>
      </c>
      <c r="L1">
        <v>1191</v>
      </c>
      <c r="N1">
        <v>1013</v>
      </c>
      <c r="O1" t="s">
        <v>484</v>
      </c>
      <c r="P1" t="s">
        <v>484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74015988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ROW(Source!A28)</f>
        <v>28</v>
      </c>
      <c r="B2">
        <v>74015991</v>
      </c>
      <c r="C2">
        <v>74015987</v>
      </c>
      <c r="D2">
        <v>68782761</v>
      </c>
      <c r="E2">
        <v>1</v>
      </c>
      <c r="F2">
        <v>1</v>
      </c>
      <c r="G2">
        <v>1</v>
      </c>
      <c r="H2">
        <v>2</v>
      </c>
      <c r="I2" t="s">
        <v>485</v>
      </c>
      <c r="J2" t="s">
        <v>486</v>
      </c>
      <c r="K2" t="s">
        <v>487</v>
      </c>
      <c r="L2">
        <v>1368</v>
      </c>
      <c r="N2">
        <v>1011</v>
      </c>
      <c r="O2" t="s">
        <v>488</v>
      </c>
      <c r="P2" t="s">
        <v>488</v>
      </c>
      <c r="Q2">
        <v>1</v>
      </c>
      <c r="X2">
        <v>25.5</v>
      </c>
      <c r="Y2">
        <v>0</v>
      </c>
      <c r="Z2">
        <v>1054.03</v>
      </c>
      <c r="AA2">
        <v>492.17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74015989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ROW(Source!A29)</f>
        <v>29</v>
      </c>
      <c r="B3">
        <v>74017904</v>
      </c>
      <c r="C3">
        <v>74015992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490</v>
      </c>
      <c r="J3" t="s">
        <v>3</v>
      </c>
      <c r="K3" t="s">
        <v>491</v>
      </c>
      <c r="L3">
        <v>1191</v>
      </c>
      <c r="N3">
        <v>1013</v>
      </c>
      <c r="O3" t="s">
        <v>484</v>
      </c>
      <c r="P3" t="s">
        <v>484</v>
      </c>
      <c r="Q3">
        <v>1</v>
      </c>
      <c r="X3">
        <v>154</v>
      </c>
      <c r="Y3">
        <v>0</v>
      </c>
      <c r="Z3">
        <v>0</v>
      </c>
      <c r="AA3">
        <v>0</v>
      </c>
      <c r="AB3">
        <v>325.57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74017904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ROW(Source!A30)</f>
        <v>30</v>
      </c>
      <c r="B4">
        <v>74015999</v>
      </c>
      <c r="C4">
        <v>74015995</v>
      </c>
      <c r="D4">
        <v>20050957</v>
      </c>
      <c r="E4">
        <v>119</v>
      </c>
      <c r="F4">
        <v>1</v>
      </c>
      <c r="G4">
        <v>1</v>
      </c>
      <c r="H4">
        <v>1</v>
      </c>
      <c r="I4" t="s">
        <v>492</v>
      </c>
      <c r="J4" t="s">
        <v>3</v>
      </c>
      <c r="K4" t="s">
        <v>493</v>
      </c>
      <c r="L4">
        <v>1191</v>
      </c>
      <c r="N4">
        <v>1013</v>
      </c>
      <c r="O4" t="s">
        <v>484</v>
      </c>
      <c r="P4" t="s">
        <v>484</v>
      </c>
      <c r="Q4">
        <v>1</v>
      </c>
      <c r="X4">
        <v>10.199999999999999</v>
      </c>
      <c r="Y4">
        <v>0</v>
      </c>
      <c r="Z4">
        <v>0</v>
      </c>
      <c r="AA4">
        <v>0</v>
      </c>
      <c r="AB4">
        <v>340.51</v>
      </c>
      <c r="AC4">
        <v>0</v>
      </c>
      <c r="AD4">
        <v>1</v>
      </c>
      <c r="AE4">
        <v>1</v>
      </c>
      <c r="AF4" t="s">
        <v>3</v>
      </c>
      <c r="AG4">
        <v>10.199999999999999</v>
      </c>
      <c r="AH4">
        <v>2</v>
      </c>
      <c r="AI4">
        <v>74015996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ROW(Source!A30)</f>
        <v>30</v>
      </c>
      <c r="B5">
        <v>74016000</v>
      </c>
      <c r="C5">
        <v>74015995</v>
      </c>
      <c r="D5">
        <v>20049115</v>
      </c>
      <c r="E5">
        <v>119</v>
      </c>
      <c r="F5">
        <v>1</v>
      </c>
      <c r="G5">
        <v>1</v>
      </c>
      <c r="H5">
        <v>1</v>
      </c>
      <c r="I5" t="s">
        <v>482</v>
      </c>
      <c r="J5" t="s">
        <v>3</v>
      </c>
      <c r="K5" t="s">
        <v>483</v>
      </c>
      <c r="L5">
        <v>1191</v>
      </c>
      <c r="N5">
        <v>1013</v>
      </c>
      <c r="O5" t="s">
        <v>484</v>
      </c>
      <c r="P5" t="s">
        <v>484</v>
      </c>
      <c r="Q5">
        <v>1</v>
      </c>
      <c r="X5">
        <v>0.32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 t="s">
        <v>3</v>
      </c>
      <c r="AG5">
        <v>0.32</v>
      </c>
      <c r="AH5">
        <v>2</v>
      </c>
      <c r="AI5">
        <v>74015997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ROW(Source!A30)</f>
        <v>30</v>
      </c>
      <c r="B6">
        <v>74016001</v>
      </c>
      <c r="C6">
        <v>74015995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494</v>
      </c>
      <c r="J6" t="s">
        <v>495</v>
      </c>
      <c r="K6" t="s">
        <v>496</v>
      </c>
      <c r="L6">
        <v>1368</v>
      </c>
      <c r="N6">
        <v>1011</v>
      </c>
      <c r="O6" t="s">
        <v>488</v>
      </c>
      <c r="P6" t="s">
        <v>488</v>
      </c>
      <c r="Q6">
        <v>1</v>
      </c>
      <c r="X6">
        <v>0.32</v>
      </c>
      <c r="Y6">
        <v>0</v>
      </c>
      <c r="Z6">
        <v>1681.82</v>
      </c>
      <c r="AA6">
        <v>459.98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0.32</v>
      </c>
      <c r="AH6">
        <v>2</v>
      </c>
      <c r="AI6">
        <v>74015998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ROW(Source!A30)</f>
        <v>30</v>
      </c>
      <c r="B7">
        <v>74016002</v>
      </c>
      <c r="C7">
        <v>74015995</v>
      </c>
      <c r="D7">
        <v>72519891</v>
      </c>
      <c r="E7">
        <v>119</v>
      </c>
      <c r="F7">
        <v>1</v>
      </c>
      <c r="G7">
        <v>1</v>
      </c>
      <c r="H7">
        <v>3</v>
      </c>
      <c r="I7" t="s">
        <v>767</v>
      </c>
      <c r="J7" t="s">
        <v>3</v>
      </c>
      <c r="K7" t="s">
        <v>768</v>
      </c>
      <c r="L7">
        <v>1339</v>
      </c>
      <c r="N7">
        <v>1007</v>
      </c>
      <c r="O7" t="s">
        <v>48</v>
      </c>
      <c r="P7" t="s">
        <v>48</v>
      </c>
      <c r="Q7">
        <v>1</v>
      </c>
      <c r="X7">
        <v>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 t="s">
        <v>3</v>
      </c>
      <c r="AG7">
        <v>11</v>
      </c>
      <c r="AH7">
        <v>3</v>
      </c>
      <c r="AI7">
        <v>-1</v>
      </c>
      <c r="AJ7" t="s">
        <v>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ROW(Source!A32)</f>
        <v>32</v>
      </c>
      <c r="B8">
        <v>74016007</v>
      </c>
      <c r="C8">
        <v>74016004</v>
      </c>
      <c r="D8">
        <v>20049115</v>
      </c>
      <c r="E8">
        <v>117</v>
      </c>
      <c r="F8">
        <v>1</v>
      </c>
      <c r="G8">
        <v>1</v>
      </c>
      <c r="H8">
        <v>1</v>
      </c>
      <c r="I8" t="s">
        <v>482</v>
      </c>
      <c r="J8" t="s">
        <v>3</v>
      </c>
      <c r="K8" t="s">
        <v>483</v>
      </c>
      <c r="L8">
        <v>1191</v>
      </c>
      <c r="N8">
        <v>1013</v>
      </c>
      <c r="O8" t="s">
        <v>484</v>
      </c>
      <c r="P8" t="s">
        <v>484</v>
      </c>
      <c r="Q8">
        <v>1</v>
      </c>
      <c r="X8">
        <v>8.06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8.06</v>
      </c>
      <c r="AH8">
        <v>2</v>
      </c>
      <c r="AI8">
        <v>74016005</v>
      </c>
      <c r="AJ8">
        <v>7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ROW(Source!A32)</f>
        <v>32</v>
      </c>
      <c r="B9">
        <v>74016008</v>
      </c>
      <c r="C9">
        <v>74016004</v>
      </c>
      <c r="D9">
        <v>68782715</v>
      </c>
      <c r="E9">
        <v>1</v>
      </c>
      <c r="F9">
        <v>1</v>
      </c>
      <c r="G9">
        <v>1</v>
      </c>
      <c r="H9">
        <v>2</v>
      </c>
      <c r="I9" t="s">
        <v>498</v>
      </c>
      <c r="J9" t="s">
        <v>499</v>
      </c>
      <c r="K9" t="s">
        <v>500</v>
      </c>
      <c r="L9">
        <v>1368</v>
      </c>
      <c r="N9">
        <v>1011</v>
      </c>
      <c r="O9" t="s">
        <v>488</v>
      </c>
      <c r="P9" t="s">
        <v>488</v>
      </c>
      <c r="Q9">
        <v>1</v>
      </c>
      <c r="X9">
        <v>8.06</v>
      </c>
      <c r="Y9">
        <v>0</v>
      </c>
      <c r="Z9">
        <v>828.16</v>
      </c>
      <c r="AA9">
        <v>421.08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8.06</v>
      </c>
      <c r="AH9">
        <v>2</v>
      </c>
      <c r="AI9">
        <v>74016006</v>
      </c>
      <c r="AJ9">
        <v>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ROW(Source!A33)</f>
        <v>33</v>
      </c>
      <c r="B10">
        <v>74016011</v>
      </c>
      <c r="C10">
        <v>74016009</v>
      </c>
      <c r="D10">
        <v>20055744</v>
      </c>
      <c r="E10">
        <v>117</v>
      </c>
      <c r="F10">
        <v>1</v>
      </c>
      <c r="G10">
        <v>1</v>
      </c>
      <c r="H10">
        <v>1</v>
      </c>
      <c r="I10" t="s">
        <v>501</v>
      </c>
      <c r="J10" t="s">
        <v>3</v>
      </c>
      <c r="K10" t="s">
        <v>502</v>
      </c>
      <c r="L10">
        <v>1191</v>
      </c>
      <c r="N10">
        <v>1013</v>
      </c>
      <c r="O10" t="s">
        <v>484</v>
      </c>
      <c r="P10" t="s">
        <v>484</v>
      </c>
      <c r="Q10">
        <v>1</v>
      </c>
      <c r="X10">
        <v>97.2</v>
      </c>
      <c r="Y10">
        <v>0</v>
      </c>
      <c r="Z10">
        <v>0</v>
      </c>
      <c r="AA10">
        <v>0</v>
      </c>
      <c r="AB10">
        <v>285.73</v>
      </c>
      <c r="AC10">
        <v>0</v>
      </c>
      <c r="AD10">
        <v>1</v>
      </c>
      <c r="AE10">
        <v>1</v>
      </c>
      <c r="AF10" t="s">
        <v>3</v>
      </c>
      <c r="AG10">
        <v>97.2</v>
      </c>
      <c r="AH10">
        <v>2</v>
      </c>
      <c r="AI10">
        <v>74016010</v>
      </c>
      <c r="AJ10">
        <v>9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ROW(Source!A69)</f>
        <v>69</v>
      </c>
      <c r="B11">
        <v>74016773</v>
      </c>
      <c r="C11">
        <v>74016070</v>
      </c>
      <c r="D11">
        <v>72518640</v>
      </c>
      <c r="E11">
        <v>119</v>
      </c>
      <c r="F11">
        <v>1</v>
      </c>
      <c r="G11">
        <v>1</v>
      </c>
      <c r="H11">
        <v>1</v>
      </c>
      <c r="I11" t="s">
        <v>503</v>
      </c>
      <c r="J11" t="s">
        <v>3</v>
      </c>
      <c r="K11" t="s">
        <v>504</v>
      </c>
      <c r="L11">
        <v>1191</v>
      </c>
      <c r="N11">
        <v>1013</v>
      </c>
      <c r="O11" t="s">
        <v>484</v>
      </c>
      <c r="P11" t="s">
        <v>484</v>
      </c>
      <c r="Q11">
        <v>1</v>
      </c>
      <c r="X11">
        <v>20.51</v>
      </c>
      <c r="Y11">
        <v>0</v>
      </c>
      <c r="Z11">
        <v>0</v>
      </c>
      <c r="AA11">
        <v>0</v>
      </c>
      <c r="AB11">
        <v>373.36</v>
      </c>
      <c r="AC11">
        <v>0</v>
      </c>
      <c r="AD11">
        <v>1</v>
      </c>
      <c r="AE11">
        <v>1</v>
      </c>
      <c r="AF11" t="s">
        <v>3</v>
      </c>
      <c r="AG11">
        <v>20.51</v>
      </c>
      <c r="AH11">
        <v>2</v>
      </c>
      <c r="AI11">
        <v>74016773</v>
      </c>
      <c r="AJ11">
        <v>10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ROW(Source!A69)</f>
        <v>69</v>
      </c>
      <c r="B12">
        <v>74016774</v>
      </c>
      <c r="C12">
        <v>74016070</v>
      </c>
      <c r="D12">
        <v>72518826</v>
      </c>
      <c r="E12">
        <v>119</v>
      </c>
      <c r="F12">
        <v>1</v>
      </c>
      <c r="G12">
        <v>1</v>
      </c>
      <c r="H12">
        <v>1</v>
      </c>
      <c r="I12" t="s">
        <v>482</v>
      </c>
      <c r="J12" t="s">
        <v>3</v>
      </c>
      <c r="K12" t="s">
        <v>483</v>
      </c>
      <c r="L12">
        <v>1191</v>
      </c>
      <c r="N12">
        <v>1013</v>
      </c>
      <c r="O12" t="s">
        <v>484</v>
      </c>
      <c r="P12" t="s">
        <v>484</v>
      </c>
      <c r="Q12">
        <v>1</v>
      </c>
      <c r="X12">
        <v>11.96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 t="s">
        <v>3</v>
      </c>
      <c r="AG12">
        <v>11.96</v>
      </c>
      <c r="AH12">
        <v>2</v>
      </c>
      <c r="AI12">
        <v>74016774</v>
      </c>
      <c r="AJ12">
        <v>11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ROW(Source!A69)</f>
        <v>69</v>
      </c>
      <c r="B13">
        <v>74016775</v>
      </c>
      <c r="C13">
        <v>74016070</v>
      </c>
      <c r="D13">
        <v>72646682</v>
      </c>
      <c r="E13">
        <v>1</v>
      </c>
      <c r="F13">
        <v>1</v>
      </c>
      <c r="G13">
        <v>1</v>
      </c>
      <c r="H13">
        <v>2</v>
      </c>
      <c r="I13" t="s">
        <v>505</v>
      </c>
      <c r="J13" t="s">
        <v>506</v>
      </c>
      <c r="K13" t="s">
        <v>507</v>
      </c>
      <c r="L13">
        <v>1368</v>
      </c>
      <c r="N13">
        <v>1011</v>
      </c>
      <c r="O13" t="s">
        <v>488</v>
      </c>
      <c r="P13" t="s">
        <v>488</v>
      </c>
      <c r="Q13">
        <v>1</v>
      </c>
      <c r="X13">
        <v>11.44</v>
      </c>
      <c r="Y13">
        <v>0</v>
      </c>
      <c r="Z13">
        <v>994.01</v>
      </c>
      <c r="AA13">
        <v>459.98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11.44</v>
      </c>
      <c r="AH13">
        <v>2</v>
      </c>
      <c r="AI13">
        <v>74016775</v>
      </c>
      <c r="AJ13">
        <v>12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ROW(Source!A69)</f>
        <v>69</v>
      </c>
      <c r="B14">
        <v>74016776</v>
      </c>
      <c r="C14">
        <v>74016070</v>
      </c>
      <c r="D14">
        <v>72647129</v>
      </c>
      <c r="E14">
        <v>1</v>
      </c>
      <c r="F14">
        <v>1</v>
      </c>
      <c r="G14">
        <v>1</v>
      </c>
      <c r="H14">
        <v>2</v>
      </c>
      <c r="I14" t="s">
        <v>508</v>
      </c>
      <c r="J14" t="s">
        <v>509</v>
      </c>
      <c r="K14" t="s">
        <v>510</v>
      </c>
      <c r="L14">
        <v>1368</v>
      </c>
      <c r="N14">
        <v>1011</v>
      </c>
      <c r="O14" t="s">
        <v>488</v>
      </c>
      <c r="P14" t="s">
        <v>488</v>
      </c>
      <c r="Q14">
        <v>1</v>
      </c>
      <c r="X14">
        <v>2.0699999999999998</v>
      </c>
      <c r="Y14">
        <v>0</v>
      </c>
      <c r="Z14">
        <v>43.87</v>
      </c>
      <c r="AA14">
        <v>0</v>
      </c>
      <c r="AB14">
        <v>0</v>
      </c>
      <c r="AC14">
        <v>0</v>
      </c>
      <c r="AD14">
        <v>1</v>
      </c>
      <c r="AE14">
        <v>0</v>
      </c>
      <c r="AF14" t="s">
        <v>3</v>
      </c>
      <c r="AG14">
        <v>2.0699999999999998</v>
      </c>
      <c r="AH14">
        <v>2</v>
      </c>
      <c r="AI14">
        <v>74016776</v>
      </c>
      <c r="AJ14">
        <v>13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ROW(Source!A69)</f>
        <v>69</v>
      </c>
      <c r="B15">
        <v>74016777</v>
      </c>
      <c r="C15">
        <v>74016070</v>
      </c>
      <c r="D15">
        <v>72647141</v>
      </c>
      <c r="E15">
        <v>1</v>
      </c>
      <c r="F15">
        <v>1</v>
      </c>
      <c r="G15">
        <v>1</v>
      </c>
      <c r="H15">
        <v>2</v>
      </c>
      <c r="I15" t="s">
        <v>511</v>
      </c>
      <c r="J15" t="s">
        <v>512</v>
      </c>
      <c r="K15" t="s">
        <v>513</v>
      </c>
      <c r="L15">
        <v>1368</v>
      </c>
      <c r="N15">
        <v>1011</v>
      </c>
      <c r="O15" t="s">
        <v>488</v>
      </c>
      <c r="P15" t="s">
        <v>488</v>
      </c>
      <c r="Q15">
        <v>1</v>
      </c>
      <c r="X15">
        <v>0.52</v>
      </c>
      <c r="Y15">
        <v>0</v>
      </c>
      <c r="Z15">
        <v>417.12</v>
      </c>
      <c r="AA15">
        <v>400.24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0.52</v>
      </c>
      <c r="AH15">
        <v>2</v>
      </c>
      <c r="AI15">
        <v>74016777</v>
      </c>
      <c r="AJ15">
        <v>14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ROW(Source!A69)</f>
        <v>69</v>
      </c>
      <c r="B16">
        <v>74016778</v>
      </c>
      <c r="C16">
        <v>74016070</v>
      </c>
      <c r="D16">
        <v>72647493</v>
      </c>
      <c r="E16">
        <v>1</v>
      </c>
      <c r="F16">
        <v>1</v>
      </c>
      <c r="G16">
        <v>1</v>
      </c>
      <c r="H16">
        <v>2</v>
      </c>
      <c r="I16" t="s">
        <v>515</v>
      </c>
      <c r="J16" t="s">
        <v>516</v>
      </c>
      <c r="K16" t="s">
        <v>517</v>
      </c>
      <c r="L16">
        <v>1368</v>
      </c>
      <c r="N16">
        <v>1011</v>
      </c>
      <c r="O16" t="s">
        <v>488</v>
      </c>
      <c r="P16" t="s">
        <v>488</v>
      </c>
      <c r="Q16">
        <v>1</v>
      </c>
      <c r="X16">
        <v>0.52</v>
      </c>
      <c r="Y16">
        <v>0</v>
      </c>
      <c r="Z16">
        <v>4.5199999999999996</v>
      </c>
      <c r="AA16">
        <v>0</v>
      </c>
      <c r="AB16">
        <v>0</v>
      </c>
      <c r="AC16">
        <v>0</v>
      </c>
      <c r="AD16">
        <v>1</v>
      </c>
      <c r="AE16">
        <v>0</v>
      </c>
      <c r="AF16" t="s">
        <v>3</v>
      </c>
      <c r="AG16">
        <v>0.52</v>
      </c>
      <c r="AH16">
        <v>2</v>
      </c>
      <c r="AI16">
        <v>74016778</v>
      </c>
      <c r="AJ16">
        <v>15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ROW(Source!A69)</f>
        <v>69</v>
      </c>
      <c r="B17">
        <v>74016779</v>
      </c>
      <c r="C17">
        <v>74016070</v>
      </c>
      <c r="D17">
        <v>72591353</v>
      </c>
      <c r="E17">
        <v>1</v>
      </c>
      <c r="F17">
        <v>1</v>
      </c>
      <c r="G17">
        <v>1</v>
      </c>
      <c r="H17">
        <v>3</v>
      </c>
      <c r="I17" t="s">
        <v>518</v>
      </c>
      <c r="J17" t="s">
        <v>519</v>
      </c>
      <c r="K17" t="s">
        <v>520</v>
      </c>
      <c r="L17">
        <v>1383</v>
      </c>
      <c r="N17">
        <v>1013</v>
      </c>
      <c r="O17" t="s">
        <v>521</v>
      </c>
      <c r="P17" t="s">
        <v>521</v>
      </c>
      <c r="Q17">
        <v>1</v>
      </c>
      <c r="X17">
        <v>1.3859999999999999</v>
      </c>
      <c r="Y17">
        <v>9.5500000000000007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 t="s">
        <v>3</v>
      </c>
      <c r="AG17">
        <v>1.3859999999999999</v>
      </c>
      <c r="AH17">
        <v>2</v>
      </c>
      <c r="AI17">
        <v>74016779</v>
      </c>
      <c r="AJ17">
        <v>16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ROW(Source!A69)</f>
        <v>69</v>
      </c>
      <c r="B18">
        <v>74016780</v>
      </c>
      <c r="C18">
        <v>74016070</v>
      </c>
      <c r="D18">
        <v>72592092</v>
      </c>
      <c r="E18">
        <v>1</v>
      </c>
      <c r="F18">
        <v>1</v>
      </c>
      <c r="G18">
        <v>1</v>
      </c>
      <c r="H18">
        <v>3</v>
      </c>
      <c r="I18" t="s">
        <v>522</v>
      </c>
      <c r="J18" t="s">
        <v>523</v>
      </c>
      <c r="K18" t="s">
        <v>524</v>
      </c>
      <c r="L18">
        <v>1346</v>
      </c>
      <c r="N18">
        <v>1009</v>
      </c>
      <c r="O18" t="s">
        <v>314</v>
      </c>
      <c r="P18" t="s">
        <v>314</v>
      </c>
      <c r="Q18">
        <v>1</v>
      </c>
      <c r="X18">
        <v>0.7</v>
      </c>
      <c r="Y18">
        <v>131.85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0.7</v>
      </c>
      <c r="AH18">
        <v>2</v>
      </c>
      <c r="AI18">
        <v>74016780</v>
      </c>
      <c r="AJ18">
        <v>17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ROW(Source!A69)</f>
        <v>69</v>
      </c>
      <c r="B19">
        <v>74016781</v>
      </c>
      <c r="C19">
        <v>74016070</v>
      </c>
      <c r="D19">
        <v>72592880</v>
      </c>
      <c r="E19">
        <v>1</v>
      </c>
      <c r="F19">
        <v>1</v>
      </c>
      <c r="G19">
        <v>1</v>
      </c>
      <c r="H19">
        <v>3</v>
      </c>
      <c r="I19" t="s">
        <v>525</v>
      </c>
      <c r="J19" t="s">
        <v>526</v>
      </c>
      <c r="K19" t="s">
        <v>527</v>
      </c>
      <c r="L19">
        <v>1348</v>
      </c>
      <c r="N19">
        <v>1009</v>
      </c>
      <c r="O19" t="s">
        <v>243</v>
      </c>
      <c r="P19" t="s">
        <v>243</v>
      </c>
      <c r="Q19">
        <v>1000</v>
      </c>
      <c r="X19">
        <v>4.0000000000000002E-4</v>
      </c>
      <c r="Y19">
        <v>108495.2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4.0000000000000002E-4</v>
      </c>
      <c r="AH19">
        <v>2</v>
      </c>
      <c r="AI19">
        <v>74016781</v>
      </c>
      <c r="AJ19">
        <v>18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ROW(Source!A69)</f>
        <v>69</v>
      </c>
      <c r="B20">
        <v>74016782</v>
      </c>
      <c r="C20">
        <v>74016070</v>
      </c>
      <c r="D20">
        <v>72598246</v>
      </c>
      <c r="E20">
        <v>1</v>
      </c>
      <c r="F20">
        <v>1</v>
      </c>
      <c r="G20">
        <v>1</v>
      </c>
      <c r="H20">
        <v>3</v>
      </c>
      <c r="I20" t="s">
        <v>528</v>
      </c>
      <c r="J20" t="s">
        <v>529</v>
      </c>
      <c r="K20" t="s">
        <v>530</v>
      </c>
      <c r="L20">
        <v>1346</v>
      </c>
      <c r="N20">
        <v>1009</v>
      </c>
      <c r="O20" t="s">
        <v>314</v>
      </c>
      <c r="P20" t="s">
        <v>314</v>
      </c>
      <c r="Q20">
        <v>1</v>
      </c>
      <c r="X20">
        <v>1</v>
      </c>
      <c r="Y20">
        <v>44.55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1</v>
      </c>
      <c r="AH20">
        <v>2</v>
      </c>
      <c r="AI20">
        <v>74016782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ROW(Source!A69)</f>
        <v>69</v>
      </c>
      <c r="B21">
        <v>74016783</v>
      </c>
      <c r="C21">
        <v>74016070</v>
      </c>
      <c r="D21">
        <v>72610535</v>
      </c>
      <c r="E21">
        <v>1</v>
      </c>
      <c r="F21">
        <v>1</v>
      </c>
      <c r="G21">
        <v>1</v>
      </c>
      <c r="H21">
        <v>3</v>
      </c>
      <c r="I21" t="s">
        <v>531</v>
      </c>
      <c r="J21" t="s">
        <v>532</v>
      </c>
      <c r="K21" t="s">
        <v>533</v>
      </c>
      <c r="L21">
        <v>1348</v>
      </c>
      <c r="N21">
        <v>1009</v>
      </c>
      <c r="O21" t="s">
        <v>243</v>
      </c>
      <c r="P21" t="s">
        <v>243</v>
      </c>
      <c r="Q21">
        <v>1000</v>
      </c>
      <c r="X21">
        <v>1.4E-3</v>
      </c>
      <c r="Y21">
        <v>74437.320000000007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1.4E-3</v>
      </c>
      <c r="AH21">
        <v>2</v>
      </c>
      <c r="AI21">
        <v>74016783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ROW(Source!A69)</f>
        <v>69</v>
      </c>
      <c r="B22">
        <v>74016784</v>
      </c>
      <c r="C22">
        <v>74016070</v>
      </c>
      <c r="D22">
        <v>72610660</v>
      </c>
      <c r="E22">
        <v>1</v>
      </c>
      <c r="F22">
        <v>1</v>
      </c>
      <c r="G22">
        <v>1</v>
      </c>
      <c r="H22">
        <v>3</v>
      </c>
      <c r="I22" t="s">
        <v>534</v>
      </c>
      <c r="J22" t="s">
        <v>535</v>
      </c>
      <c r="K22" t="s">
        <v>536</v>
      </c>
      <c r="L22">
        <v>1348</v>
      </c>
      <c r="N22">
        <v>1009</v>
      </c>
      <c r="O22" t="s">
        <v>243</v>
      </c>
      <c r="P22" t="s">
        <v>243</v>
      </c>
      <c r="Q22">
        <v>1000</v>
      </c>
      <c r="X22">
        <v>3.5999999999999999E-3</v>
      </c>
      <c r="Y22">
        <v>260763.78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3.5999999999999999E-3</v>
      </c>
      <c r="AH22">
        <v>2</v>
      </c>
      <c r="AI22">
        <v>74016784</v>
      </c>
      <c r="AJ22">
        <v>21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ROW(Source!A69)</f>
        <v>69</v>
      </c>
      <c r="B23">
        <v>74016785</v>
      </c>
      <c r="C23">
        <v>74016070</v>
      </c>
      <c r="D23">
        <v>72610910</v>
      </c>
      <c r="E23">
        <v>1</v>
      </c>
      <c r="F23">
        <v>1</v>
      </c>
      <c r="G23">
        <v>1</v>
      </c>
      <c r="H23">
        <v>3</v>
      </c>
      <c r="I23" t="s">
        <v>537</v>
      </c>
      <c r="J23" t="s">
        <v>538</v>
      </c>
      <c r="K23" t="s">
        <v>539</v>
      </c>
      <c r="L23">
        <v>1348</v>
      </c>
      <c r="N23">
        <v>1009</v>
      </c>
      <c r="O23" t="s">
        <v>243</v>
      </c>
      <c r="P23" t="s">
        <v>243</v>
      </c>
      <c r="Q23">
        <v>1000</v>
      </c>
      <c r="X23">
        <v>2.2000000000000001E-4</v>
      </c>
      <c r="Y23">
        <v>75885.63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 t="s">
        <v>3</v>
      </c>
      <c r="AG23">
        <v>2.2000000000000001E-4</v>
      </c>
      <c r="AH23">
        <v>2</v>
      </c>
      <c r="AI23">
        <v>74016785</v>
      </c>
      <c r="AJ23">
        <v>22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ROW(Source!A69)</f>
        <v>69</v>
      </c>
      <c r="B24">
        <v>74016786</v>
      </c>
      <c r="C24">
        <v>74016070</v>
      </c>
      <c r="D24">
        <v>72610937</v>
      </c>
      <c r="E24">
        <v>1</v>
      </c>
      <c r="F24">
        <v>1</v>
      </c>
      <c r="G24">
        <v>1</v>
      </c>
      <c r="H24">
        <v>3</v>
      </c>
      <c r="I24" t="s">
        <v>540</v>
      </c>
      <c r="J24" t="s">
        <v>541</v>
      </c>
      <c r="K24" t="s">
        <v>542</v>
      </c>
      <c r="L24">
        <v>1348</v>
      </c>
      <c r="N24">
        <v>1009</v>
      </c>
      <c r="O24" t="s">
        <v>243</v>
      </c>
      <c r="P24" t="s">
        <v>243</v>
      </c>
      <c r="Q24">
        <v>1000</v>
      </c>
      <c r="X24">
        <v>1.6999999999999999E-3</v>
      </c>
      <c r="Y24">
        <v>98526.45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1.6999999999999999E-3</v>
      </c>
      <c r="AH24">
        <v>2</v>
      </c>
      <c r="AI24">
        <v>74016786</v>
      </c>
      <c r="AJ24">
        <v>23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ROW(Source!A69)</f>
        <v>69</v>
      </c>
      <c r="B25">
        <v>74016787</v>
      </c>
      <c r="C25">
        <v>74016070</v>
      </c>
      <c r="D25">
        <v>72524162</v>
      </c>
      <c r="E25">
        <v>119</v>
      </c>
      <c r="F25">
        <v>1</v>
      </c>
      <c r="G25">
        <v>1</v>
      </c>
      <c r="H25">
        <v>3</v>
      </c>
      <c r="I25" t="s">
        <v>769</v>
      </c>
      <c r="J25" t="s">
        <v>3</v>
      </c>
      <c r="K25" t="s">
        <v>770</v>
      </c>
      <c r="L25">
        <v>1301</v>
      </c>
      <c r="N25">
        <v>1003</v>
      </c>
      <c r="O25" t="s">
        <v>125</v>
      </c>
      <c r="P25" t="s">
        <v>125</v>
      </c>
      <c r="Q25">
        <v>1</v>
      </c>
      <c r="X25">
        <v>101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 t="s">
        <v>3</v>
      </c>
      <c r="AG25">
        <v>101</v>
      </c>
      <c r="AH25">
        <v>3</v>
      </c>
      <c r="AI25">
        <v>-1</v>
      </c>
      <c r="AJ25" t="s">
        <v>3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ROW(Source!A71)</f>
        <v>71</v>
      </c>
      <c r="B26">
        <v>74017718</v>
      </c>
      <c r="C26">
        <v>74016102</v>
      </c>
      <c r="D26">
        <v>72518669</v>
      </c>
      <c r="E26">
        <v>119</v>
      </c>
      <c r="F26">
        <v>1</v>
      </c>
      <c r="G26">
        <v>1</v>
      </c>
      <c r="H26">
        <v>1</v>
      </c>
      <c r="I26" t="s">
        <v>543</v>
      </c>
      <c r="J26" t="s">
        <v>3</v>
      </c>
      <c r="K26" t="s">
        <v>544</v>
      </c>
      <c r="L26">
        <v>1191</v>
      </c>
      <c r="N26">
        <v>1013</v>
      </c>
      <c r="O26" t="s">
        <v>484</v>
      </c>
      <c r="P26" t="s">
        <v>484</v>
      </c>
      <c r="Q26">
        <v>1</v>
      </c>
      <c r="X26">
        <v>5.91</v>
      </c>
      <c r="Y26">
        <v>0</v>
      </c>
      <c r="Z26">
        <v>0</v>
      </c>
      <c r="AA26">
        <v>0</v>
      </c>
      <c r="AB26">
        <v>430.11</v>
      </c>
      <c r="AC26">
        <v>0</v>
      </c>
      <c r="AD26">
        <v>1</v>
      </c>
      <c r="AE26">
        <v>1</v>
      </c>
      <c r="AF26" t="s">
        <v>3</v>
      </c>
      <c r="AG26">
        <v>5.91</v>
      </c>
      <c r="AH26">
        <v>2</v>
      </c>
      <c r="AI26">
        <v>74017718</v>
      </c>
      <c r="AJ26">
        <v>25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ROW(Source!A71)</f>
        <v>71</v>
      </c>
      <c r="B27">
        <v>74017719</v>
      </c>
      <c r="C27">
        <v>74016102</v>
      </c>
      <c r="D27">
        <v>72518826</v>
      </c>
      <c r="E27">
        <v>119</v>
      </c>
      <c r="F27">
        <v>1</v>
      </c>
      <c r="G27">
        <v>1</v>
      </c>
      <c r="H27">
        <v>1</v>
      </c>
      <c r="I27" t="s">
        <v>482</v>
      </c>
      <c r="J27" t="s">
        <v>3</v>
      </c>
      <c r="K27" t="s">
        <v>483</v>
      </c>
      <c r="L27">
        <v>1191</v>
      </c>
      <c r="N27">
        <v>1013</v>
      </c>
      <c r="O27" t="s">
        <v>484</v>
      </c>
      <c r="P27" t="s">
        <v>484</v>
      </c>
      <c r="Q27">
        <v>1</v>
      </c>
      <c r="X27">
        <v>0.14000000000000001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2</v>
      </c>
      <c r="AF27" t="s">
        <v>3</v>
      </c>
      <c r="AG27">
        <v>0.14000000000000001</v>
      </c>
      <c r="AH27">
        <v>2</v>
      </c>
      <c r="AI27">
        <v>74017719</v>
      </c>
      <c r="AJ27">
        <v>26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ROW(Source!A71)</f>
        <v>71</v>
      </c>
      <c r="B28">
        <v>74017720</v>
      </c>
      <c r="C28">
        <v>74016102</v>
      </c>
      <c r="D28">
        <v>72646931</v>
      </c>
      <c r="E28">
        <v>1</v>
      </c>
      <c r="F28">
        <v>1</v>
      </c>
      <c r="G28">
        <v>1</v>
      </c>
      <c r="H28">
        <v>2</v>
      </c>
      <c r="I28" t="s">
        <v>545</v>
      </c>
      <c r="J28" t="s">
        <v>546</v>
      </c>
      <c r="K28" t="s">
        <v>547</v>
      </c>
      <c r="L28">
        <v>1368</v>
      </c>
      <c r="N28">
        <v>1011</v>
      </c>
      <c r="O28" t="s">
        <v>488</v>
      </c>
      <c r="P28" t="s">
        <v>488</v>
      </c>
      <c r="Q28">
        <v>1</v>
      </c>
      <c r="X28">
        <v>0.14000000000000001</v>
      </c>
      <c r="Y28">
        <v>0</v>
      </c>
      <c r="Z28">
        <v>655.95</v>
      </c>
      <c r="AA28">
        <v>400.24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0.14000000000000001</v>
      </c>
      <c r="AH28">
        <v>2</v>
      </c>
      <c r="AI28">
        <v>74017720</v>
      </c>
      <c r="AJ28">
        <v>27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ROW(Source!A71)</f>
        <v>71</v>
      </c>
      <c r="B29">
        <v>74017721</v>
      </c>
      <c r="C29">
        <v>74016102</v>
      </c>
      <c r="D29">
        <v>72647091</v>
      </c>
      <c r="E29">
        <v>1</v>
      </c>
      <c r="F29">
        <v>1</v>
      </c>
      <c r="G29">
        <v>1</v>
      </c>
      <c r="H29">
        <v>2</v>
      </c>
      <c r="I29" t="s">
        <v>548</v>
      </c>
      <c r="J29" t="s">
        <v>549</v>
      </c>
      <c r="K29" t="s">
        <v>550</v>
      </c>
      <c r="L29">
        <v>1368</v>
      </c>
      <c r="N29">
        <v>1011</v>
      </c>
      <c r="O29" t="s">
        <v>488</v>
      </c>
      <c r="P29" t="s">
        <v>488</v>
      </c>
      <c r="Q29">
        <v>1</v>
      </c>
      <c r="X29">
        <v>0.8</v>
      </c>
      <c r="Y29">
        <v>0</v>
      </c>
      <c r="Z29">
        <v>4.3499999999999996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0.8</v>
      </c>
      <c r="AH29">
        <v>2</v>
      </c>
      <c r="AI29">
        <v>74017721</v>
      </c>
      <c r="AJ29">
        <v>28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ROW(Source!A71)</f>
        <v>71</v>
      </c>
      <c r="B30">
        <v>74017722</v>
      </c>
      <c r="C30">
        <v>74016102</v>
      </c>
      <c r="D30">
        <v>72647129</v>
      </c>
      <c r="E30">
        <v>1</v>
      </c>
      <c r="F30">
        <v>1</v>
      </c>
      <c r="G30">
        <v>1</v>
      </c>
      <c r="H30">
        <v>2</v>
      </c>
      <c r="I30" t="s">
        <v>508</v>
      </c>
      <c r="J30" t="s">
        <v>509</v>
      </c>
      <c r="K30" t="s">
        <v>510</v>
      </c>
      <c r="L30">
        <v>1368</v>
      </c>
      <c r="N30">
        <v>1011</v>
      </c>
      <c r="O30" t="s">
        <v>488</v>
      </c>
      <c r="P30" t="s">
        <v>488</v>
      </c>
      <c r="Q30">
        <v>1</v>
      </c>
      <c r="X30">
        <v>2.4500000000000002</v>
      </c>
      <c r="Y30">
        <v>0</v>
      </c>
      <c r="Z30">
        <v>43.87</v>
      </c>
      <c r="AA30">
        <v>0</v>
      </c>
      <c r="AB30">
        <v>0</v>
      </c>
      <c r="AC30">
        <v>0</v>
      </c>
      <c r="AD30">
        <v>1</v>
      </c>
      <c r="AE30">
        <v>0</v>
      </c>
      <c r="AF30" t="s">
        <v>3</v>
      </c>
      <c r="AG30">
        <v>2.4500000000000002</v>
      </c>
      <c r="AH30">
        <v>2</v>
      </c>
      <c r="AI30">
        <v>74017722</v>
      </c>
      <c r="AJ30">
        <v>29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ROW(Source!A71)</f>
        <v>71</v>
      </c>
      <c r="B31">
        <v>74017723</v>
      </c>
      <c r="C31">
        <v>74016102</v>
      </c>
      <c r="D31">
        <v>72589309</v>
      </c>
      <c r="E31">
        <v>1</v>
      </c>
      <c r="F31">
        <v>1</v>
      </c>
      <c r="G31">
        <v>1</v>
      </c>
      <c r="H31">
        <v>3</v>
      </c>
      <c r="I31" t="s">
        <v>551</v>
      </c>
      <c r="J31" t="s">
        <v>552</v>
      </c>
      <c r="K31" t="s">
        <v>553</v>
      </c>
      <c r="L31">
        <v>1339</v>
      </c>
      <c r="N31">
        <v>1007</v>
      </c>
      <c r="O31" t="s">
        <v>48</v>
      </c>
      <c r="P31" t="s">
        <v>48</v>
      </c>
      <c r="Q31">
        <v>1</v>
      </c>
      <c r="X31">
        <v>0.3</v>
      </c>
      <c r="Y31">
        <v>115.4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 t="s">
        <v>3</v>
      </c>
      <c r="AG31">
        <v>0.3</v>
      </c>
      <c r="AH31">
        <v>2</v>
      </c>
      <c r="AI31">
        <v>74017723</v>
      </c>
      <c r="AJ31">
        <v>30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ROW(Source!A71)</f>
        <v>71</v>
      </c>
      <c r="B32">
        <v>74017724</v>
      </c>
      <c r="C32">
        <v>74016102</v>
      </c>
      <c r="D32">
        <v>72589313</v>
      </c>
      <c r="E32">
        <v>1</v>
      </c>
      <c r="F32">
        <v>1</v>
      </c>
      <c r="G32">
        <v>1</v>
      </c>
      <c r="H32">
        <v>3</v>
      </c>
      <c r="I32" t="s">
        <v>554</v>
      </c>
      <c r="J32" t="s">
        <v>555</v>
      </c>
      <c r="K32" t="s">
        <v>556</v>
      </c>
      <c r="L32">
        <v>1346</v>
      </c>
      <c r="N32">
        <v>1009</v>
      </c>
      <c r="O32" t="s">
        <v>314</v>
      </c>
      <c r="P32" t="s">
        <v>314</v>
      </c>
      <c r="Q32">
        <v>1</v>
      </c>
      <c r="X32">
        <v>0.06</v>
      </c>
      <c r="Y32">
        <v>41.38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3</v>
      </c>
      <c r="AG32">
        <v>0.06</v>
      </c>
      <c r="AH32">
        <v>2</v>
      </c>
      <c r="AI32">
        <v>74017724</v>
      </c>
      <c r="AJ32">
        <v>31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ROW(Source!A71)</f>
        <v>71</v>
      </c>
      <c r="B33">
        <v>74017725</v>
      </c>
      <c r="C33">
        <v>74016102</v>
      </c>
      <c r="D33">
        <v>72591353</v>
      </c>
      <c r="E33">
        <v>1</v>
      </c>
      <c r="F33">
        <v>1</v>
      </c>
      <c r="G33">
        <v>1</v>
      </c>
      <c r="H33">
        <v>3</v>
      </c>
      <c r="I33" t="s">
        <v>518</v>
      </c>
      <c r="J33" t="s">
        <v>519</v>
      </c>
      <c r="K33" t="s">
        <v>520</v>
      </c>
      <c r="L33">
        <v>1383</v>
      </c>
      <c r="N33">
        <v>1013</v>
      </c>
      <c r="O33" t="s">
        <v>521</v>
      </c>
      <c r="P33" t="s">
        <v>521</v>
      </c>
      <c r="Q33">
        <v>1</v>
      </c>
      <c r="X33">
        <v>0.45</v>
      </c>
      <c r="Y33">
        <v>9.5500000000000007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0.45</v>
      </c>
      <c r="AH33">
        <v>2</v>
      </c>
      <c r="AI33">
        <v>74017725</v>
      </c>
      <c r="AJ33">
        <v>32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ROW(Source!A71)</f>
        <v>71</v>
      </c>
      <c r="B34">
        <v>74017726</v>
      </c>
      <c r="C34">
        <v>74016102</v>
      </c>
      <c r="D34">
        <v>72592092</v>
      </c>
      <c r="E34">
        <v>1</v>
      </c>
      <c r="F34">
        <v>1</v>
      </c>
      <c r="G34">
        <v>1</v>
      </c>
      <c r="H34">
        <v>3</v>
      </c>
      <c r="I34" t="s">
        <v>522</v>
      </c>
      <c r="J34" t="s">
        <v>523</v>
      </c>
      <c r="K34" t="s">
        <v>524</v>
      </c>
      <c r="L34">
        <v>1346</v>
      </c>
      <c r="N34">
        <v>1009</v>
      </c>
      <c r="O34" t="s">
        <v>314</v>
      </c>
      <c r="P34" t="s">
        <v>314</v>
      </c>
      <c r="Q34">
        <v>1</v>
      </c>
      <c r="X34">
        <v>0.72</v>
      </c>
      <c r="Y34">
        <v>131.85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0.72</v>
      </c>
      <c r="AH34">
        <v>2</v>
      </c>
      <c r="AI34">
        <v>74017726</v>
      </c>
      <c r="AJ34">
        <v>33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ROW(Source!A71)</f>
        <v>71</v>
      </c>
      <c r="B35">
        <v>74017727</v>
      </c>
      <c r="C35">
        <v>74016102</v>
      </c>
      <c r="D35">
        <v>72592868</v>
      </c>
      <c r="E35">
        <v>1</v>
      </c>
      <c r="F35">
        <v>1</v>
      </c>
      <c r="G35">
        <v>1</v>
      </c>
      <c r="H35">
        <v>3</v>
      </c>
      <c r="I35" t="s">
        <v>557</v>
      </c>
      <c r="J35" t="s">
        <v>558</v>
      </c>
      <c r="K35" t="s">
        <v>559</v>
      </c>
      <c r="L35">
        <v>1346</v>
      </c>
      <c r="N35">
        <v>1009</v>
      </c>
      <c r="O35" t="s">
        <v>314</v>
      </c>
      <c r="P35" t="s">
        <v>314</v>
      </c>
      <c r="Q35">
        <v>1</v>
      </c>
      <c r="X35">
        <v>0.75</v>
      </c>
      <c r="Y35">
        <v>174.93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0.75</v>
      </c>
      <c r="AH35">
        <v>2</v>
      </c>
      <c r="AI35">
        <v>74017727</v>
      </c>
      <c r="AJ35">
        <v>34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ROW(Source!A71)</f>
        <v>71</v>
      </c>
      <c r="B36">
        <v>74017728</v>
      </c>
      <c r="C36">
        <v>74016102</v>
      </c>
      <c r="D36">
        <v>72610535</v>
      </c>
      <c r="E36">
        <v>1</v>
      </c>
      <c r="F36">
        <v>1</v>
      </c>
      <c r="G36">
        <v>1</v>
      </c>
      <c r="H36">
        <v>3</v>
      </c>
      <c r="I36" t="s">
        <v>531</v>
      </c>
      <c r="J36" t="s">
        <v>532</v>
      </c>
      <c r="K36" t="s">
        <v>533</v>
      </c>
      <c r="L36">
        <v>1348</v>
      </c>
      <c r="N36">
        <v>1009</v>
      </c>
      <c r="O36" t="s">
        <v>243</v>
      </c>
      <c r="P36" t="s">
        <v>243</v>
      </c>
      <c r="Q36">
        <v>1000</v>
      </c>
      <c r="X36">
        <v>1.8000000000000001E-4</v>
      </c>
      <c r="Y36">
        <v>74437.320000000007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1.8000000000000001E-4</v>
      </c>
      <c r="AH36">
        <v>2</v>
      </c>
      <c r="AI36">
        <v>74017728</v>
      </c>
      <c r="AJ36">
        <v>35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ROW(Source!A71)</f>
        <v>71</v>
      </c>
      <c r="B37">
        <v>74017729</v>
      </c>
      <c r="C37">
        <v>74016102</v>
      </c>
      <c r="D37">
        <v>72610602</v>
      </c>
      <c r="E37">
        <v>1</v>
      </c>
      <c r="F37">
        <v>1</v>
      </c>
      <c r="G37">
        <v>1</v>
      </c>
      <c r="H37">
        <v>3</v>
      </c>
      <c r="I37" t="s">
        <v>560</v>
      </c>
      <c r="J37" t="s">
        <v>561</v>
      </c>
      <c r="K37" t="s">
        <v>562</v>
      </c>
      <c r="L37">
        <v>1348</v>
      </c>
      <c r="N37">
        <v>1009</v>
      </c>
      <c r="O37" t="s">
        <v>243</v>
      </c>
      <c r="P37" t="s">
        <v>243</v>
      </c>
      <c r="Q37">
        <v>1000</v>
      </c>
      <c r="X37">
        <v>1.8000000000000001E-4</v>
      </c>
      <c r="Y37">
        <v>118848.25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1.8000000000000001E-4</v>
      </c>
      <c r="AH37">
        <v>2</v>
      </c>
      <c r="AI37">
        <v>74017729</v>
      </c>
      <c r="AJ37">
        <v>36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ROW(Source!A71)</f>
        <v>71</v>
      </c>
      <c r="B38">
        <v>74017730</v>
      </c>
      <c r="C38">
        <v>74016102</v>
      </c>
      <c r="D38">
        <v>72610848</v>
      </c>
      <c r="E38">
        <v>1</v>
      </c>
      <c r="F38">
        <v>1</v>
      </c>
      <c r="G38">
        <v>1</v>
      </c>
      <c r="H38">
        <v>3</v>
      </c>
      <c r="I38" t="s">
        <v>563</v>
      </c>
      <c r="J38" t="s">
        <v>564</v>
      </c>
      <c r="K38" t="s">
        <v>565</v>
      </c>
      <c r="L38">
        <v>1348</v>
      </c>
      <c r="N38">
        <v>1009</v>
      </c>
      <c r="O38" t="s">
        <v>243</v>
      </c>
      <c r="P38" t="s">
        <v>243</v>
      </c>
      <c r="Q38">
        <v>1000</v>
      </c>
      <c r="X38">
        <v>2.0000000000000002E-5</v>
      </c>
      <c r="Y38">
        <v>344491.84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2.0000000000000002E-5</v>
      </c>
      <c r="AH38">
        <v>2</v>
      </c>
      <c r="AI38">
        <v>74017730</v>
      </c>
      <c r="AJ38">
        <v>37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ROW(Source!A71)</f>
        <v>71</v>
      </c>
      <c r="B39">
        <v>74017731</v>
      </c>
      <c r="C39">
        <v>74016102</v>
      </c>
      <c r="D39">
        <v>72523111</v>
      </c>
      <c r="E39">
        <v>119</v>
      </c>
      <c r="F39">
        <v>1</v>
      </c>
      <c r="G39">
        <v>1</v>
      </c>
      <c r="H39">
        <v>3</v>
      </c>
      <c r="I39" t="s">
        <v>771</v>
      </c>
      <c r="J39" t="s">
        <v>3</v>
      </c>
      <c r="K39" t="s">
        <v>772</v>
      </c>
      <c r="L39">
        <v>1371</v>
      </c>
      <c r="N39">
        <v>1013</v>
      </c>
      <c r="O39" t="s">
        <v>130</v>
      </c>
      <c r="P39" t="s">
        <v>130</v>
      </c>
      <c r="Q39">
        <v>1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 t="s">
        <v>3</v>
      </c>
      <c r="AG39">
        <v>1</v>
      </c>
      <c r="AH39">
        <v>3</v>
      </c>
      <c r="AI39">
        <v>-1</v>
      </c>
      <c r="AJ39" t="s">
        <v>3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ROW(Source!A71)</f>
        <v>71</v>
      </c>
      <c r="B40">
        <v>74017732</v>
      </c>
      <c r="C40">
        <v>74016102</v>
      </c>
      <c r="D40">
        <v>72629460</v>
      </c>
      <c r="E40">
        <v>1</v>
      </c>
      <c r="F40">
        <v>1</v>
      </c>
      <c r="G40">
        <v>1</v>
      </c>
      <c r="H40">
        <v>3</v>
      </c>
      <c r="I40" t="s">
        <v>123</v>
      </c>
      <c r="J40" t="s">
        <v>126</v>
      </c>
      <c r="K40" t="s">
        <v>124</v>
      </c>
      <c r="L40">
        <v>1301</v>
      </c>
      <c r="N40">
        <v>1003</v>
      </c>
      <c r="O40" t="s">
        <v>125</v>
      </c>
      <c r="P40" t="s">
        <v>125</v>
      </c>
      <c r="Q40">
        <v>1</v>
      </c>
      <c r="X40">
        <v>5.8</v>
      </c>
      <c r="Y40">
        <v>201.05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 t="s">
        <v>3</v>
      </c>
      <c r="AG40">
        <v>5.8</v>
      </c>
      <c r="AH40">
        <v>2</v>
      </c>
      <c r="AI40">
        <v>74017732</v>
      </c>
      <c r="AJ40">
        <v>38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ROW(Source!A71)</f>
        <v>71</v>
      </c>
      <c r="B41">
        <v>74017733</v>
      </c>
      <c r="C41">
        <v>74016102</v>
      </c>
      <c r="D41">
        <v>72630654</v>
      </c>
      <c r="E41">
        <v>1</v>
      </c>
      <c r="F41">
        <v>1</v>
      </c>
      <c r="G41">
        <v>1</v>
      </c>
      <c r="H41">
        <v>3</v>
      </c>
      <c r="I41" t="s">
        <v>566</v>
      </c>
      <c r="J41" t="s">
        <v>567</v>
      </c>
      <c r="K41" t="s">
        <v>568</v>
      </c>
      <c r="L41">
        <v>1371</v>
      </c>
      <c r="N41">
        <v>1013</v>
      </c>
      <c r="O41" t="s">
        <v>130</v>
      </c>
      <c r="P41" t="s">
        <v>130</v>
      </c>
      <c r="Q41">
        <v>1</v>
      </c>
      <c r="X41">
        <v>2</v>
      </c>
      <c r="Y41">
        <v>434.55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2</v>
      </c>
      <c r="AH41">
        <v>2</v>
      </c>
      <c r="AI41">
        <v>74017733</v>
      </c>
      <c r="AJ41">
        <v>39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ROW(Source!A71)</f>
        <v>71</v>
      </c>
      <c r="B42">
        <v>74017734</v>
      </c>
      <c r="C42">
        <v>74016102</v>
      </c>
      <c r="D42">
        <v>72631043</v>
      </c>
      <c r="E42">
        <v>1</v>
      </c>
      <c r="F42">
        <v>1</v>
      </c>
      <c r="G42">
        <v>1</v>
      </c>
      <c r="H42">
        <v>3</v>
      </c>
      <c r="I42" t="s">
        <v>569</v>
      </c>
      <c r="J42" t="s">
        <v>570</v>
      </c>
      <c r="K42" t="s">
        <v>571</v>
      </c>
      <c r="L42">
        <v>1371</v>
      </c>
      <c r="N42">
        <v>1013</v>
      </c>
      <c r="O42" t="s">
        <v>130</v>
      </c>
      <c r="P42" t="s">
        <v>130</v>
      </c>
      <c r="Q42">
        <v>1</v>
      </c>
      <c r="X42">
        <v>4</v>
      </c>
      <c r="Y42">
        <v>75.239999999999995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 t="s">
        <v>3</v>
      </c>
      <c r="AG42">
        <v>4</v>
      </c>
      <c r="AH42">
        <v>2</v>
      </c>
      <c r="AI42">
        <v>74017734</v>
      </c>
      <c r="AJ42">
        <v>40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ROW(Source!A73)</f>
        <v>73</v>
      </c>
      <c r="B43">
        <v>74017793</v>
      </c>
      <c r="C43">
        <v>74016148</v>
      </c>
      <c r="D43">
        <v>72518673</v>
      </c>
      <c r="E43">
        <v>119</v>
      </c>
      <c r="F43">
        <v>1</v>
      </c>
      <c r="G43">
        <v>1</v>
      </c>
      <c r="H43">
        <v>1</v>
      </c>
      <c r="I43" t="s">
        <v>572</v>
      </c>
      <c r="J43" t="s">
        <v>3</v>
      </c>
      <c r="K43" t="s">
        <v>573</v>
      </c>
      <c r="L43">
        <v>1191</v>
      </c>
      <c r="N43">
        <v>1013</v>
      </c>
      <c r="O43" t="s">
        <v>484</v>
      </c>
      <c r="P43" t="s">
        <v>484</v>
      </c>
      <c r="Q43">
        <v>1</v>
      </c>
      <c r="X43">
        <v>5.7</v>
      </c>
      <c r="Y43">
        <v>0</v>
      </c>
      <c r="Z43">
        <v>0</v>
      </c>
      <c r="AA43">
        <v>0</v>
      </c>
      <c r="AB43">
        <v>442.06</v>
      </c>
      <c r="AC43">
        <v>0</v>
      </c>
      <c r="AD43">
        <v>1</v>
      </c>
      <c r="AE43">
        <v>1</v>
      </c>
      <c r="AF43" t="s">
        <v>3</v>
      </c>
      <c r="AG43">
        <v>5.7</v>
      </c>
      <c r="AH43">
        <v>2</v>
      </c>
      <c r="AI43">
        <v>74017793</v>
      </c>
      <c r="AJ43">
        <v>41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ROW(Source!A73)</f>
        <v>73</v>
      </c>
      <c r="B44">
        <v>74017794</v>
      </c>
      <c r="C44">
        <v>74016148</v>
      </c>
      <c r="D44">
        <v>72646149</v>
      </c>
      <c r="E44">
        <v>1</v>
      </c>
      <c r="F44">
        <v>1</v>
      </c>
      <c r="G44">
        <v>1</v>
      </c>
      <c r="H44">
        <v>2</v>
      </c>
      <c r="I44" t="s">
        <v>574</v>
      </c>
      <c r="J44" t="s">
        <v>575</v>
      </c>
      <c r="K44" t="s">
        <v>576</v>
      </c>
      <c r="L44">
        <v>1368</v>
      </c>
      <c r="N44">
        <v>1011</v>
      </c>
      <c r="O44" t="s">
        <v>488</v>
      </c>
      <c r="P44" t="s">
        <v>488</v>
      </c>
      <c r="Q44">
        <v>1</v>
      </c>
      <c r="X44">
        <v>0.9</v>
      </c>
      <c r="Y44">
        <v>0</v>
      </c>
      <c r="Z44">
        <v>345.9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0.9</v>
      </c>
      <c r="AH44">
        <v>2</v>
      </c>
      <c r="AI44">
        <v>74017794</v>
      </c>
      <c r="AJ44">
        <v>42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ROW(Source!A73)</f>
        <v>73</v>
      </c>
      <c r="B45">
        <v>74017795</v>
      </c>
      <c r="C45">
        <v>74016148</v>
      </c>
      <c r="D45">
        <v>72646970</v>
      </c>
      <c r="E45">
        <v>1</v>
      </c>
      <c r="F45">
        <v>1</v>
      </c>
      <c r="G45">
        <v>1</v>
      </c>
      <c r="H45">
        <v>2</v>
      </c>
      <c r="I45" t="s">
        <v>577</v>
      </c>
      <c r="J45" t="s">
        <v>578</v>
      </c>
      <c r="K45" t="s">
        <v>579</v>
      </c>
      <c r="L45">
        <v>1368</v>
      </c>
      <c r="N45">
        <v>1011</v>
      </c>
      <c r="O45" t="s">
        <v>488</v>
      </c>
      <c r="P45" t="s">
        <v>488</v>
      </c>
      <c r="Q45">
        <v>1</v>
      </c>
      <c r="X45">
        <v>0.48</v>
      </c>
      <c r="Y45">
        <v>0</v>
      </c>
      <c r="Z45">
        <v>27.13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0.48</v>
      </c>
      <c r="AH45">
        <v>2</v>
      </c>
      <c r="AI45">
        <v>74017795</v>
      </c>
      <c r="AJ45">
        <v>43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ROW(Source!A73)</f>
        <v>73</v>
      </c>
      <c r="B46">
        <v>74017796</v>
      </c>
      <c r="C46">
        <v>74016148</v>
      </c>
      <c r="D46">
        <v>72524472</v>
      </c>
      <c r="E46">
        <v>119</v>
      </c>
      <c r="F46">
        <v>1</v>
      </c>
      <c r="G46">
        <v>1</v>
      </c>
      <c r="H46">
        <v>3</v>
      </c>
      <c r="I46" t="s">
        <v>773</v>
      </c>
      <c r="J46" t="s">
        <v>3</v>
      </c>
      <c r="K46" t="s">
        <v>774</v>
      </c>
      <c r="L46">
        <v>1301</v>
      </c>
      <c r="N46">
        <v>1003</v>
      </c>
      <c r="O46" t="s">
        <v>125</v>
      </c>
      <c r="P46" t="s">
        <v>125</v>
      </c>
      <c r="Q46">
        <v>1</v>
      </c>
      <c r="X46">
        <v>100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 t="s">
        <v>3</v>
      </c>
      <c r="AG46">
        <v>100</v>
      </c>
      <c r="AH46">
        <v>3</v>
      </c>
      <c r="AI46">
        <v>-1</v>
      </c>
      <c r="AJ46" t="s">
        <v>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ROW(Source!A73)</f>
        <v>73</v>
      </c>
      <c r="B47">
        <v>74017797</v>
      </c>
      <c r="C47">
        <v>74016148</v>
      </c>
      <c r="D47">
        <v>72635017</v>
      </c>
      <c r="E47">
        <v>1</v>
      </c>
      <c r="F47">
        <v>1</v>
      </c>
      <c r="G47">
        <v>1</v>
      </c>
      <c r="H47">
        <v>3</v>
      </c>
      <c r="I47" t="s">
        <v>580</v>
      </c>
      <c r="J47" t="s">
        <v>581</v>
      </c>
      <c r="K47" t="s">
        <v>582</v>
      </c>
      <c r="L47">
        <v>1371</v>
      </c>
      <c r="N47">
        <v>1013</v>
      </c>
      <c r="O47" t="s">
        <v>130</v>
      </c>
      <c r="P47" t="s">
        <v>130</v>
      </c>
      <c r="Q47">
        <v>1</v>
      </c>
      <c r="X47">
        <v>0.2</v>
      </c>
      <c r="Y47">
        <v>68.48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0.2</v>
      </c>
      <c r="AH47">
        <v>2</v>
      </c>
      <c r="AI47">
        <v>74017797</v>
      </c>
      <c r="AJ47">
        <v>45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ROW(Source!A77)</f>
        <v>77</v>
      </c>
      <c r="B48">
        <v>74017821</v>
      </c>
      <c r="C48">
        <v>74016160</v>
      </c>
      <c r="D48">
        <v>72518787</v>
      </c>
      <c r="E48">
        <v>119</v>
      </c>
      <c r="F48">
        <v>1</v>
      </c>
      <c r="G48">
        <v>1</v>
      </c>
      <c r="H48">
        <v>1</v>
      </c>
      <c r="I48" t="s">
        <v>583</v>
      </c>
      <c r="J48" t="s">
        <v>3</v>
      </c>
      <c r="K48" t="s">
        <v>584</v>
      </c>
      <c r="L48">
        <v>1369</v>
      </c>
      <c r="N48">
        <v>1013</v>
      </c>
      <c r="O48" t="s">
        <v>585</v>
      </c>
      <c r="P48" t="s">
        <v>585</v>
      </c>
      <c r="Q48">
        <v>1</v>
      </c>
      <c r="X48">
        <v>0.1</v>
      </c>
      <c r="Y48">
        <v>0</v>
      </c>
      <c r="Z48">
        <v>0</v>
      </c>
      <c r="AA48">
        <v>0</v>
      </c>
      <c r="AB48">
        <v>325.57</v>
      </c>
      <c r="AC48">
        <v>0</v>
      </c>
      <c r="AD48">
        <v>1</v>
      </c>
      <c r="AE48">
        <v>1</v>
      </c>
      <c r="AF48" t="s">
        <v>3</v>
      </c>
      <c r="AG48">
        <v>0.1</v>
      </c>
      <c r="AH48">
        <v>2</v>
      </c>
      <c r="AI48">
        <v>74017821</v>
      </c>
      <c r="AJ48">
        <v>46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ROW(Source!A77)</f>
        <v>77</v>
      </c>
      <c r="B49">
        <v>74017822</v>
      </c>
      <c r="C49">
        <v>74016160</v>
      </c>
      <c r="D49">
        <v>72518791</v>
      </c>
      <c r="E49">
        <v>119</v>
      </c>
      <c r="F49">
        <v>1</v>
      </c>
      <c r="G49">
        <v>1</v>
      </c>
      <c r="H49">
        <v>1</v>
      </c>
      <c r="I49" t="s">
        <v>586</v>
      </c>
      <c r="J49" t="s">
        <v>3</v>
      </c>
      <c r="K49" t="s">
        <v>587</v>
      </c>
      <c r="L49">
        <v>1369</v>
      </c>
      <c r="N49">
        <v>1013</v>
      </c>
      <c r="O49" t="s">
        <v>585</v>
      </c>
      <c r="P49" t="s">
        <v>585</v>
      </c>
      <c r="Q49">
        <v>1</v>
      </c>
      <c r="X49">
        <v>69.83</v>
      </c>
      <c r="Y49">
        <v>0</v>
      </c>
      <c r="Z49">
        <v>0</v>
      </c>
      <c r="AA49">
        <v>0</v>
      </c>
      <c r="AB49">
        <v>400.24</v>
      </c>
      <c r="AC49">
        <v>0</v>
      </c>
      <c r="AD49">
        <v>1</v>
      </c>
      <c r="AE49">
        <v>1</v>
      </c>
      <c r="AF49" t="s">
        <v>3</v>
      </c>
      <c r="AG49">
        <v>69.83</v>
      </c>
      <c r="AH49">
        <v>2</v>
      </c>
      <c r="AI49">
        <v>74017822</v>
      </c>
      <c r="AJ49">
        <v>47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ROW(Source!A77)</f>
        <v>77</v>
      </c>
      <c r="B50">
        <v>74017823</v>
      </c>
      <c r="C50">
        <v>74016160</v>
      </c>
      <c r="D50">
        <v>72518826</v>
      </c>
      <c r="E50">
        <v>119</v>
      </c>
      <c r="F50">
        <v>1</v>
      </c>
      <c r="G50">
        <v>1</v>
      </c>
      <c r="H50">
        <v>1</v>
      </c>
      <c r="I50" t="s">
        <v>482</v>
      </c>
      <c r="J50" t="s">
        <v>3</v>
      </c>
      <c r="K50" t="s">
        <v>483</v>
      </c>
      <c r="L50">
        <v>1191</v>
      </c>
      <c r="N50">
        <v>1013</v>
      </c>
      <c r="O50" t="s">
        <v>484</v>
      </c>
      <c r="P50" t="s">
        <v>484</v>
      </c>
      <c r="Q50">
        <v>1</v>
      </c>
      <c r="X50">
        <v>0.09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2</v>
      </c>
      <c r="AF50" t="s">
        <v>3</v>
      </c>
      <c r="AG50">
        <v>0.09</v>
      </c>
      <c r="AH50">
        <v>2</v>
      </c>
      <c r="AI50">
        <v>74017823</v>
      </c>
      <c r="AJ50">
        <v>48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ROW(Source!A77)</f>
        <v>77</v>
      </c>
      <c r="B51">
        <v>74017824</v>
      </c>
      <c r="C51">
        <v>74016160</v>
      </c>
      <c r="D51">
        <v>72646931</v>
      </c>
      <c r="E51">
        <v>1</v>
      </c>
      <c r="F51">
        <v>1</v>
      </c>
      <c r="G51">
        <v>1</v>
      </c>
      <c r="H51">
        <v>2</v>
      </c>
      <c r="I51" t="s">
        <v>545</v>
      </c>
      <c r="J51" t="s">
        <v>546</v>
      </c>
      <c r="K51" t="s">
        <v>547</v>
      </c>
      <c r="L51">
        <v>1368</v>
      </c>
      <c r="N51">
        <v>1011</v>
      </c>
      <c r="O51" t="s">
        <v>488</v>
      </c>
      <c r="P51" t="s">
        <v>488</v>
      </c>
      <c r="Q51">
        <v>1</v>
      </c>
      <c r="X51">
        <v>0.09</v>
      </c>
      <c r="Y51">
        <v>0</v>
      </c>
      <c r="Z51">
        <v>655.95</v>
      </c>
      <c r="AA51">
        <v>400.24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0.09</v>
      </c>
      <c r="AH51">
        <v>2</v>
      </c>
      <c r="AI51">
        <v>74017824</v>
      </c>
      <c r="AJ51">
        <v>49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ROW(Source!A77)</f>
        <v>77</v>
      </c>
      <c r="B52">
        <v>74017825</v>
      </c>
      <c r="C52">
        <v>74016160</v>
      </c>
      <c r="D52">
        <v>72647089</v>
      </c>
      <c r="E52">
        <v>1</v>
      </c>
      <c r="F52">
        <v>1</v>
      </c>
      <c r="G52">
        <v>1</v>
      </c>
      <c r="H52">
        <v>2</v>
      </c>
      <c r="I52" t="s">
        <v>588</v>
      </c>
      <c r="J52" t="s">
        <v>589</v>
      </c>
      <c r="K52" t="s">
        <v>590</v>
      </c>
      <c r="L52">
        <v>1368</v>
      </c>
      <c r="N52">
        <v>1011</v>
      </c>
      <c r="O52" t="s">
        <v>488</v>
      </c>
      <c r="P52" t="s">
        <v>488</v>
      </c>
      <c r="Q52">
        <v>1</v>
      </c>
      <c r="X52">
        <v>0.6</v>
      </c>
      <c r="Y52">
        <v>0</v>
      </c>
      <c r="Z52">
        <v>8.6300000000000008</v>
      </c>
      <c r="AA52">
        <v>0</v>
      </c>
      <c r="AB52">
        <v>0</v>
      </c>
      <c r="AC52">
        <v>0</v>
      </c>
      <c r="AD52">
        <v>1</v>
      </c>
      <c r="AE52">
        <v>0</v>
      </c>
      <c r="AF52" t="s">
        <v>3</v>
      </c>
      <c r="AG52">
        <v>0.6</v>
      </c>
      <c r="AH52">
        <v>2</v>
      </c>
      <c r="AI52">
        <v>74017825</v>
      </c>
      <c r="AJ52">
        <v>50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ROW(Source!A77)</f>
        <v>77</v>
      </c>
      <c r="B53">
        <v>74017826</v>
      </c>
      <c r="C53">
        <v>74016160</v>
      </c>
      <c r="D53">
        <v>72647111</v>
      </c>
      <c r="E53">
        <v>1</v>
      </c>
      <c r="F53">
        <v>1</v>
      </c>
      <c r="G53">
        <v>1</v>
      </c>
      <c r="H53">
        <v>2</v>
      </c>
      <c r="I53" t="s">
        <v>591</v>
      </c>
      <c r="J53" t="s">
        <v>592</v>
      </c>
      <c r="K53" t="s">
        <v>593</v>
      </c>
      <c r="L53">
        <v>1368</v>
      </c>
      <c r="N53">
        <v>1011</v>
      </c>
      <c r="O53" t="s">
        <v>488</v>
      </c>
      <c r="P53" t="s">
        <v>488</v>
      </c>
      <c r="Q53">
        <v>1</v>
      </c>
      <c r="X53">
        <v>33.9</v>
      </c>
      <c r="Y53">
        <v>0</v>
      </c>
      <c r="Z53">
        <v>3.34</v>
      </c>
      <c r="AA53">
        <v>0</v>
      </c>
      <c r="AB53">
        <v>0</v>
      </c>
      <c r="AC53">
        <v>0</v>
      </c>
      <c r="AD53">
        <v>1</v>
      </c>
      <c r="AE53">
        <v>0</v>
      </c>
      <c r="AF53" t="s">
        <v>3</v>
      </c>
      <c r="AG53">
        <v>33.9</v>
      </c>
      <c r="AH53">
        <v>2</v>
      </c>
      <c r="AI53">
        <v>74017826</v>
      </c>
      <c r="AJ53">
        <v>51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ROW(Source!A77)</f>
        <v>77</v>
      </c>
      <c r="B54">
        <v>74017827</v>
      </c>
      <c r="C54">
        <v>74016160</v>
      </c>
      <c r="D54">
        <v>72647129</v>
      </c>
      <c r="E54">
        <v>1</v>
      </c>
      <c r="F54">
        <v>1</v>
      </c>
      <c r="G54">
        <v>1</v>
      </c>
      <c r="H54">
        <v>2</v>
      </c>
      <c r="I54" t="s">
        <v>508</v>
      </c>
      <c r="J54" t="s">
        <v>509</v>
      </c>
      <c r="K54" t="s">
        <v>510</v>
      </c>
      <c r="L54">
        <v>1368</v>
      </c>
      <c r="N54">
        <v>1011</v>
      </c>
      <c r="O54" t="s">
        <v>488</v>
      </c>
      <c r="P54" t="s">
        <v>488</v>
      </c>
      <c r="Q54">
        <v>1</v>
      </c>
      <c r="X54">
        <v>2.1</v>
      </c>
      <c r="Y54">
        <v>0</v>
      </c>
      <c r="Z54">
        <v>43.87</v>
      </c>
      <c r="AA54">
        <v>0</v>
      </c>
      <c r="AB54">
        <v>0</v>
      </c>
      <c r="AC54">
        <v>0</v>
      </c>
      <c r="AD54">
        <v>1</v>
      </c>
      <c r="AE54">
        <v>0</v>
      </c>
      <c r="AF54" t="s">
        <v>3</v>
      </c>
      <c r="AG54">
        <v>2.1</v>
      </c>
      <c r="AH54">
        <v>2</v>
      </c>
      <c r="AI54">
        <v>74017827</v>
      </c>
      <c r="AJ54">
        <v>52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ROW(Source!A77)</f>
        <v>77</v>
      </c>
      <c r="B55">
        <v>74017828</v>
      </c>
      <c r="C55">
        <v>74016160</v>
      </c>
      <c r="D55">
        <v>72592092</v>
      </c>
      <c r="E55">
        <v>1</v>
      </c>
      <c r="F55">
        <v>1</v>
      </c>
      <c r="G55">
        <v>1</v>
      </c>
      <c r="H55">
        <v>3</v>
      </c>
      <c r="I55" t="s">
        <v>522</v>
      </c>
      <c r="J55" t="s">
        <v>523</v>
      </c>
      <c r="K55" t="s">
        <v>524</v>
      </c>
      <c r="L55">
        <v>1346</v>
      </c>
      <c r="N55">
        <v>1009</v>
      </c>
      <c r="O55" t="s">
        <v>314</v>
      </c>
      <c r="P55" t="s">
        <v>314</v>
      </c>
      <c r="Q55">
        <v>1</v>
      </c>
      <c r="X55">
        <v>0.33</v>
      </c>
      <c r="Y55">
        <v>131.85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 t="s">
        <v>3</v>
      </c>
      <c r="AG55">
        <v>0.33</v>
      </c>
      <c r="AH55">
        <v>2</v>
      </c>
      <c r="AI55">
        <v>74017828</v>
      </c>
      <c r="AJ55">
        <v>53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ROW(Source!A77)</f>
        <v>77</v>
      </c>
      <c r="B56">
        <v>74017829</v>
      </c>
      <c r="C56">
        <v>74016160</v>
      </c>
      <c r="D56">
        <v>72594025</v>
      </c>
      <c r="E56">
        <v>1</v>
      </c>
      <c r="F56">
        <v>1</v>
      </c>
      <c r="G56">
        <v>1</v>
      </c>
      <c r="H56">
        <v>3</v>
      </c>
      <c r="I56" t="s">
        <v>594</v>
      </c>
      <c r="J56" t="s">
        <v>595</v>
      </c>
      <c r="K56" t="s">
        <v>596</v>
      </c>
      <c r="L56">
        <v>1346</v>
      </c>
      <c r="N56">
        <v>1009</v>
      </c>
      <c r="O56" t="s">
        <v>314</v>
      </c>
      <c r="P56" t="s">
        <v>314</v>
      </c>
      <c r="Q56">
        <v>1</v>
      </c>
      <c r="X56">
        <v>0.02</v>
      </c>
      <c r="Y56">
        <v>56.11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 t="s">
        <v>3</v>
      </c>
      <c r="AG56">
        <v>0.02</v>
      </c>
      <c r="AH56">
        <v>2</v>
      </c>
      <c r="AI56">
        <v>74017829</v>
      </c>
      <c r="AJ56">
        <v>54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ROW(Source!A77)</f>
        <v>77</v>
      </c>
      <c r="B57">
        <v>74017830</v>
      </c>
      <c r="C57">
        <v>74016160</v>
      </c>
      <c r="D57">
        <v>72610957</v>
      </c>
      <c r="E57">
        <v>1</v>
      </c>
      <c r="F57">
        <v>1</v>
      </c>
      <c r="G57">
        <v>1</v>
      </c>
      <c r="H57">
        <v>3</v>
      </c>
      <c r="I57" t="s">
        <v>597</v>
      </c>
      <c r="J57" t="s">
        <v>598</v>
      </c>
      <c r="K57" t="s">
        <v>599</v>
      </c>
      <c r="L57">
        <v>1346</v>
      </c>
      <c r="N57">
        <v>1009</v>
      </c>
      <c r="O57" t="s">
        <v>314</v>
      </c>
      <c r="P57" t="s">
        <v>314</v>
      </c>
      <c r="Q57">
        <v>1</v>
      </c>
      <c r="X57">
        <v>0.1</v>
      </c>
      <c r="Y57">
        <v>60.6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 t="s">
        <v>3</v>
      </c>
      <c r="AG57">
        <v>0.1</v>
      </c>
      <c r="AH57">
        <v>2</v>
      </c>
      <c r="AI57">
        <v>74017830</v>
      </c>
      <c r="AJ57">
        <v>55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ROW(Source!A77)</f>
        <v>77</v>
      </c>
      <c r="B58">
        <v>74017831</v>
      </c>
      <c r="C58">
        <v>74016160</v>
      </c>
      <c r="D58">
        <v>72524093</v>
      </c>
      <c r="E58">
        <v>119</v>
      </c>
      <c r="F58">
        <v>1</v>
      </c>
      <c r="G58">
        <v>1</v>
      </c>
      <c r="H58">
        <v>3</v>
      </c>
      <c r="I58" t="s">
        <v>775</v>
      </c>
      <c r="J58" t="s">
        <v>3</v>
      </c>
      <c r="K58" t="s">
        <v>776</v>
      </c>
      <c r="L58">
        <v>1301</v>
      </c>
      <c r="N58">
        <v>1003</v>
      </c>
      <c r="O58" t="s">
        <v>125</v>
      </c>
      <c r="P58" t="s">
        <v>125</v>
      </c>
      <c r="Q58">
        <v>1</v>
      </c>
      <c r="X58">
        <v>5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 t="s">
        <v>3</v>
      </c>
      <c r="AG58">
        <v>5</v>
      </c>
      <c r="AH58">
        <v>3</v>
      </c>
      <c r="AI58">
        <v>-1</v>
      </c>
      <c r="AJ58" t="s">
        <v>3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ROW(Source!A77)</f>
        <v>77</v>
      </c>
      <c r="B59">
        <v>74017832</v>
      </c>
      <c r="C59">
        <v>74016160</v>
      </c>
      <c r="D59">
        <v>72524306</v>
      </c>
      <c r="E59">
        <v>119</v>
      </c>
      <c r="F59">
        <v>1</v>
      </c>
      <c r="G59">
        <v>1</v>
      </c>
      <c r="H59">
        <v>3</v>
      </c>
      <c r="I59" t="s">
        <v>777</v>
      </c>
      <c r="J59" t="s">
        <v>3</v>
      </c>
      <c r="K59" t="s">
        <v>778</v>
      </c>
      <c r="L59">
        <v>1371</v>
      </c>
      <c r="N59">
        <v>1013</v>
      </c>
      <c r="O59" t="s">
        <v>130</v>
      </c>
      <c r="P59" t="s">
        <v>130</v>
      </c>
      <c r="Q59">
        <v>1</v>
      </c>
      <c r="X59">
        <v>10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 t="s">
        <v>3</v>
      </c>
      <c r="AG59">
        <v>10</v>
      </c>
      <c r="AH59">
        <v>3</v>
      </c>
      <c r="AI59">
        <v>-1</v>
      </c>
      <c r="AJ59" t="s">
        <v>3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ROW(Source!A77)</f>
        <v>77</v>
      </c>
      <c r="B60">
        <v>74017833</v>
      </c>
      <c r="C60">
        <v>74016160</v>
      </c>
      <c r="D60">
        <v>72524457</v>
      </c>
      <c r="E60">
        <v>119</v>
      </c>
      <c r="F60">
        <v>1</v>
      </c>
      <c r="G60">
        <v>1</v>
      </c>
      <c r="H60">
        <v>3</v>
      </c>
      <c r="I60" t="s">
        <v>779</v>
      </c>
      <c r="J60" t="s">
        <v>3</v>
      </c>
      <c r="K60" t="s">
        <v>780</v>
      </c>
      <c r="L60">
        <v>1301</v>
      </c>
      <c r="N60">
        <v>1003</v>
      </c>
      <c r="O60" t="s">
        <v>125</v>
      </c>
      <c r="P60" t="s">
        <v>125</v>
      </c>
      <c r="Q60">
        <v>1</v>
      </c>
      <c r="X60">
        <v>5.91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 t="s">
        <v>3</v>
      </c>
      <c r="AG60">
        <v>5.91</v>
      </c>
      <c r="AH60">
        <v>3</v>
      </c>
      <c r="AI60">
        <v>-1</v>
      </c>
      <c r="AJ60" t="s">
        <v>3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ROW(Source!A77)</f>
        <v>77</v>
      </c>
      <c r="B61">
        <v>74017834</v>
      </c>
      <c r="C61">
        <v>74016160</v>
      </c>
      <c r="D61">
        <v>72524473</v>
      </c>
      <c r="E61">
        <v>119</v>
      </c>
      <c r="F61">
        <v>1</v>
      </c>
      <c r="G61">
        <v>1</v>
      </c>
      <c r="H61">
        <v>3</v>
      </c>
      <c r="I61" t="s">
        <v>773</v>
      </c>
      <c r="J61" t="s">
        <v>3</v>
      </c>
      <c r="K61" t="s">
        <v>781</v>
      </c>
      <c r="L61">
        <v>1301</v>
      </c>
      <c r="N61">
        <v>1003</v>
      </c>
      <c r="O61" t="s">
        <v>125</v>
      </c>
      <c r="P61" t="s">
        <v>125</v>
      </c>
      <c r="Q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1</v>
      </c>
      <c r="AD61">
        <v>0</v>
      </c>
      <c r="AE61">
        <v>0</v>
      </c>
      <c r="AF61" t="s">
        <v>3</v>
      </c>
      <c r="AG61">
        <v>0</v>
      </c>
      <c r="AH61">
        <v>3</v>
      </c>
      <c r="AI61">
        <v>-1</v>
      </c>
      <c r="AJ61" t="s">
        <v>3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ROW(Source!A77)</f>
        <v>77</v>
      </c>
      <c r="B62">
        <v>74017835</v>
      </c>
      <c r="C62">
        <v>74016160</v>
      </c>
      <c r="D62">
        <v>72524530</v>
      </c>
      <c r="E62">
        <v>119</v>
      </c>
      <c r="F62">
        <v>1</v>
      </c>
      <c r="G62">
        <v>1</v>
      </c>
      <c r="H62">
        <v>3</v>
      </c>
      <c r="I62" t="s">
        <v>782</v>
      </c>
      <c r="J62" t="s">
        <v>3</v>
      </c>
      <c r="K62" t="s">
        <v>783</v>
      </c>
      <c r="L62">
        <v>1371</v>
      </c>
      <c r="N62">
        <v>1013</v>
      </c>
      <c r="O62" t="s">
        <v>130</v>
      </c>
      <c r="P62" t="s">
        <v>130</v>
      </c>
      <c r="Q62">
        <v>1</v>
      </c>
      <c r="X62">
        <v>30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 t="s">
        <v>3</v>
      </c>
      <c r="AG62">
        <v>30</v>
      </c>
      <c r="AH62">
        <v>3</v>
      </c>
      <c r="AI62">
        <v>-1</v>
      </c>
      <c r="AJ62" t="s">
        <v>3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ROW(Source!A77)</f>
        <v>77</v>
      </c>
      <c r="B63">
        <v>74017836</v>
      </c>
      <c r="C63">
        <v>74016160</v>
      </c>
      <c r="D63">
        <v>72524537</v>
      </c>
      <c r="E63">
        <v>119</v>
      </c>
      <c r="F63">
        <v>1</v>
      </c>
      <c r="G63">
        <v>1</v>
      </c>
      <c r="H63">
        <v>3</v>
      </c>
      <c r="I63" t="s">
        <v>784</v>
      </c>
      <c r="J63" t="s">
        <v>3</v>
      </c>
      <c r="K63" t="s">
        <v>785</v>
      </c>
      <c r="L63">
        <v>1371</v>
      </c>
      <c r="N63">
        <v>1013</v>
      </c>
      <c r="O63" t="s">
        <v>130</v>
      </c>
      <c r="P63" t="s">
        <v>130</v>
      </c>
      <c r="Q63">
        <v>1</v>
      </c>
      <c r="X63">
        <v>10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 t="s">
        <v>3</v>
      </c>
      <c r="AG63">
        <v>10</v>
      </c>
      <c r="AH63">
        <v>3</v>
      </c>
      <c r="AI63">
        <v>-1</v>
      </c>
      <c r="AJ63" t="s">
        <v>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ROW(Source!A79)</f>
        <v>79</v>
      </c>
      <c r="B64">
        <v>74017844</v>
      </c>
      <c r="C64">
        <v>74016200</v>
      </c>
      <c r="D64">
        <v>72518646</v>
      </c>
      <c r="E64">
        <v>119</v>
      </c>
      <c r="F64">
        <v>1</v>
      </c>
      <c r="G64">
        <v>1</v>
      </c>
      <c r="H64">
        <v>1</v>
      </c>
      <c r="I64" t="s">
        <v>600</v>
      </c>
      <c r="J64" t="s">
        <v>3</v>
      </c>
      <c r="K64" t="s">
        <v>601</v>
      </c>
      <c r="L64">
        <v>1191</v>
      </c>
      <c r="N64">
        <v>1013</v>
      </c>
      <c r="O64" t="s">
        <v>484</v>
      </c>
      <c r="P64" t="s">
        <v>484</v>
      </c>
      <c r="Q64">
        <v>1</v>
      </c>
      <c r="X64">
        <v>0.32</v>
      </c>
      <c r="Y64">
        <v>0</v>
      </c>
      <c r="Z64">
        <v>0</v>
      </c>
      <c r="AA64">
        <v>0</v>
      </c>
      <c r="AB64">
        <v>386.8</v>
      </c>
      <c r="AC64">
        <v>0</v>
      </c>
      <c r="AD64">
        <v>1</v>
      </c>
      <c r="AE64">
        <v>1</v>
      </c>
      <c r="AF64" t="s">
        <v>3</v>
      </c>
      <c r="AG64">
        <v>0.32</v>
      </c>
      <c r="AH64">
        <v>2</v>
      </c>
      <c r="AI64">
        <v>74017844</v>
      </c>
      <c r="AJ64">
        <v>56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ROW(Source!A79)</f>
        <v>79</v>
      </c>
      <c r="B65">
        <v>74017845</v>
      </c>
      <c r="C65">
        <v>74016200</v>
      </c>
      <c r="D65">
        <v>72647089</v>
      </c>
      <c r="E65">
        <v>1</v>
      </c>
      <c r="F65">
        <v>1</v>
      </c>
      <c r="G65">
        <v>1</v>
      </c>
      <c r="H65">
        <v>2</v>
      </c>
      <c r="I65" t="s">
        <v>588</v>
      </c>
      <c r="J65" t="s">
        <v>589</v>
      </c>
      <c r="K65" t="s">
        <v>590</v>
      </c>
      <c r="L65">
        <v>1368</v>
      </c>
      <c r="N65">
        <v>1011</v>
      </c>
      <c r="O65" t="s">
        <v>488</v>
      </c>
      <c r="P65" t="s">
        <v>488</v>
      </c>
      <c r="Q65">
        <v>1</v>
      </c>
      <c r="X65">
        <v>0.19</v>
      </c>
      <c r="Y65">
        <v>0</v>
      </c>
      <c r="Z65">
        <v>8.6300000000000008</v>
      </c>
      <c r="AA65">
        <v>0</v>
      </c>
      <c r="AB65">
        <v>0</v>
      </c>
      <c r="AC65">
        <v>0</v>
      </c>
      <c r="AD65">
        <v>1</v>
      </c>
      <c r="AE65">
        <v>0</v>
      </c>
      <c r="AF65" t="s">
        <v>3</v>
      </c>
      <c r="AG65">
        <v>0.19</v>
      </c>
      <c r="AH65">
        <v>2</v>
      </c>
      <c r="AI65">
        <v>74017845</v>
      </c>
      <c r="AJ65">
        <v>57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ROW(Source!A79)</f>
        <v>79</v>
      </c>
      <c r="B66">
        <v>74017846</v>
      </c>
      <c r="C66">
        <v>74016200</v>
      </c>
      <c r="D66">
        <v>72647111</v>
      </c>
      <c r="E66">
        <v>1</v>
      </c>
      <c r="F66">
        <v>1</v>
      </c>
      <c r="G66">
        <v>1</v>
      </c>
      <c r="H66">
        <v>2</v>
      </c>
      <c r="I66" t="s">
        <v>591</v>
      </c>
      <c r="J66" t="s">
        <v>592</v>
      </c>
      <c r="K66" t="s">
        <v>593</v>
      </c>
      <c r="L66">
        <v>1368</v>
      </c>
      <c r="N66">
        <v>1011</v>
      </c>
      <c r="O66" t="s">
        <v>488</v>
      </c>
      <c r="P66" t="s">
        <v>488</v>
      </c>
      <c r="Q66">
        <v>1</v>
      </c>
      <c r="X66">
        <v>0.33</v>
      </c>
      <c r="Y66">
        <v>0</v>
      </c>
      <c r="Z66">
        <v>3.34</v>
      </c>
      <c r="AA66">
        <v>0</v>
      </c>
      <c r="AB66">
        <v>0</v>
      </c>
      <c r="AC66">
        <v>0</v>
      </c>
      <c r="AD66">
        <v>1</v>
      </c>
      <c r="AE66">
        <v>0</v>
      </c>
      <c r="AF66" t="s">
        <v>3</v>
      </c>
      <c r="AG66">
        <v>0.33</v>
      </c>
      <c r="AH66">
        <v>2</v>
      </c>
      <c r="AI66">
        <v>74017846</v>
      </c>
      <c r="AJ66">
        <v>58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ROW(Source!A79)</f>
        <v>79</v>
      </c>
      <c r="B67">
        <v>74017847</v>
      </c>
      <c r="C67">
        <v>74016200</v>
      </c>
      <c r="D67">
        <v>72589277</v>
      </c>
      <c r="E67">
        <v>1</v>
      </c>
      <c r="F67">
        <v>1</v>
      </c>
      <c r="G67">
        <v>1</v>
      </c>
      <c r="H67">
        <v>3</v>
      </c>
      <c r="I67" t="s">
        <v>602</v>
      </c>
      <c r="J67" t="s">
        <v>603</v>
      </c>
      <c r="K67" t="s">
        <v>604</v>
      </c>
      <c r="L67">
        <v>1346</v>
      </c>
      <c r="N67">
        <v>1009</v>
      </c>
      <c r="O67" t="s">
        <v>314</v>
      </c>
      <c r="P67" t="s">
        <v>314</v>
      </c>
      <c r="Q67">
        <v>1</v>
      </c>
      <c r="X67">
        <v>0.02</v>
      </c>
      <c r="Y67">
        <v>596.80999999999995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 t="s">
        <v>3</v>
      </c>
      <c r="AG67">
        <v>0.02</v>
      </c>
      <c r="AH67">
        <v>2</v>
      </c>
      <c r="AI67">
        <v>74017847</v>
      </c>
      <c r="AJ67">
        <v>59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ROW(Source!A79)</f>
        <v>79</v>
      </c>
      <c r="B68">
        <v>74017848</v>
      </c>
      <c r="C68">
        <v>74016200</v>
      </c>
      <c r="D68">
        <v>72594025</v>
      </c>
      <c r="E68">
        <v>1</v>
      </c>
      <c r="F68">
        <v>1</v>
      </c>
      <c r="G68">
        <v>1</v>
      </c>
      <c r="H68">
        <v>3</v>
      </c>
      <c r="I68" t="s">
        <v>594</v>
      </c>
      <c r="J68" t="s">
        <v>595</v>
      </c>
      <c r="K68" t="s">
        <v>596</v>
      </c>
      <c r="L68">
        <v>1346</v>
      </c>
      <c r="N68">
        <v>1009</v>
      </c>
      <c r="O68" t="s">
        <v>314</v>
      </c>
      <c r="P68" t="s">
        <v>314</v>
      </c>
      <c r="Q68">
        <v>1</v>
      </c>
      <c r="X68">
        <v>2E-3</v>
      </c>
      <c r="Y68">
        <v>56.11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 t="s">
        <v>3</v>
      </c>
      <c r="AG68">
        <v>2E-3</v>
      </c>
      <c r="AH68">
        <v>2</v>
      </c>
      <c r="AI68">
        <v>74017848</v>
      </c>
      <c r="AJ68">
        <v>60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ROW(Source!A79)</f>
        <v>79</v>
      </c>
      <c r="B69">
        <v>74017849</v>
      </c>
      <c r="C69">
        <v>74016200</v>
      </c>
      <c r="D69">
        <v>72524528</v>
      </c>
      <c r="E69">
        <v>119</v>
      </c>
      <c r="F69">
        <v>1</v>
      </c>
      <c r="G69">
        <v>1</v>
      </c>
      <c r="H69">
        <v>3</v>
      </c>
      <c r="I69" t="s">
        <v>782</v>
      </c>
      <c r="J69" t="s">
        <v>3</v>
      </c>
      <c r="K69" t="s">
        <v>786</v>
      </c>
      <c r="L69">
        <v>1371</v>
      </c>
      <c r="N69">
        <v>1013</v>
      </c>
      <c r="O69" t="s">
        <v>130</v>
      </c>
      <c r="P69" t="s">
        <v>130</v>
      </c>
      <c r="Q69">
        <v>1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 t="s">
        <v>3</v>
      </c>
      <c r="AG69">
        <v>1</v>
      </c>
      <c r="AH69">
        <v>3</v>
      </c>
      <c r="AI69">
        <v>-1</v>
      </c>
      <c r="AJ69" t="s">
        <v>3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ROW(Source!A81)</f>
        <v>81</v>
      </c>
      <c r="B70">
        <v>74017851</v>
      </c>
      <c r="C70">
        <v>74016215</v>
      </c>
      <c r="D70">
        <v>72518646</v>
      </c>
      <c r="E70">
        <v>119</v>
      </c>
      <c r="F70">
        <v>1</v>
      </c>
      <c r="G70">
        <v>1</v>
      </c>
      <c r="H70">
        <v>1</v>
      </c>
      <c r="I70" t="s">
        <v>600</v>
      </c>
      <c r="J70" t="s">
        <v>3</v>
      </c>
      <c r="K70" t="s">
        <v>601</v>
      </c>
      <c r="L70">
        <v>1191</v>
      </c>
      <c r="N70">
        <v>1013</v>
      </c>
      <c r="O70" t="s">
        <v>484</v>
      </c>
      <c r="P70" t="s">
        <v>484</v>
      </c>
      <c r="Q70">
        <v>1</v>
      </c>
      <c r="X70">
        <v>0.63</v>
      </c>
      <c r="Y70">
        <v>0</v>
      </c>
      <c r="Z70">
        <v>0</v>
      </c>
      <c r="AA70">
        <v>0</v>
      </c>
      <c r="AB70">
        <v>386.8</v>
      </c>
      <c r="AC70">
        <v>0</v>
      </c>
      <c r="AD70">
        <v>1</v>
      </c>
      <c r="AE70">
        <v>1</v>
      </c>
      <c r="AF70" t="s">
        <v>3</v>
      </c>
      <c r="AG70">
        <v>0.63</v>
      </c>
      <c r="AH70">
        <v>2</v>
      </c>
      <c r="AI70">
        <v>74017851</v>
      </c>
      <c r="AJ70">
        <v>62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ROW(Source!A81)</f>
        <v>81</v>
      </c>
      <c r="B71">
        <v>74017852</v>
      </c>
      <c r="C71">
        <v>74016215</v>
      </c>
      <c r="D71">
        <v>72647089</v>
      </c>
      <c r="E71">
        <v>1</v>
      </c>
      <c r="F71">
        <v>1</v>
      </c>
      <c r="G71">
        <v>1</v>
      </c>
      <c r="H71">
        <v>2</v>
      </c>
      <c r="I71" t="s">
        <v>588</v>
      </c>
      <c r="J71" t="s">
        <v>589</v>
      </c>
      <c r="K71" t="s">
        <v>590</v>
      </c>
      <c r="L71">
        <v>1368</v>
      </c>
      <c r="N71">
        <v>1011</v>
      </c>
      <c r="O71" t="s">
        <v>488</v>
      </c>
      <c r="P71" t="s">
        <v>488</v>
      </c>
      <c r="Q71">
        <v>1</v>
      </c>
      <c r="X71">
        <v>0.38</v>
      </c>
      <c r="Y71">
        <v>0</v>
      </c>
      <c r="Z71">
        <v>8.6300000000000008</v>
      </c>
      <c r="AA71">
        <v>0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0.38</v>
      </c>
      <c r="AH71">
        <v>2</v>
      </c>
      <c r="AI71">
        <v>74017852</v>
      </c>
      <c r="AJ71">
        <v>63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ROW(Source!A81)</f>
        <v>81</v>
      </c>
      <c r="B72">
        <v>74017853</v>
      </c>
      <c r="C72">
        <v>74016215</v>
      </c>
      <c r="D72">
        <v>72647111</v>
      </c>
      <c r="E72">
        <v>1</v>
      </c>
      <c r="F72">
        <v>1</v>
      </c>
      <c r="G72">
        <v>1</v>
      </c>
      <c r="H72">
        <v>2</v>
      </c>
      <c r="I72" t="s">
        <v>591</v>
      </c>
      <c r="J72" t="s">
        <v>592</v>
      </c>
      <c r="K72" t="s">
        <v>593</v>
      </c>
      <c r="L72">
        <v>1368</v>
      </c>
      <c r="N72">
        <v>1011</v>
      </c>
      <c r="O72" t="s">
        <v>488</v>
      </c>
      <c r="P72" t="s">
        <v>488</v>
      </c>
      <c r="Q72">
        <v>1</v>
      </c>
      <c r="X72">
        <v>0.63</v>
      </c>
      <c r="Y72">
        <v>0</v>
      </c>
      <c r="Z72">
        <v>3.34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0.63</v>
      </c>
      <c r="AH72">
        <v>2</v>
      </c>
      <c r="AI72">
        <v>74017853</v>
      </c>
      <c r="AJ72">
        <v>64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ROW(Source!A81)</f>
        <v>81</v>
      </c>
      <c r="B73">
        <v>74017854</v>
      </c>
      <c r="C73">
        <v>74016215</v>
      </c>
      <c r="D73">
        <v>72589277</v>
      </c>
      <c r="E73">
        <v>1</v>
      </c>
      <c r="F73">
        <v>1</v>
      </c>
      <c r="G73">
        <v>1</v>
      </c>
      <c r="H73">
        <v>3</v>
      </c>
      <c r="I73" t="s">
        <v>602</v>
      </c>
      <c r="J73" t="s">
        <v>603</v>
      </c>
      <c r="K73" t="s">
        <v>604</v>
      </c>
      <c r="L73">
        <v>1346</v>
      </c>
      <c r="N73">
        <v>1009</v>
      </c>
      <c r="O73" t="s">
        <v>314</v>
      </c>
      <c r="P73" t="s">
        <v>314</v>
      </c>
      <c r="Q73">
        <v>1</v>
      </c>
      <c r="X73">
        <v>0.04</v>
      </c>
      <c r="Y73">
        <v>596.80999999999995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0.04</v>
      </c>
      <c r="AH73">
        <v>2</v>
      </c>
      <c r="AI73">
        <v>74017854</v>
      </c>
      <c r="AJ73">
        <v>65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ROW(Source!A81)</f>
        <v>81</v>
      </c>
      <c r="B74">
        <v>74017855</v>
      </c>
      <c r="C74">
        <v>74016215</v>
      </c>
      <c r="D74">
        <v>72594025</v>
      </c>
      <c r="E74">
        <v>1</v>
      </c>
      <c r="F74">
        <v>1</v>
      </c>
      <c r="G74">
        <v>1</v>
      </c>
      <c r="H74">
        <v>3</v>
      </c>
      <c r="I74" t="s">
        <v>594</v>
      </c>
      <c r="J74" t="s">
        <v>595</v>
      </c>
      <c r="K74" t="s">
        <v>596</v>
      </c>
      <c r="L74">
        <v>1346</v>
      </c>
      <c r="N74">
        <v>1009</v>
      </c>
      <c r="O74" t="s">
        <v>314</v>
      </c>
      <c r="P74" t="s">
        <v>314</v>
      </c>
      <c r="Q74">
        <v>1</v>
      </c>
      <c r="X74">
        <v>4.0000000000000001E-3</v>
      </c>
      <c r="Y74">
        <v>56.11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4.0000000000000001E-3</v>
      </c>
      <c r="AH74">
        <v>2</v>
      </c>
      <c r="AI74">
        <v>74017855</v>
      </c>
      <c r="AJ74">
        <v>66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ROW(Source!A81)</f>
        <v>81</v>
      </c>
      <c r="B75">
        <v>74017856</v>
      </c>
      <c r="C75">
        <v>74016215</v>
      </c>
      <c r="D75">
        <v>72524528</v>
      </c>
      <c r="E75">
        <v>119</v>
      </c>
      <c r="F75">
        <v>1</v>
      </c>
      <c r="G75">
        <v>1</v>
      </c>
      <c r="H75">
        <v>3</v>
      </c>
      <c r="I75" t="s">
        <v>782</v>
      </c>
      <c r="J75" t="s">
        <v>3</v>
      </c>
      <c r="K75" t="s">
        <v>786</v>
      </c>
      <c r="L75">
        <v>1371</v>
      </c>
      <c r="N75">
        <v>1013</v>
      </c>
      <c r="O75" t="s">
        <v>130</v>
      </c>
      <c r="P75" t="s">
        <v>130</v>
      </c>
      <c r="Q75">
        <v>1</v>
      </c>
      <c r="X75">
        <v>2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 t="s">
        <v>3</v>
      </c>
      <c r="AG75">
        <v>2</v>
      </c>
      <c r="AH75">
        <v>3</v>
      </c>
      <c r="AI75">
        <v>-1</v>
      </c>
      <c r="AJ75" t="s">
        <v>3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ROW(Source!A81)</f>
        <v>81</v>
      </c>
      <c r="B76">
        <v>74017857</v>
      </c>
      <c r="C76">
        <v>74016215</v>
      </c>
      <c r="D76">
        <v>72524536</v>
      </c>
      <c r="E76">
        <v>119</v>
      </c>
      <c r="F76">
        <v>1</v>
      </c>
      <c r="G76">
        <v>1</v>
      </c>
      <c r="H76">
        <v>3</v>
      </c>
      <c r="I76" t="s">
        <v>784</v>
      </c>
      <c r="J76" t="s">
        <v>3</v>
      </c>
      <c r="K76" t="s">
        <v>787</v>
      </c>
      <c r="L76">
        <v>1371</v>
      </c>
      <c r="N76">
        <v>1013</v>
      </c>
      <c r="O76" t="s">
        <v>130</v>
      </c>
      <c r="P76" t="s">
        <v>130</v>
      </c>
      <c r="Q76">
        <v>1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 t="s">
        <v>3</v>
      </c>
      <c r="AG76">
        <v>1</v>
      </c>
      <c r="AH76">
        <v>3</v>
      </c>
      <c r="AI76">
        <v>-1</v>
      </c>
      <c r="AJ76" t="s">
        <v>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ROW(Source!A84)</f>
        <v>84</v>
      </c>
      <c r="B77">
        <v>74016239</v>
      </c>
      <c r="C77">
        <v>74016233</v>
      </c>
      <c r="D77">
        <v>20049167</v>
      </c>
      <c r="E77">
        <v>119</v>
      </c>
      <c r="F77">
        <v>1</v>
      </c>
      <c r="G77">
        <v>1</v>
      </c>
      <c r="H77">
        <v>1</v>
      </c>
      <c r="I77" t="s">
        <v>605</v>
      </c>
      <c r="J77" t="s">
        <v>3</v>
      </c>
      <c r="K77" t="s">
        <v>606</v>
      </c>
      <c r="L77">
        <v>1191</v>
      </c>
      <c r="N77">
        <v>1013</v>
      </c>
      <c r="O77" t="s">
        <v>484</v>
      </c>
      <c r="P77" t="s">
        <v>484</v>
      </c>
      <c r="Q77">
        <v>1</v>
      </c>
      <c r="X77">
        <v>27</v>
      </c>
      <c r="Y77">
        <v>0</v>
      </c>
      <c r="Z77">
        <v>0</v>
      </c>
      <c r="AA77">
        <v>0</v>
      </c>
      <c r="AB77">
        <v>377.84</v>
      </c>
      <c r="AC77">
        <v>0</v>
      </c>
      <c r="AD77">
        <v>1</v>
      </c>
      <c r="AE77">
        <v>1</v>
      </c>
      <c r="AF77" t="s">
        <v>3</v>
      </c>
      <c r="AG77">
        <v>27</v>
      </c>
      <c r="AH77">
        <v>2</v>
      </c>
      <c r="AI77">
        <v>74016234</v>
      </c>
      <c r="AJ77">
        <v>67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ROW(Source!A84)</f>
        <v>84</v>
      </c>
      <c r="B78">
        <v>74016240</v>
      </c>
      <c r="C78">
        <v>74016233</v>
      </c>
      <c r="D78">
        <v>20049115</v>
      </c>
      <c r="E78">
        <v>119</v>
      </c>
      <c r="F78">
        <v>1</v>
      </c>
      <c r="G78">
        <v>1</v>
      </c>
      <c r="H78">
        <v>1</v>
      </c>
      <c r="I78" t="s">
        <v>482</v>
      </c>
      <c r="J78" t="s">
        <v>3</v>
      </c>
      <c r="K78" t="s">
        <v>483</v>
      </c>
      <c r="L78">
        <v>1191</v>
      </c>
      <c r="N78">
        <v>1013</v>
      </c>
      <c r="O78" t="s">
        <v>484</v>
      </c>
      <c r="P78" t="s">
        <v>484</v>
      </c>
      <c r="Q78">
        <v>1</v>
      </c>
      <c r="X78">
        <v>7.42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2</v>
      </c>
      <c r="AF78" t="s">
        <v>3</v>
      </c>
      <c r="AG78">
        <v>7.42</v>
      </c>
      <c r="AH78">
        <v>2</v>
      </c>
      <c r="AI78">
        <v>74016235</v>
      </c>
      <c r="AJ78">
        <v>68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ROW(Source!A84)</f>
        <v>84</v>
      </c>
      <c r="B79">
        <v>74016241</v>
      </c>
      <c r="C79">
        <v>74016233</v>
      </c>
      <c r="D79">
        <v>72646779</v>
      </c>
      <c r="E79">
        <v>1</v>
      </c>
      <c r="F79">
        <v>1</v>
      </c>
      <c r="G79">
        <v>1</v>
      </c>
      <c r="H79">
        <v>2</v>
      </c>
      <c r="I79" t="s">
        <v>607</v>
      </c>
      <c r="J79" t="s">
        <v>608</v>
      </c>
      <c r="K79" t="s">
        <v>609</v>
      </c>
      <c r="L79">
        <v>1368</v>
      </c>
      <c r="N79">
        <v>1011</v>
      </c>
      <c r="O79" t="s">
        <v>488</v>
      </c>
      <c r="P79" t="s">
        <v>488</v>
      </c>
      <c r="Q79">
        <v>1</v>
      </c>
      <c r="X79">
        <v>7.42</v>
      </c>
      <c r="Y79">
        <v>0</v>
      </c>
      <c r="Z79">
        <v>995.51</v>
      </c>
      <c r="AA79">
        <v>459.98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7.42</v>
      </c>
      <c r="AH79">
        <v>2</v>
      </c>
      <c r="AI79">
        <v>74016236</v>
      </c>
      <c r="AJ79">
        <v>69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ROW(Source!A84)</f>
        <v>84</v>
      </c>
      <c r="B80">
        <v>74016242</v>
      </c>
      <c r="C80">
        <v>74016233</v>
      </c>
      <c r="D80">
        <v>72646972</v>
      </c>
      <c r="E80">
        <v>1</v>
      </c>
      <c r="F80">
        <v>1</v>
      </c>
      <c r="G80">
        <v>1</v>
      </c>
      <c r="H80">
        <v>2</v>
      </c>
      <c r="I80" t="s">
        <v>610</v>
      </c>
      <c r="J80" t="s">
        <v>611</v>
      </c>
      <c r="K80" t="s">
        <v>612</v>
      </c>
      <c r="L80">
        <v>1368</v>
      </c>
      <c r="N80">
        <v>1011</v>
      </c>
      <c r="O80" t="s">
        <v>488</v>
      </c>
      <c r="P80" t="s">
        <v>488</v>
      </c>
      <c r="Q80">
        <v>1</v>
      </c>
      <c r="X80">
        <v>7.42</v>
      </c>
      <c r="Y80">
        <v>0</v>
      </c>
      <c r="Z80">
        <v>34.409999999999997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7.42</v>
      </c>
      <c r="AH80">
        <v>2</v>
      </c>
      <c r="AI80">
        <v>74016237</v>
      </c>
      <c r="AJ80">
        <v>70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ROW(Source!A84)</f>
        <v>84</v>
      </c>
      <c r="B81">
        <v>74016243</v>
      </c>
      <c r="C81">
        <v>74016233</v>
      </c>
      <c r="D81">
        <v>72524853</v>
      </c>
      <c r="E81">
        <v>119</v>
      </c>
      <c r="F81">
        <v>1</v>
      </c>
      <c r="G81">
        <v>1</v>
      </c>
      <c r="H81">
        <v>3</v>
      </c>
      <c r="I81" t="s">
        <v>192</v>
      </c>
      <c r="J81" t="s">
        <v>3</v>
      </c>
      <c r="K81" t="s">
        <v>193</v>
      </c>
      <c r="L81">
        <v>3277935</v>
      </c>
      <c r="N81">
        <v>1013</v>
      </c>
      <c r="O81" t="s">
        <v>194</v>
      </c>
      <c r="P81" t="s">
        <v>194</v>
      </c>
      <c r="Q81">
        <v>1</v>
      </c>
      <c r="X81">
        <v>2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 t="s">
        <v>3</v>
      </c>
      <c r="AG81">
        <v>2</v>
      </c>
      <c r="AH81">
        <v>2</v>
      </c>
      <c r="AI81">
        <v>74016238</v>
      </c>
      <c r="AJ81">
        <v>71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ROW(Source!A87)</f>
        <v>87</v>
      </c>
      <c r="B82">
        <v>74016252</v>
      </c>
      <c r="C82">
        <v>74016246</v>
      </c>
      <c r="D82">
        <v>20049167</v>
      </c>
      <c r="E82">
        <v>119</v>
      </c>
      <c r="F82">
        <v>1</v>
      </c>
      <c r="G82">
        <v>1</v>
      </c>
      <c r="H82">
        <v>1</v>
      </c>
      <c r="I82" t="s">
        <v>605</v>
      </c>
      <c r="J82" t="s">
        <v>3</v>
      </c>
      <c r="K82" t="s">
        <v>606</v>
      </c>
      <c r="L82">
        <v>1191</v>
      </c>
      <c r="N82">
        <v>1013</v>
      </c>
      <c r="O82" t="s">
        <v>484</v>
      </c>
      <c r="P82" t="s">
        <v>484</v>
      </c>
      <c r="Q82">
        <v>1</v>
      </c>
      <c r="X82">
        <v>27</v>
      </c>
      <c r="Y82">
        <v>0</v>
      </c>
      <c r="Z82">
        <v>0</v>
      </c>
      <c r="AA82">
        <v>0</v>
      </c>
      <c r="AB82">
        <v>377.84</v>
      </c>
      <c r="AC82">
        <v>0</v>
      </c>
      <c r="AD82">
        <v>1</v>
      </c>
      <c r="AE82">
        <v>1</v>
      </c>
      <c r="AF82" t="s">
        <v>3</v>
      </c>
      <c r="AG82">
        <v>27</v>
      </c>
      <c r="AH82">
        <v>2</v>
      </c>
      <c r="AI82">
        <v>74016247</v>
      </c>
      <c r="AJ82">
        <v>72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ROW(Source!A87)</f>
        <v>87</v>
      </c>
      <c r="B83">
        <v>74016253</v>
      </c>
      <c r="C83">
        <v>74016246</v>
      </c>
      <c r="D83">
        <v>20049115</v>
      </c>
      <c r="E83">
        <v>119</v>
      </c>
      <c r="F83">
        <v>1</v>
      </c>
      <c r="G83">
        <v>1</v>
      </c>
      <c r="H83">
        <v>1</v>
      </c>
      <c r="I83" t="s">
        <v>482</v>
      </c>
      <c r="J83" t="s">
        <v>3</v>
      </c>
      <c r="K83" t="s">
        <v>483</v>
      </c>
      <c r="L83">
        <v>1191</v>
      </c>
      <c r="N83">
        <v>1013</v>
      </c>
      <c r="O83" t="s">
        <v>484</v>
      </c>
      <c r="P83" t="s">
        <v>484</v>
      </c>
      <c r="Q83">
        <v>1</v>
      </c>
      <c r="X83">
        <v>7.42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2</v>
      </c>
      <c r="AF83" t="s">
        <v>3</v>
      </c>
      <c r="AG83">
        <v>7.42</v>
      </c>
      <c r="AH83">
        <v>2</v>
      </c>
      <c r="AI83">
        <v>74016248</v>
      </c>
      <c r="AJ83">
        <v>73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ROW(Source!A87)</f>
        <v>87</v>
      </c>
      <c r="B84">
        <v>74016254</v>
      </c>
      <c r="C84">
        <v>74016246</v>
      </c>
      <c r="D84">
        <v>72646779</v>
      </c>
      <c r="E84">
        <v>1</v>
      </c>
      <c r="F84">
        <v>1</v>
      </c>
      <c r="G84">
        <v>1</v>
      </c>
      <c r="H84">
        <v>2</v>
      </c>
      <c r="I84" t="s">
        <v>607</v>
      </c>
      <c r="J84" t="s">
        <v>608</v>
      </c>
      <c r="K84" t="s">
        <v>609</v>
      </c>
      <c r="L84">
        <v>1368</v>
      </c>
      <c r="N84">
        <v>1011</v>
      </c>
      <c r="O84" t="s">
        <v>488</v>
      </c>
      <c r="P84" t="s">
        <v>488</v>
      </c>
      <c r="Q84">
        <v>1</v>
      </c>
      <c r="X84">
        <v>7.42</v>
      </c>
      <c r="Y84">
        <v>0</v>
      </c>
      <c r="Z84">
        <v>995.51</v>
      </c>
      <c r="AA84">
        <v>459.98</v>
      </c>
      <c r="AB84">
        <v>0</v>
      </c>
      <c r="AC84">
        <v>0</v>
      </c>
      <c r="AD84">
        <v>1</v>
      </c>
      <c r="AE84">
        <v>0</v>
      </c>
      <c r="AF84" t="s">
        <v>3</v>
      </c>
      <c r="AG84">
        <v>7.42</v>
      </c>
      <c r="AH84">
        <v>2</v>
      </c>
      <c r="AI84">
        <v>74016249</v>
      </c>
      <c r="AJ84">
        <v>74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ROW(Source!A87)</f>
        <v>87</v>
      </c>
      <c r="B85">
        <v>74016255</v>
      </c>
      <c r="C85">
        <v>74016246</v>
      </c>
      <c r="D85">
        <v>72646972</v>
      </c>
      <c r="E85">
        <v>1</v>
      </c>
      <c r="F85">
        <v>1</v>
      </c>
      <c r="G85">
        <v>1</v>
      </c>
      <c r="H85">
        <v>2</v>
      </c>
      <c r="I85" t="s">
        <v>610</v>
      </c>
      <c r="J85" t="s">
        <v>611</v>
      </c>
      <c r="K85" t="s">
        <v>612</v>
      </c>
      <c r="L85">
        <v>1368</v>
      </c>
      <c r="N85">
        <v>1011</v>
      </c>
      <c r="O85" t="s">
        <v>488</v>
      </c>
      <c r="P85" t="s">
        <v>488</v>
      </c>
      <c r="Q85">
        <v>1</v>
      </c>
      <c r="X85">
        <v>7.42</v>
      </c>
      <c r="Y85">
        <v>0</v>
      </c>
      <c r="Z85">
        <v>34.409999999999997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7.42</v>
      </c>
      <c r="AH85">
        <v>2</v>
      </c>
      <c r="AI85">
        <v>74016250</v>
      </c>
      <c r="AJ85">
        <v>75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ROW(Source!A87)</f>
        <v>87</v>
      </c>
      <c r="B86">
        <v>74016256</v>
      </c>
      <c r="C86">
        <v>74016246</v>
      </c>
      <c r="D86">
        <v>72524853</v>
      </c>
      <c r="E86">
        <v>119</v>
      </c>
      <c r="F86">
        <v>1</v>
      </c>
      <c r="G86">
        <v>1</v>
      </c>
      <c r="H86">
        <v>3</v>
      </c>
      <c r="I86" t="s">
        <v>192</v>
      </c>
      <c r="J86" t="s">
        <v>3</v>
      </c>
      <c r="K86" t="s">
        <v>193</v>
      </c>
      <c r="L86">
        <v>3277935</v>
      </c>
      <c r="N86">
        <v>1013</v>
      </c>
      <c r="O86" t="s">
        <v>194</v>
      </c>
      <c r="P86" t="s">
        <v>194</v>
      </c>
      <c r="Q86">
        <v>1</v>
      </c>
      <c r="X86">
        <v>2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3</v>
      </c>
      <c r="AG86">
        <v>2</v>
      </c>
      <c r="AH86">
        <v>2</v>
      </c>
      <c r="AI86">
        <v>74016251</v>
      </c>
      <c r="AJ86">
        <v>76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ROW(Source!A90)</f>
        <v>90</v>
      </c>
      <c r="B87">
        <v>74016264</v>
      </c>
      <c r="C87">
        <v>74016259</v>
      </c>
      <c r="D87">
        <v>20052388</v>
      </c>
      <c r="E87">
        <v>119</v>
      </c>
      <c r="F87">
        <v>1</v>
      </c>
      <c r="G87">
        <v>1</v>
      </c>
      <c r="H87">
        <v>1</v>
      </c>
      <c r="I87" t="s">
        <v>613</v>
      </c>
      <c r="J87" t="s">
        <v>3</v>
      </c>
      <c r="K87" t="s">
        <v>614</v>
      </c>
      <c r="L87">
        <v>1191</v>
      </c>
      <c r="N87">
        <v>1013</v>
      </c>
      <c r="O87" t="s">
        <v>484</v>
      </c>
      <c r="P87" t="s">
        <v>484</v>
      </c>
      <c r="Q87">
        <v>1</v>
      </c>
      <c r="X87">
        <v>11.35</v>
      </c>
      <c r="Y87">
        <v>0</v>
      </c>
      <c r="Z87">
        <v>0</v>
      </c>
      <c r="AA87">
        <v>0</v>
      </c>
      <c r="AB87">
        <v>337.52</v>
      </c>
      <c r="AC87">
        <v>0</v>
      </c>
      <c r="AD87">
        <v>1</v>
      </c>
      <c r="AE87">
        <v>1</v>
      </c>
      <c r="AF87" t="s">
        <v>3</v>
      </c>
      <c r="AG87">
        <v>11.35</v>
      </c>
      <c r="AH87">
        <v>2</v>
      </c>
      <c r="AI87">
        <v>74016260</v>
      </c>
      <c r="AJ87">
        <v>77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ROW(Source!A90)</f>
        <v>90</v>
      </c>
      <c r="B88">
        <v>74016265</v>
      </c>
      <c r="C88">
        <v>74016259</v>
      </c>
      <c r="D88">
        <v>20049115</v>
      </c>
      <c r="E88">
        <v>119</v>
      </c>
      <c r="F88">
        <v>1</v>
      </c>
      <c r="G88">
        <v>1</v>
      </c>
      <c r="H88">
        <v>1</v>
      </c>
      <c r="I88" t="s">
        <v>482</v>
      </c>
      <c r="J88" t="s">
        <v>3</v>
      </c>
      <c r="K88" t="s">
        <v>483</v>
      </c>
      <c r="L88">
        <v>1191</v>
      </c>
      <c r="N88">
        <v>1013</v>
      </c>
      <c r="O88" t="s">
        <v>484</v>
      </c>
      <c r="P88" t="s">
        <v>484</v>
      </c>
      <c r="Q88">
        <v>1</v>
      </c>
      <c r="X88">
        <v>0.94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2</v>
      </c>
      <c r="AF88" t="s">
        <v>3</v>
      </c>
      <c r="AG88">
        <v>0.94</v>
      </c>
      <c r="AH88">
        <v>2</v>
      </c>
      <c r="AI88">
        <v>74016261</v>
      </c>
      <c r="AJ88">
        <v>78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ROW(Source!A90)</f>
        <v>90</v>
      </c>
      <c r="B89">
        <v>74016266</v>
      </c>
      <c r="C89">
        <v>74016259</v>
      </c>
      <c r="D89">
        <v>72646876</v>
      </c>
      <c r="E89">
        <v>1</v>
      </c>
      <c r="F89">
        <v>1</v>
      </c>
      <c r="G89">
        <v>1</v>
      </c>
      <c r="H89">
        <v>2</v>
      </c>
      <c r="I89" t="s">
        <v>615</v>
      </c>
      <c r="J89" t="s">
        <v>616</v>
      </c>
      <c r="K89" t="s">
        <v>617</v>
      </c>
      <c r="L89">
        <v>1368</v>
      </c>
      <c r="N89">
        <v>1011</v>
      </c>
      <c r="O89" t="s">
        <v>488</v>
      </c>
      <c r="P89" t="s">
        <v>488</v>
      </c>
      <c r="Q89">
        <v>1</v>
      </c>
      <c r="X89">
        <v>0.94</v>
      </c>
      <c r="Y89">
        <v>0</v>
      </c>
      <c r="Z89">
        <v>865.46</v>
      </c>
      <c r="AA89">
        <v>400.24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0.94</v>
      </c>
      <c r="AH89">
        <v>2</v>
      </c>
      <c r="AI89">
        <v>74016262</v>
      </c>
      <c r="AJ89">
        <v>79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ROW(Source!A90)</f>
        <v>90</v>
      </c>
      <c r="B90">
        <v>74016267</v>
      </c>
      <c r="C90">
        <v>74016259</v>
      </c>
      <c r="D90">
        <v>72647549</v>
      </c>
      <c r="E90">
        <v>1</v>
      </c>
      <c r="F90">
        <v>1</v>
      </c>
      <c r="G90">
        <v>1</v>
      </c>
      <c r="H90">
        <v>2</v>
      </c>
      <c r="I90" t="s">
        <v>618</v>
      </c>
      <c r="J90" t="s">
        <v>619</v>
      </c>
      <c r="K90" t="s">
        <v>620</v>
      </c>
      <c r="L90">
        <v>1368</v>
      </c>
      <c r="N90">
        <v>1011</v>
      </c>
      <c r="O90" t="s">
        <v>488</v>
      </c>
      <c r="P90" t="s">
        <v>488</v>
      </c>
      <c r="Q90">
        <v>1</v>
      </c>
      <c r="X90">
        <v>4.24</v>
      </c>
      <c r="Y90">
        <v>0</v>
      </c>
      <c r="Z90">
        <v>30.37</v>
      </c>
      <c r="AA90">
        <v>0</v>
      </c>
      <c r="AB90">
        <v>0</v>
      </c>
      <c r="AC90">
        <v>0</v>
      </c>
      <c r="AD90">
        <v>1</v>
      </c>
      <c r="AE90">
        <v>0</v>
      </c>
      <c r="AF90" t="s">
        <v>3</v>
      </c>
      <c r="AG90">
        <v>4.24</v>
      </c>
      <c r="AH90">
        <v>2</v>
      </c>
      <c r="AI90">
        <v>74016263</v>
      </c>
      <c r="AJ90">
        <v>80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ROW(Source!A90)</f>
        <v>90</v>
      </c>
      <c r="B91">
        <v>74016268</v>
      </c>
      <c r="C91">
        <v>74016259</v>
      </c>
      <c r="D91">
        <v>72519051</v>
      </c>
      <c r="E91">
        <v>119</v>
      </c>
      <c r="F91">
        <v>1</v>
      </c>
      <c r="G91">
        <v>1</v>
      </c>
      <c r="H91">
        <v>3</v>
      </c>
      <c r="I91" t="s">
        <v>788</v>
      </c>
      <c r="J91" t="s">
        <v>3</v>
      </c>
      <c r="K91" t="s">
        <v>789</v>
      </c>
      <c r="L91">
        <v>1371</v>
      </c>
      <c r="N91">
        <v>1013</v>
      </c>
      <c r="O91" t="s">
        <v>130</v>
      </c>
      <c r="P91" t="s">
        <v>130</v>
      </c>
      <c r="Q91">
        <v>1</v>
      </c>
      <c r="X91">
        <v>100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 t="s">
        <v>3</v>
      </c>
      <c r="AG91">
        <v>100</v>
      </c>
      <c r="AH91">
        <v>3</v>
      </c>
      <c r="AI91">
        <v>-1</v>
      </c>
      <c r="AJ91" t="s">
        <v>3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ROW(Source!A93)</f>
        <v>93</v>
      </c>
      <c r="B92">
        <v>74016280</v>
      </c>
      <c r="C92">
        <v>74016271</v>
      </c>
      <c r="D92">
        <v>20049237</v>
      </c>
      <c r="E92">
        <v>119</v>
      </c>
      <c r="F92">
        <v>1</v>
      </c>
      <c r="G92">
        <v>1</v>
      </c>
      <c r="H92">
        <v>1</v>
      </c>
      <c r="I92" t="s">
        <v>490</v>
      </c>
      <c r="J92" t="s">
        <v>3</v>
      </c>
      <c r="K92" t="s">
        <v>491</v>
      </c>
      <c r="L92">
        <v>1191</v>
      </c>
      <c r="N92">
        <v>1013</v>
      </c>
      <c r="O92" t="s">
        <v>484</v>
      </c>
      <c r="P92" t="s">
        <v>484</v>
      </c>
      <c r="Q92">
        <v>1</v>
      </c>
      <c r="X92">
        <v>135</v>
      </c>
      <c r="Y92">
        <v>0</v>
      </c>
      <c r="Z92">
        <v>0</v>
      </c>
      <c r="AA92">
        <v>0</v>
      </c>
      <c r="AB92">
        <v>325.57</v>
      </c>
      <c r="AC92">
        <v>0</v>
      </c>
      <c r="AD92">
        <v>1</v>
      </c>
      <c r="AE92">
        <v>1</v>
      </c>
      <c r="AF92" t="s">
        <v>3</v>
      </c>
      <c r="AG92">
        <v>135</v>
      </c>
      <c r="AH92">
        <v>2</v>
      </c>
      <c r="AI92">
        <v>74016272</v>
      </c>
      <c r="AJ92">
        <v>81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ROW(Source!A93)</f>
        <v>93</v>
      </c>
      <c r="B93">
        <v>74016281</v>
      </c>
      <c r="C93">
        <v>74016271</v>
      </c>
      <c r="D93">
        <v>20049115</v>
      </c>
      <c r="E93">
        <v>119</v>
      </c>
      <c r="F93">
        <v>1</v>
      </c>
      <c r="G93">
        <v>1</v>
      </c>
      <c r="H93">
        <v>1</v>
      </c>
      <c r="I93" t="s">
        <v>482</v>
      </c>
      <c r="J93" t="s">
        <v>3</v>
      </c>
      <c r="K93" t="s">
        <v>483</v>
      </c>
      <c r="L93">
        <v>1191</v>
      </c>
      <c r="N93">
        <v>1013</v>
      </c>
      <c r="O93" t="s">
        <v>484</v>
      </c>
      <c r="P93" t="s">
        <v>484</v>
      </c>
      <c r="Q93">
        <v>1</v>
      </c>
      <c r="X93">
        <v>18.12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2</v>
      </c>
      <c r="AF93" t="s">
        <v>3</v>
      </c>
      <c r="AG93">
        <v>18.12</v>
      </c>
      <c r="AH93">
        <v>2</v>
      </c>
      <c r="AI93">
        <v>74016273</v>
      </c>
      <c r="AJ93">
        <v>82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ROW(Source!A93)</f>
        <v>93</v>
      </c>
      <c r="B94">
        <v>74016282</v>
      </c>
      <c r="C94">
        <v>74016271</v>
      </c>
      <c r="D94">
        <v>72645984</v>
      </c>
      <c r="E94">
        <v>1</v>
      </c>
      <c r="F94">
        <v>1</v>
      </c>
      <c r="G94">
        <v>1</v>
      </c>
      <c r="H94">
        <v>2</v>
      </c>
      <c r="I94" t="s">
        <v>621</v>
      </c>
      <c r="J94" t="s">
        <v>622</v>
      </c>
      <c r="K94" t="s">
        <v>623</v>
      </c>
      <c r="L94">
        <v>1368</v>
      </c>
      <c r="N94">
        <v>1011</v>
      </c>
      <c r="O94" t="s">
        <v>488</v>
      </c>
      <c r="P94" t="s">
        <v>488</v>
      </c>
      <c r="Q94">
        <v>1</v>
      </c>
      <c r="X94">
        <v>18</v>
      </c>
      <c r="Y94">
        <v>0</v>
      </c>
      <c r="Z94">
        <v>622.62</v>
      </c>
      <c r="AA94">
        <v>537.64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18</v>
      </c>
      <c r="AH94">
        <v>2</v>
      </c>
      <c r="AI94">
        <v>74016274</v>
      </c>
      <c r="AJ94">
        <v>83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ROW(Source!A93)</f>
        <v>93</v>
      </c>
      <c r="B95">
        <v>74016283</v>
      </c>
      <c r="C95">
        <v>74016271</v>
      </c>
      <c r="D95">
        <v>72646294</v>
      </c>
      <c r="E95">
        <v>1</v>
      </c>
      <c r="F95">
        <v>1</v>
      </c>
      <c r="G95">
        <v>1</v>
      </c>
      <c r="H95">
        <v>2</v>
      </c>
      <c r="I95" t="s">
        <v>624</v>
      </c>
      <c r="J95" t="s">
        <v>625</v>
      </c>
      <c r="K95" t="s">
        <v>626</v>
      </c>
      <c r="L95">
        <v>1368</v>
      </c>
      <c r="N95">
        <v>1011</v>
      </c>
      <c r="O95" t="s">
        <v>488</v>
      </c>
      <c r="P95" t="s">
        <v>488</v>
      </c>
      <c r="Q95">
        <v>1</v>
      </c>
      <c r="X95">
        <v>5.93</v>
      </c>
      <c r="Y95">
        <v>0</v>
      </c>
      <c r="Z95">
        <v>8.5399999999999991</v>
      </c>
      <c r="AA95">
        <v>0</v>
      </c>
      <c r="AB95">
        <v>0</v>
      </c>
      <c r="AC95">
        <v>0</v>
      </c>
      <c r="AD95">
        <v>1</v>
      </c>
      <c r="AE95">
        <v>0</v>
      </c>
      <c r="AF95" t="s">
        <v>3</v>
      </c>
      <c r="AG95">
        <v>5.93</v>
      </c>
      <c r="AH95">
        <v>2</v>
      </c>
      <c r="AI95">
        <v>74016275</v>
      </c>
      <c r="AJ95">
        <v>84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ROW(Source!A93)</f>
        <v>93</v>
      </c>
      <c r="B96">
        <v>74016284</v>
      </c>
      <c r="C96">
        <v>74016271</v>
      </c>
      <c r="D96">
        <v>72646931</v>
      </c>
      <c r="E96">
        <v>1</v>
      </c>
      <c r="F96">
        <v>1</v>
      </c>
      <c r="G96">
        <v>1</v>
      </c>
      <c r="H96">
        <v>2</v>
      </c>
      <c r="I96" t="s">
        <v>545</v>
      </c>
      <c r="J96" t="s">
        <v>546</v>
      </c>
      <c r="K96" t="s">
        <v>547</v>
      </c>
      <c r="L96">
        <v>1368</v>
      </c>
      <c r="N96">
        <v>1011</v>
      </c>
      <c r="O96" t="s">
        <v>488</v>
      </c>
      <c r="P96" t="s">
        <v>488</v>
      </c>
      <c r="Q96">
        <v>1</v>
      </c>
      <c r="X96">
        <v>0.12</v>
      </c>
      <c r="Y96">
        <v>0</v>
      </c>
      <c r="Z96">
        <v>655.95</v>
      </c>
      <c r="AA96">
        <v>400.24</v>
      </c>
      <c r="AB96">
        <v>0</v>
      </c>
      <c r="AC96">
        <v>0</v>
      </c>
      <c r="AD96">
        <v>1</v>
      </c>
      <c r="AE96">
        <v>0</v>
      </c>
      <c r="AF96" t="s">
        <v>3</v>
      </c>
      <c r="AG96">
        <v>0.12</v>
      </c>
      <c r="AH96">
        <v>2</v>
      </c>
      <c r="AI96">
        <v>74016276</v>
      </c>
      <c r="AJ96">
        <v>85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ROW(Source!A93)</f>
        <v>93</v>
      </c>
      <c r="B97">
        <v>74016285</v>
      </c>
      <c r="C97">
        <v>74016271</v>
      </c>
      <c r="D97">
        <v>72591341</v>
      </c>
      <c r="E97">
        <v>1</v>
      </c>
      <c r="F97">
        <v>1</v>
      </c>
      <c r="G97">
        <v>1</v>
      </c>
      <c r="H97">
        <v>3</v>
      </c>
      <c r="I97" t="s">
        <v>627</v>
      </c>
      <c r="J97" t="s">
        <v>628</v>
      </c>
      <c r="K97" t="s">
        <v>629</v>
      </c>
      <c r="L97">
        <v>1339</v>
      </c>
      <c r="N97">
        <v>1007</v>
      </c>
      <c r="O97" t="s">
        <v>48</v>
      </c>
      <c r="P97" t="s">
        <v>48</v>
      </c>
      <c r="Q97">
        <v>1</v>
      </c>
      <c r="X97">
        <v>1.75</v>
      </c>
      <c r="Y97">
        <v>35.71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1.75</v>
      </c>
      <c r="AH97">
        <v>2</v>
      </c>
      <c r="AI97">
        <v>74016277</v>
      </c>
      <c r="AJ97">
        <v>86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ROW(Source!A93)</f>
        <v>93</v>
      </c>
      <c r="B98">
        <v>74016286</v>
      </c>
      <c r="C98">
        <v>74016271</v>
      </c>
      <c r="D98">
        <v>72591655</v>
      </c>
      <c r="E98">
        <v>1</v>
      </c>
      <c r="F98">
        <v>1</v>
      </c>
      <c r="G98">
        <v>1</v>
      </c>
      <c r="H98">
        <v>3</v>
      </c>
      <c r="I98" t="s">
        <v>630</v>
      </c>
      <c r="J98" t="s">
        <v>631</v>
      </c>
      <c r="K98" t="s">
        <v>632</v>
      </c>
      <c r="L98">
        <v>1327</v>
      </c>
      <c r="N98">
        <v>1005</v>
      </c>
      <c r="O98" t="s">
        <v>633</v>
      </c>
      <c r="P98" t="s">
        <v>633</v>
      </c>
      <c r="Q98">
        <v>1</v>
      </c>
      <c r="X98">
        <v>250</v>
      </c>
      <c r="Y98">
        <v>12.83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250</v>
      </c>
      <c r="AH98">
        <v>2</v>
      </c>
      <c r="AI98">
        <v>74016278</v>
      </c>
      <c r="AJ98">
        <v>87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ROW(Source!A93)</f>
        <v>93</v>
      </c>
      <c r="B99">
        <v>74016287</v>
      </c>
      <c r="C99">
        <v>74016271</v>
      </c>
      <c r="D99">
        <v>72520011</v>
      </c>
      <c r="E99">
        <v>119</v>
      </c>
      <c r="F99">
        <v>1</v>
      </c>
      <c r="G99">
        <v>1</v>
      </c>
      <c r="H99">
        <v>3</v>
      </c>
      <c r="I99" t="s">
        <v>790</v>
      </c>
      <c r="J99" t="s">
        <v>3</v>
      </c>
      <c r="K99" t="s">
        <v>791</v>
      </c>
      <c r="L99">
        <v>1339</v>
      </c>
      <c r="N99">
        <v>1007</v>
      </c>
      <c r="O99" t="s">
        <v>48</v>
      </c>
      <c r="P99" t="s">
        <v>48</v>
      </c>
      <c r="Q99">
        <v>1</v>
      </c>
      <c r="X99">
        <v>102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 t="s">
        <v>3</v>
      </c>
      <c r="AG99">
        <v>102</v>
      </c>
      <c r="AH99">
        <v>3</v>
      </c>
      <c r="AI99">
        <v>-1</v>
      </c>
      <c r="AJ99" t="s">
        <v>3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ROW(Source!A95)</f>
        <v>95</v>
      </c>
      <c r="B100">
        <v>74016296</v>
      </c>
      <c r="C100">
        <v>74016289</v>
      </c>
      <c r="D100">
        <v>20049217</v>
      </c>
      <c r="E100">
        <v>119</v>
      </c>
      <c r="F100">
        <v>1</v>
      </c>
      <c r="G100">
        <v>1</v>
      </c>
      <c r="H100">
        <v>1</v>
      </c>
      <c r="I100" t="s">
        <v>634</v>
      </c>
      <c r="J100" t="s">
        <v>3</v>
      </c>
      <c r="K100" t="s">
        <v>635</v>
      </c>
      <c r="L100">
        <v>1191</v>
      </c>
      <c r="N100">
        <v>1013</v>
      </c>
      <c r="O100" t="s">
        <v>484</v>
      </c>
      <c r="P100" t="s">
        <v>484</v>
      </c>
      <c r="Q100">
        <v>1</v>
      </c>
      <c r="X100">
        <v>289</v>
      </c>
      <c r="Y100">
        <v>0</v>
      </c>
      <c r="Z100">
        <v>0</v>
      </c>
      <c r="AA100">
        <v>0</v>
      </c>
      <c r="AB100">
        <v>368.88</v>
      </c>
      <c r="AC100">
        <v>0</v>
      </c>
      <c r="AD100">
        <v>1</v>
      </c>
      <c r="AE100">
        <v>1</v>
      </c>
      <c r="AF100" t="s">
        <v>3</v>
      </c>
      <c r="AG100">
        <v>289</v>
      </c>
      <c r="AH100">
        <v>2</v>
      </c>
      <c r="AI100">
        <v>74016290</v>
      </c>
      <c r="AJ100">
        <v>89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ROW(Source!A95)</f>
        <v>95</v>
      </c>
      <c r="B101">
        <v>74016297</v>
      </c>
      <c r="C101">
        <v>74016289</v>
      </c>
      <c r="D101">
        <v>20049115</v>
      </c>
      <c r="E101">
        <v>119</v>
      </c>
      <c r="F101">
        <v>1</v>
      </c>
      <c r="G101">
        <v>1</v>
      </c>
      <c r="H101">
        <v>1</v>
      </c>
      <c r="I101" t="s">
        <v>482</v>
      </c>
      <c r="J101" t="s">
        <v>3</v>
      </c>
      <c r="K101" t="s">
        <v>483</v>
      </c>
      <c r="L101">
        <v>1191</v>
      </c>
      <c r="N101">
        <v>1013</v>
      </c>
      <c r="O101" t="s">
        <v>484</v>
      </c>
      <c r="P101" t="s">
        <v>484</v>
      </c>
      <c r="Q101">
        <v>1</v>
      </c>
      <c r="X101">
        <v>0.59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 t="s">
        <v>3</v>
      </c>
      <c r="AG101">
        <v>0.59</v>
      </c>
      <c r="AH101">
        <v>2</v>
      </c>
      <c r="AI101">
        <v>74016291</v>
      </c>
      <c r="AJ101">
        <v>90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ROW(Source!A95)</f>
        <v>95</v>
      </c>
      <c r="B102">
        <v>74016298</v>
      </c>
      <c r="C102">
        <v>74016289</v>
      </c>
      <c r="D102">
        <v>72646037</v>
      </c>
      <c r="E102">
        <v>1</v>
      </c>
      <c r="F102">
        <v>1</v>
      </c>
      <c r="G102">
        <v>1</v>
      </c>
      <c r="H102">
        <v>2</v>
      </c>
      <c r="I102" t="s">
        <v>636</v>
      </c>
      <c r="J102" t="s">
        <v>637</v>
      </c>
      <c r="K102" t="s">
        <v>638</v>
      </c>
      <c r="L102">
        <v>1368</v>
      </c>
      <c r="N102">
        <v>1011</v>
      </c>
      <c r="O102" t="s">
        <v>488</v>
      </c>
      <c r="P102" t="s">
        <v>488</v>
      </c>
      <c r="Q102">
        <v>1</v>
      </c>
      <c r="X102">
        <v>0.25</v>
      </c>
      <c r="Y102">
        <v>0</v>
      </c>
      <c r="Z102">
        <v>1836.16</v>
      </c>
      <c r="AA102">
        <v>537.64</v>
      </c>
      <c r="AB102">
        <v>0</v>
      </c>
      <c r="AC102">
        <v>0</v>
      </c>
      <c r="AD102">
        <v>1</v>
      </c>
      <c r="AE102">
        <v>0</v>
      </c>
      <c r="AF102" t="s">
        <v>3</v>
      </c>
      <c r="AG102">
        <v>0.25</v>
      </c>
      <c r="AH102">
        <v>2</v>
      </c>
      <c r="AI102">
        <v>74016292</v>
      </c>
      <c r="AJ102">
        <v>91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ROW(Source!A95)</f>
        <v>95</v>
      </c>
      <c r="B103">
        <v>74016299</v>
      </c>
      <c r="C103">
        <v>74016289</v>
      </c>
      <c r="D103">
        <v>72646931</v>
      </c>
      <c r="E103">
        <v>1</v>
      </c>
      <c r="F103">
        <v>1</v>
      </c>
      <c r="G103">
        <v>1</v>
      </c>
      <c r="H103">
        <v>2</v>
      </c>
      <c r="I103" t="s">
        <v>545</v>
      </c>
      <c r="J103" t="s">
        <v>546</v>
      </c>
      <c r="K103" t="s">
        <v>547</v>
      </c>
      <c r="L103">
        <v>1368</v>
      </c>
      <c r="N103">
        <v>1011</v>
      </c>
      <c r="O103" t="s">
        <v>488</v>
      </c>
      <c r="P103" t="s">
        <v>488</v>
      </c>
      <c r="Q103">
        <v>1</v>
      </c>
      <c r="X103">
        <v>0.34</v>
      </c>
      <c r="Y103">
        <v>0</v>
      </c>
      <c r="Z103">
        <v>655.95</v>
      </c>
      <c r="AA103">
        <v>400.24</v>
      </c>
      <c r="AB103">
        <v>0</v>
      </c>
      <c r="AC103">
        <v>0</v>
      </c>
      <c r="AD103">
        <v>1</v>
      </c>
      <c r="AE103">
        <v>0</v>
      </c>
      <c r="AF103" t="s">
        <v>3</v>
      </c>
      <c r="AG103">
        <v>0.34</v>
      </c>
      <c r="AH103">
        <v>2</v>
      </c>
      <c r="AI103">
        <v>74016293</v>
      </c>
      <c r="AJ103">
        <v>92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ROW(Source!A95)</f>
        <v>95</v>
      </c>
      <c r="B104">
        <v>74016300</v>
      </c>
      <c r="C104">
        <v>74016289</v>
      </c>
      <c r="D104">
        <v>72598147</v>
      </c>
      <c r="E104">
        <v>1</v>
      </c>
      <c r="F104">
        <v>1</v>
      </c>
      <c r="G104">
        <v>1</v>
      </c>
      <c r="H104">
        <v>3</v>
      </c>
      <c r="I104" t="s">
        <v>639</v>
      </c>
      <c r="J104" t="s">
        <v>640</v>
      </c>
      <c r="K104" t="s">
        <v>641</v>
      </c>
      <c r="L104">
        <v>1371</v>
      </c>
      <c r="N104">
        <v>1013</v>
      </c>
      <c r="O104" t="s">
        <v>130</v>
      </c>
      <c r="P104" t="s">
        <v>130</v>
      </c>
      <c r="Q104">
        <v>1</v>
      </c>
      <c r="X104">
        <v>0.01</v>
      </c>
      <c r="Y104">
        <v>61015.76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0.01</v>
      </c>
      <c r="AH104">
        <v>2</v>
      </c>
      <c r="AI104">
        <v>74016294</v>
      </c>
      <c r="AJ104">
        <v>93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ROW(Source!A95)</f>
        <v>95</v>
      </c>
      <c r="B105">
        <v>74016301</v>
      </c>
      <c r="C105">
        <v>74016289</v>
      </c>
      <c r="D105">
        <v>72521534</v>
      </c>
      <c r="E105">
        <v>119</v>
      </c>
      <c r="F105">
        <v>1</v>
      </c>
      <c r="G105">
        <v>1</v>
      </c>
      <c r="H105">
        <v>3</v>
      </c>
      <c r="I105" t="s">
        <v>792</v>
      </c>
      <c r="J105" t="s">
        <v>3</v>
      </c>
      <c r="K105" t="s">
        <v>793</v>
      </c>
      <c r="L105">
        <v>1348</v>
      </c>
      <c r="N105">
        <v>1009</v>
      </c>
      <c r="O105" t="s">
        <v>243</v>
      </c>
      <c r="P105" t="s">
        <v>243</v>
      </c>
      <c r="Q105">
        <v>1000</v>
      </c>
      <c r="X105">
        <v>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 t="s">
        <v>3</v>
      </c>
      <c r="AG105">
        <v>1</v>
      </c>
      <c r="AH105">
        <v>3</v>
      </c>
      <c r="AI105">
        <v>-1</v>
      </c>
      <c r="AJ105" t="s">
        <v>3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ROW(Source!A97)</f>
        <v>97</v>
      </c>
      <c r="B106">
        <v>74017862</v>
      </c>
      <c r="C106">
        <v>74016303</v>
      </c>
      <c r="D106">
        <v>72518655</v>
      </c>
      <c r="E106">
        <v>119</v>
      </c>
      <c r="F106">
        <v>1</v>
      </c>
      <c r="G106">
        <v>1</v>
      </c>
      <c r="H106">
        <v>1</v>
      </c>
      <c r="I106" t="s">
        <v>642</v>
      </c>
      <c r="J106" t="s">
        <v>3</v>
      </c>
      <c r="K106" t="s">
        <v>643</v>
      </c>
      <c r="L106">
        <v>1191</v>
      </c>
      <c r="N106">
        <v>1013</v>
      </c>
      <c r="O106" t="s">
        <v>484</v>
      </c>
      <c r="P106" t="s">
        <v>484</v>
      </c>
      <c r="Q106">
        <v>1</v>
      </c>
      <c r="X106">
        <v>0.41</v>
      </c>
      <c r="Y106">
        <v>0</v>
      </c>
      <c r="Z106">
        <v>0</v>
      </c>
      <c r="AA106">
        <v>0</v>
      </c>
      <c r="AB106">
        <v>400.24</v>
      </c>
      <c r="AC106">
        <v>0</v>
      </c>
      <c r="AD106">
        <v>1</v>
      </c>
      <c r="AE106">
        <v>1</v>
      </c>
      <c r="AF106" t="s">
        <v>3</v>
      </c>
      <c r="AG106">
        <v>0.41</v>
      </c>
      <c r="AH106">
        <v>2</v>
      </c>
      <c r="AI106">
        <v>74017862</v>
      </c>
      <c r="AJ106">
        <v>95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ROW(Source!A97)</f>
        <v>97</v>
      </c>
      <c r="B107">
        <v>74017863</v>
      </c>
      <c r="C107">
        <v>74016303</v>
      </c>
      <c r="D107">
        <v>72518826</v>
      </c>
      <c r="E107">
        <v>119</v>
      </c>
      <c r="F107">
        <v>1</v>
      </c>
      <c r="G107">
        <v>1</v>
      </c>
      <c r="H107">
        <v>1</v>
      </c>
      <c r="I107" t="s">
        <v>482</v>
      </c>
      <c r="J107" t="s">
        <v>3</v>
      </c>
      <c r="K107" t="s">
        <v>483</v>
      </c>
      <c r="L107">
        <v>1191</v>
      </c>
      <c r="N107">
        <v>1013</v>
      </c>
      <c r="O107" t="s">
        <v>484</v>
      </c>
      <c r="P107" t="s">
        <v>484</v>
      </c>
      <c r="Q107">
        <v>1</v>
      </c>
      <c r="X107">
        <v>0.2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2</v>
      </c>
      <c r="AF107" t="s">
        <v>3</v>
      </c>
      <c r="AG107">
        <v>0.2</v>
      </c>
      <c r="AH107">
        <v>2</v>
      </c>
      <c r="AI107">
        <v>74017863</v>
      </c>
      <c r="AJ107">
        <v>96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ROW(Source!A97)</f>
        <v>97</v>
      </c>
      <c r="B108">
        <v>74017864</v>
      </c>
      <c r="C108">
        <v>74016303</v>
      </c>
      <c r="D108">
        <v>72647141</v>
      </c>
      <c r="E108">
        <v>1</v>
      </c>
      <c r="F108">
        <v>1</v>
      </c>
      <c r="G108">
        <v>1</v>
      </c>
      <c r="H108">
        <v>2</v>
      </c>
      <c r="I108" t="s">
        <v>511</v>
      </c>
      <c r="J108" t="s">
        <v>512</v>
      </c>
      <c r="K108" t="s">
        <v>513</v>
      </c>
      <c r="L108">
        <v>1368</v>
      </c>
      <c r="N108">
        <v>1011</v>
      </c>
      <c r="O108" t="s">
        <v>488</v>
      </c>
      <c r="P108" t="s">
        <v>488</v>
      </c>
      <c r="Q108">
        <v>1</v>
      </c>
      <c r="X108">
        <v>0.2</v>
      </c>
      <c r="Y108">
        <v>0</v>
      </c>
      <c r="Z108">
        <v>417.12</v>
      </c>
      <c r="AA108">
        <v>400.24</v>
      </c>
      <c r="AB108">
        <v>0</v>
      </c>
      <c r="AC108">
        <v>0</v>
      </c>
      <c r="AD108">
        <v>1</v>
      </c>
      <c r="AE108">
        <v>0</v>
      </c>
      <c r="AF108" t="s">
        <v>3</v>
      </c>
      <c r="AG108">
        <v>0.2</v>
      </c>
      <c r="AH108">
        <v>2</v>
      </c>
      <c r="AI108">
        <v>74017864</v>
      </c>
      <c r="AJ108">
        <v>97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ROW(Source!A98)</f>
        <v>98</v>
      </c>
      <c r="B109">
        <v>74017865</v>
      </c>
      <c r="C109">
        <v>74016310</v>
      </c>
      <c r="D109">
        <v>72518655</v>
      </c>
      <c r="E109">
        <v>119</v>
      </c>
      <c r="F109">
        <v>1</v>
      </c>
      <c r="G109">
        <v>1</v>
      </c>
      <c r="H109">
        <v>1</v>
      </c>
      <c r="I109" t="s">
        <v>642</v>
      </c>
      <c r="J109" t="s">
        <v>3</v>
      </c>
      <c r="K109" t="s">
        <v>643</v>
      </c>
      <c r="L109">
        <v>1191</v>
      </c>
      <c r="N109">
        <v>1013</v>
      </c>
      <c r="O109" t="s">
        <v>484</v>
      </c>
      <c r="P109" t="s">
        <v>484</v>
      </c>
      <c r="Q109">
        <v>1</v>
      </c>
      <c r="X109">
        <v>0.08</v>
      </c>
      <c r="Y109">
        <v>0</v>
      </c>
      <c r="Z109">
        <v>0</v>
      </c>
      <c r="AA109">
        <v>0</v>
      </c>
      <c r="AB109">
        <v>400.24</v>
      </c>
      <c r="AC109">
        <v>0</v>
      </c>
      <c r="AD109">
        <v>1</v>
      </c>
      <c r="AE109">
        <v>1</v>
      </c>
      <c r="AF109" t="s">
        <v>3</v>
      </c>
      <c r="AG109">
        <v>0.08</v>
      </c>
      <c r="AH109">
        <v>2</v>
      </c>
      <c r="AI109">
        <v>74017865</v>
      </c>
      <c r="AJ109">
        <v>98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ROW(Source!A98)</f>
        <v>98</v>
      </c>
      <c r="B110">
        <v>74017866</v>
      </c>
      <c r="C110">
        <v>74016310</v>
      </c>
      <c r="D110">
        <v>72518826</v>
      </c>
      <c r="E110">
        <v>119</v>
      </c>
      <c r="F110">
        <v>1</v>
      </c>
      <c r="G110">
        <v>1</v>
      </c>
      <c r="H110">
        <v>1</v>
      </c>
      <c r="I110" t="s">
        <v>482</v>
      </c>
      <c r="J110" t="s">
        <v>3</v>
      </c>
      <c r="K110" t="s">
        <v>483</v>
      </c>
      <c r="L110">
        <v>1191</v>
      </c>
      <c r="N110">
        <v>1013</v>
      </c>
      <c r="O110" t="s">
        <v>484</v>
      </c>
      <c r="P110" t="s">
        <v>484</v>
      </c>
      <c r="Q110">
        <v>1</v>
      </c>
      <c r="X110">
        <v>0.06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2</v>
      </c>
      <c r="AF110" t="s">
        <v>3</v>
      </c>
      <c r="AG110">
        <v>0.06</v>
      </c>
      <c r="AH110">
        <v>2</v>
      </c>
      <c r="AI110">
        <v>74017866</v>
      </c>
      <c r="AJ110">
        <v>99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ROW(Source!A98)</f>
        <v>98</v>
      </c>
      <c r="B111">
        <v>74017867</v>
      </c>
      <c r="C111">
        <v>74016310</v>
      </c>
      <c r="D111">
        <v>72646911</v>
      </c>
      <c r="E111">
        <v>1</v>
      </c>
      <c r="F111">
        <v>1</v>
      </c>
      <c r="G111">
        <v>1</v>
      </c>
      <c r="H111">
        <v>2</v>
      </c>
      <c r="I111" t="s">
        <v>644</v>
      </c>
      <c r="J111" t="s">
        <v>645</v>
      </c>
      <c r="K111" t="s">
        <v>646</v>
      </c>
      <c r="L111">
        <v>1368</v>
      </c>
      <c r="N111">
        <v>1011</v>
      </c>
      <c r="O111" t="s">
        <v>488</v>
      </c>
      <c r="P111" t="s">
        <v>488</v>
      </c>
      <c r="Q111">
        <v>1</v>
      </c>
      <c r="X111">
        <v>0.02</v>
      </c>
      <c r="Y111">
        <v>0</v>
      </c>
      <c r="Z111">
        <v>1070.99</v>
      </c>
      <c r="AA111">
        <v>537.64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0.02</v>
      </c>
      <c r="AH111">
        <v>2</v>
      </c>
      <c r="AI111">
        <v>74017867</v>
      </c>
      <c r="AJ111">
        <v>100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ROW(Source!A98)</f>
        <v>98</v>
      </c>
      <c r="B112">
        <v>74017868</v>
      </c>
      <c r="C112">
        <v>74016310</v>
      </c>
      <c r="D112">
        <v>72647141</v>
      </c>
      <c r="E112">
        <v>1</v>
      </c>
      <c r="F112">
        <v>1</v>
      </c>
      <c r="G112">
        <v>1</v>
      </c>
      <c r="H112">
        <v>2</v>
      </c>
      <c r="I112" t="s">
        <v>511</v>
      </c>
      <c r="J112" t="s">
        <v>512</v>
      </c>
      <c r="K112" t="s">
        <v>513</v>
      </c>
      <c r="L112">
        <v>1368</v>
      </c>
      <c r="N112">
        <v>1011</v>
      </c>
      <c r="O112" t="s">
        <v>488</v>
      </c>
      <c r="P112" t="s">
        <v>488</v>
      </c>
      <c r="Q112">
        <v>1</v>
      </c>
      <c r="X112">
        <v>0.04</v>
      </c>
      <c r="Y112">
        <v>0</v>
      </c>
      <c r="Z112">
        <v>417.12</v>
      </c>
      <c r="AA112">
        <v>400.24</v>
      </c>
      <c r="AB112">
        <v>0</v>
      </c>
      <c r="AC112">
        <v>0</v>
      </c>
      <c r="AD112">
        <v>1</v>
      </c>
      <c r="AE112">
        <v>0</v>
      </c>
      <c r="AF112" t="s">
        <v>3</v>
      </c>
      <c r="AG112">
        <v>0.04</v>
      </c>
      <c r="AH112">
        <v>2</v>
      </c>
      <c r="AI112">
        <v>74017868</v>
      </c>
      <c r="AJ112">
        <v>101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ROW(Source!A99)</f>
        <v>99</v>
      </c>
      <c r="B113">
        <v>74017877</v>
      </c>
      <c r="C113">
        <v>74016319</v>
      </c>
      <c r="D113">
        <v>72518791</v>
      </c>
      <c r="E113">
        <v>119</v>
      </c>
      <c r="F113">
        <v>1</v>
      </c>
      <c r="G113">
        <v>1</v>
      </c>
      <c r="H113">
        <v>1</v>
      </c>
      <c r="I113" t="s">
        <v>586</v>
      </c>
      <c r="J113" t="s">
        <v>3</v>
      </c>
      <c r="K113" t="s">
        <v>587</v>
      </c>
      <c r="L113">
        <v>1369</v>
      </c>
      <c r="N113">
        <v>1013</v>
      </c>
      <c r="O113" t="s">
        <v>585</v>
      </c>
      <c r="P113" t="s">
        <v>585</v>
      </c>
      <c r="Q113">
        <v>1</v>
      </c>
      <c r="X113">
        <v>19.899999999999999</v>
      </c>
      <c r="Y113">
        <v>0</v>
      </c>
      <c r="Z113">
        <v>0</v>
      </c>
      <c r="AA113">
        <v>0</v>
      </c>
      <c r="AB113">
        <v>400.24</v>
      </c>
      <c r="AC113">
        <v>0</v>
      </c>
      <c r="AD113">
        <v>1</v>
      </c>
      <c r="AE113">
        <v>1</v>
      </c>
      <c r="AF113" t="s">
        <v>3</v>
      </c>
      <c r="AG113">
        <v>19.899999999999999</v>
      </c>
      <c r="AH113">
        <v>2</v>
      </c>
      <c r="AI113">
        <v>74017877</v>
      </c>
      <c r="AJ113">
        <v>102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ROW(Source!A99)</f>
        <v>99</v>
      </c>
      <c r="B114">
        <v>74017878</v>
      </c>
      <c r="C114">
        <v>74016319</v>
      </c>
      <c r="D114">
        <v>72518793</v>
      </c>
      <c r="E114">
        <v>119</v>
      </c>
      <c r="F114">
        <v>1</v>
      </c>
      <c r="G114">
        <v>1</v>
      </c>
      <c r="H114">
        <v>1</v>
      </c>
      <c r="I114" t="s">
        <v>647</v>
      </c>
      <c r="J114" t="s">
        <v>3</v>
      </c>
      <c r="K114" t="s">
        <v>648</v>
      </c>
      <c r="L114">
        <v>1369</v>
      </c>
      <c r="N114">
        <v>1013</v>
      </c>
      <c r="O114" t="s">
        <v>585</v>
      </c>
      <c r="P114" t="s">
        <v>585</v>
      </c>
      <c r="Q114">
        <v>1</v>
      </c>
      <c r="X114">
        <v>19.899999999999999</v>
      </c>
      <c r="Y114">
        <v>0</v>
      </c>
      <c r="Z114">
        <v>0</v>
      </c>
      <c r="AA114">
        <v>0</v>
      </c>
      <c r="AB114">
        <v>459.98</v>
      </c>
      <c r="AC114">
        <v>0</v>
      </c>
      <c r="AD114">
        <v>1</v>
      </c>
      <c r="AE114">
        <v>1</v>
      </c>
      <c r="AF114" t="s">
        <v>3</v>
      </c>
      <c r="AG114">
        <v>19.899999999999999</v>
      </c>
      <c r="AH114">
        <v>2</v>
      </c>
      <c r="AI114">
        <v>74017878</v>
      </c>
      <c r="AJ114">
        <v>103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ROW(Source!A99)</f>
        <v>99</v>
      </c>
      <c r="B115">
        <v>74017879</v>
      </c>
      <c r="C115">
        <v>74016319</v>
      </c>
      <c r="D115">
        <v>72518826</v>
      </c>
      <c r="E115">
        <v>119</v>
      </c>
      <c r="F115">
        <v>1</v>
      </c>
      <c r="G115">
        <v>1</v>
      </c>
      <c r="H115">
        <v>1</v>
      </c>
      <c r="I115" t="s">
        <v>482</v>
      </c>
      <c r="J115" t="s">
        <v>3</v>
      </c>
      <c r="K115" t="s">
        <v>483</v>
      </c>
      <c r="L115">
        <v>1191</v>
      </c>
      <c r="N115">
        <v>1013</v>
      </c>
      <c r="O115" t="s">
        <v>484</v>
      </c>
      <c r="P115" t="s">
        <v>484</v>
      </c>
      <c r="Q115">
        <v>1</v>
      </c>
      <c r="X115">
        <v>0.01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 t="s">
        <v>3</v>
      </c>
      <c r="AG115">
        <v>0.01</v>
      </c>
      <c r="AH115">
        <v>2</v>
      </c>
      <c r="AI115">
        <v>74017879</v>
      </c>
      <c r="AJ115">
        <v>104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ROW(Source!A99)</f>
        <v>99</v>
      </c>
      <c r="B116">
        <v>74017880</v>
      </c>
      <c r="C116">
        <v>74016319</v>
      </c>
      <c r="D116">
        <v>72647140</v>
      </c>
      <c r="E116">
        <v>1</v>
      </c>
      <c r="F116">
        <v>1</v>
      </c>
      <c r="G116">
        <v>1</v>
      </c>
      <c r="H116">
        <v>2</v>
      </c>
      <c r="I116" t="s">
        <v>649</v>
      </c>
      <c r="J116" t="s">
        <v>650</v>
      </c>
      <c r="K116" t="s">
        <v>651</v>
      </c>
      <c r="L116">
        <v>1368</v>
      </c>
      <c r="N116">
        <v>1011</v>
      </c>
      <c r="O116" t="s">
        <v>488</v>
      </c>
      <c r="P116" t="s">
        <v>488</v>
      </c>
      <c r="Q116">
        <v>1</v>
      </c>
      <c r="X116">
        <v>0.01</v>
      </c>
      <c r="Y116">
        <v>0</v>
      </c>
      <c r="Z116">
        <v>2445.0500000000002</v>
      </c>
      <c r="AA116">
        <v>400.24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0.01</v>
      </c>
      <c r="AH116">
        <v>2</v>
      </c>
      <c r="AI116">
        <v>74017880</v>
      </c>
      <c r="AJ116">
        <v>105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ROW(Source!A99)</f>
        <v>99</v>
      </c>
      <c r="B117">
        <v>74017881</v>
      </c>
      <c r="C117">
        <v>74016319</v>
      </c>
      <c r="D117">
        <v>72591341</v>
      </c>
      <c r="E117">
        <v>1</v>
      </c>
      <c r="F117">
        <v>1</v>
      </c>
      <c r="G117">
        <v>1</v>
      </c>
      <c r="H117">
        <v>3</v>
      </c>
      <c r="I117" t="s">
        <v>627</v>
      </c>
      <c r="J117" t="s">
        <v>628</v>
      </c>
      <c r="K117" t="s">
        <v>629</v>
      </c>
      <c r="L117">
        <v>1339</v>
      </c>
      <c r="N117">
        <v>1007</v>
      </c>
      <c r="O117" t="s">
        <v>48</v>
      </c>
      <c r="P117" t="s">
        <v>48</v>
      </c>
      <c r="Q117">
        <v>1</v>
      </c>
      <c r="X117">
        <v>0.1</v>
      </c>
      <c r="Y117">
        <v>35.71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0</v>
      </c>
      <c r="AF117" t="s">
        <v>3</v>
      </c>
      <c r="AG117">
        <v>0.1</v>
      </c>
      <c r="AH117">
        <v>2</v>
      </c>
      <c r="AI117">
        <v>74017881</v>
      </c>
      <c r="AJ117">
        <v>106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ROW(Source!A99)</f>
        <v>99</v>
      </c>
      <c r="B118">
        <v>74017882</v>
      </c>
      <c r="C118">
        <v>74016319</v>
      </c>
      <c r="D118">
        <v>72591641</v>
      </c>
      <c r="E118">
        <v>1</v>
      </c>
      <c r="F118">
        <v>1</v>
      </c>
      <c r="G118">
        <v>1</v>
      </c>
      <c r="H118">
        <v>3</v>
      </c>
      <c r="I118" t="s">
        <v>652</v>
      </c>
      <c r="J118" t="s">
        <v>653</v>
      </c>
      <c r="K118" t="s">
        <v>654</v>
      </c>
      <c r="L118">
        <v>1346</v>
      </c>
      <c r="N118">
        <v>1009</v>
      </c>
      <c r="O118" t="s">
        <v>314</v>
      </c>
      <c r="P118" t="s">
        <v>314</v>
      </c>
      <c r="Q118">
        <v>1</v>
      </c>
      <c r="X118">
        <v>0.01</v>
      </c>
      <c r="Y118">
        <v>114.25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 t="s">
        <v>3</v>
      </c>
      <c r="AG118">
        <v>0.01</v>
      </c>
      <c r="AH118">
        <v>2</v>
      </c>
      <c r="AI118">
        <v>74017882</v>
      </c>
      <c r="AJ118">
        <v>107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ROW(Source!A99)</f>
        <v>99</v>
      </c>
      <c r="B119">
        <v>74017883</v>
      </c>
      <c r="C119">
        <v>74016319</v>
      </c>
      <c r="D119">
        <v>72524515</v>
      </c>
      <c r="E119">
        <v>119</v>
      </c>
      <c r="F119">
        <v>1</v>
      </c>
      <c r="G119">
        <v>1</v>
      </c>
      <c r="H119">
        <v>3</v>
      </c>
      <c r="I119" t="s">
        <v>794</v>
      </c>
      <c r="J119" t="s">
        <v>3</v>
      </c>
      <c r="K119" t="s">
        <v>795</v>
      </c>
      <c r="L119">
        <v>1371</v>
      </c>
      <c r="N119">
        <v>1013</v>
      </c>
      <c r="O119" t="s">
        <v>130</v>
      </c>
      <c r="P119" t="s">
        <v>130</v>
      </c>
      <c r="Q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0</v>
      </c>
      <c r="AE119">
        <v>0</v>
      </c>
      <c r="AF119" t="s">
        <v>3</v>
      </c>
      <c r="AG119">
        <v>0</v>
      </c>
      <c r="AH119">
        <v>3</v>
      </c>
      <c r="AI119">
        <v>-1</v>
      </c>
      <c r="AJ119" t="s">
        <v>3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ROW(Source!A100)</f>
        <v>100</v>
      </c>
      <c r="B120">
        <v>74016338</v>
      </c>
      <c r="C120">
        <v>74016333</v>
      </c>
      <c r="D120">
        <v>20055278</v>
      </c>
      <c r="E120">
        <v>118</v>
      </c>
      <c r="F120">
        <v>1</v>
      </c>
      <c r="G120">
        <v>1</v>
      </c>
      <c r="H120">
        <v>1</v>
      </c>
      <c r="I120" t="s">
        <v>642</v>
      </c>
      <c r="J120" t="s">
        <v>3</v>
      </c>
      <c r="K120" t="s">
        <v>643</v>
      </c>
      <c r="L120">
        <v>1191</v>
      </c>
      <c r="N120">
        <v>1013</v>
      </c>
      <c r="O120" t="s">
        <v>484</v>
      </c>
      <c r="P120" t="s">
        <v>484</v>
      </c>
      <c r="Q120">
        <v>1</v>
      </c>
      <c r="X120">
        <v>14</v>
      </c>
      <c r="Y120">
        <v>0</v>
      </c>
      <c r="Z120">
        <v>0</v>
      </c>
      <c r="AA120">
        <v>0</v>
      </c>
      <c r="AB120">
        <v>393.89</v>
      </c>
      <c r="AC120">
        <v>0</v>
      </c>
      <c r="AD120">
        <v>1</v>
      </c>
      <c r="AE120">
        <v>1</v>
      </c>
      <c r="AF120" t="s">
        <v>3</v>
      </c>
      <c r="AG120">
        <v>14</v>
      </c>
      <c r="AH120">
        <v>2</v>
      </c>
      <c r="AI120">
        <v>74016334</v>
      </c>
      <c r="AJ120">
        <v>108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ROW(Source!A100)</f>
        <v>100</v>
      </c>
      <c r="B121">
        <v>74016339</v>
      </c>
      <c r="C121">
        <v>74016333</v>
      </c>
      <c r="D121">
        <v>20049115</v>
      </c>
      <c r="E121">
        <v>118</v>
      </c>
      <c r="F121">
        <v>1</v>
      </c>
      <c r="G121">
        <v>1</v>
      </c>
      <c r="H121">
        <v>1</v>
      </c>
      <c r="I121" t="s">
        <v>482</v>
      </c>
      <c r="J121" t="s">
        <v>3</v>
      </c>
      <c r="K121" t="s">
        <v>483</v>
      </c>
      <c r="L121">
        <v>1191</v>
      </c>
      <c r="N121">
        <v>1013</v>
      </c>
      <c r="O121" t="s">
        <v>484</v>
      </c>
      <c r="P121" t="s">
        <v>484</v>
      </c>
      <c r="Q121">
        <v>1</v>
      </c>
      <c r="X121">
        <v>9.8000000000000007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2</v>
      </c>
      <c r="AF121" t="s">
        <v>3</v>
      </c>
      <c r="AG121">
        <v>9.8000000000000007</v>
      </c>
      <c r="AH121">
        <v>2</v>
      </c>
      <c r="AI121">
        <v>74016335</v>
      </c>
      <c r="AJ121">
        <v>109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ROW(Source!A100)</f>
        <v>100</v>
      </c>
      <c r="B122">
        <v>74016340</v>
      </c>
      <c r="C122">
        <v>74016333</v>
      </c>
      <c r="D122">
        <v>70618538</v>
      </c>
      <c r="E122">
        <v>1</v>
      </c>
      <c r="F122">
        <v>1</v>
      </c>
      <c r="G122">
        <v>1</v>
      </c>
      <c r="H122">
        <v>2</v>
      </c>
      <c r="I122" t="s">
        <v>644</v>
      </c>
      <c r="J122" t="s">
        <v>645</v>
      </c>
      <c r="K122" t="s">
        <v>646</v>
      </c>
      <c r="L122">
        <v>1368</v>
      </c>
      <c r="N122">
        <v>1011</v>
      </c>
      <c r="O122" t="s">
        <v>488</v>
      </c>
      <c r="P122" t="s">
        <v>488</v>
      </c>
      <c r="Q122">
        <v>1</v>
      </c>
      <c r="X122">
        <v>2.8</v>
      </c>
      <c r="Y122">
        <v>0</v>
      </c>
      <c r="Z122">
        <v>1601.67</v>
      </c>
      <c r="AA122">
        <v>529.11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2.8</v>
      </c>
      <c r="AH122">
        <v>2</v>
      </c>
      <c r="AI122">
        <v>74016336</v>
      </c>
      <c r="AJ122">
        <v>110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ROW(Source!A100)</f>
        <v>100</v>
      </c>
      <c r="B123">
        <v>74016341</v>
      </c>
      <c r="C123">
        <v>74016333</v>
      </c>
      <c r="D123">
        <v>70618767</v>
      </c>
      <c r="E123">
        <v>1</v>
      </c>
      <c r="F123">
        <v>1</v>
      </c>
      <c r="G123">
        <v>1</v>
      </c>
      <c r="H123">
        <v>2</v>
      </c>
      <c r="I123" t="s">
        <v>511</v>
      </c>
      <c r="J123" t="s">
        <v>512</v>
      </c>
      <c r="K123" t="s">
        <v>513</v>
      </c>
      <c r="L123">
        <v>1368</v>
      </c>
      <c r="N123">
        <v>1011</v>
      </c>
      <c r="O123" t="s">
        <v>488</v>
      </c>
      <c r="P123" t="s">
        <v>488</v>
      </c>
      <c r="Q123">
        <v>1</v>
      </c>
      <c r="X123">
        <v>7</v>
      </c>
      <c r="Y123">
        <v>0</v>
      </c>
      <c r="Z123">
        <v>404.41</v>
      </c>
      <c r="AA123">
        <v>393.89</v>
      </c>
      <c r="AB123">
        <v>0</v>
      </c>
      <c r="AC123">
        <v>0</v>
      </c>
      <c r="AD123">
        <v>1</v>
      </c>
      <c r="AE123">
        <v>0</v>
      </c>
      <c r="AF123" t="s">
        <v>3</v>
      </c>
      <c r="AG123">
        <v>7</v>
      </c>
      <c r="AH123">
        <v>2</v>
      </c>
      <c r="AI123">
        <v>74016337</v>
      </c>
      <c r="AJ123">
        <v>111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ROW(Source!A136)</f>
        <v>136</v>
      </c>
      <c r="B124">
        <v>74016415</v>
      </c>
      <c r="C124">
        <v>74016400</v>
      </c>
      <c r="D124">
        <v>20054330</v>
      </c>
      <c r="E124">
        <v>119</v>
      </c>
      <c r="F124">
        <v>1</v>
      </c>
      <c r="G124">
        <v>1</v>
      </c>
      <c r="H124">
        <v>1</v>
      </c>
      <c r="I124" t="s">
        <v>503</v>
      </c>
      <c r="J124" t="s">
        <v>3</v>
      </c>
      <c r="K124" t="s">
        <v>504</v>
      </c>
      <c r="L124">
        <v>1191</v>
      </c>
      <c r="N124">
        <v>1013</v>
      </c>
      <c r="O124" t="s">
        <v>484</v>
      </c>
      <c r="P124" t="s">
        <v>484</v>
      </c>
      <c r="Q124">
        <v>1</v>
      </c>
      <c r="X124">
        <v>20.51</v>
      </c>
      <c r="Y124">
        <v>0</v>
      </c>
      <c r="Z124">
        <v>0</v>
      </c>
      <c r="AA124">
        <v>0</v>
      </c>
      <c r="AB124">
        <v>373.36</v>
      </c>
      <c r="AC124">
        <v>0</v>
      </c>
      <c r="AD124">
        <v>1</v>
      </c>
      <c r="AE124">
        <v>1</v>
      </c>
      <c r="AF124" t="s">
        <v>3</v>
      </c>
      <c r="AG124">
        <v>20.51</v>
      </c>
      <c r="AH124">
        <v>2</v>
      </c>
      <c r="AI124">
        <v>74016401</v>
      </c>
      <c r="AJ124">
        <v>112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ROW(Source!A136)</f>
        <v>136</v>
      </c>
      <c r="B125">
        <v>74016416</v>
      </c>
      <c r="C125">
        <v>74016400</v>
      </c>
      <c r="D125">
        <v>20049115</v>
      </c>
      <c r="E125">
        <v>119</v>
      </c>
      <c r="F125">
        <v>1</v>
      </c>
      <c r="G125">
        <v>1</v>
      </c>
      <c r="H125">
        <v>1</v>
      </c>
      <c r="I125" t="s">
        <v>482</v>
      </c>
      <c r="J125" t="s">
        <v>3</v>
      </c>
      <c r="K125" t="s">
        <v>483</v>
      </c>
      <c r="L125">
        <v>1191</v>
      </c>
      <c r="N125">
        <v>1013</v>
      </c>
      <c r="O125" t="s">
        <v>484</v>
      </c>
      <c r="P125" t="s">
        <v>484</v>
      </c>
      <c r="Q125">
        <v>1</v>
      </c>
      <c r="X125">
        <v>11.96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2</v>
      </c>
      <c r="AF125" t="s">
        <v>3</v>
      </c>
      <c r="AG125">
        <v>11.96</v>
      </c>
      <c r="AH125">
        <v>2</v>
      </c>
      <c r="AI125">
        <v>74016402</v>
      </c>
      <c r="AJ125">
        <v>113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ROW(Source!A136)</f>
        <v>136</v>
      </c>
      <c r="B126">
        <v>74016417</v>
      </c>
      <c r="C126">
        <v>74016400</v>
      </c>
      <c r="D126">
        <v>72646682</v>
      </c>
      <c r="E126">
        <v>1</v>
      </c>
      <c r="F126">
        <v>1</v>
      </c>
      <c r="G126">
        <v>1</v>
      </c>
      <c r="H126">
        <v>2</v>
      </c>
      <c r="I126" t="s">
        <v>505</v>
      </c>
      <c r="J126" t="s">
        <v>506</v>
      </c>
      <c r="K126" t="s">
        <v>507</v>
      </c>
      <c r="L126">
        <v>1368</v>
      </c>
      <c r="N126">
        <v>1011</v>
      </c>
      <c r="O126" t="s">
        <v>488</v>
      </c>
      <c r="P126" t="s">
        <v>488</v>
      </c>
      <c r="Q126">
        <v>1</v>
      </c>
      <c r="X126">
        <v>11.44</v>
      </c>
      <c r="Y126">
        <v>0</v>
      </c>
      <c r="Z126">
        <v>994.01</v>
      </c>
      <c r="AA126">
        <v>459.98</v>
      </c>
      <c r="AB126">
        <v>0</v>
      </c>
      <c r="AC126">
        <v>0</v>
      </c>
      <c r="AD126">
        <v>1</v>
      </c>
      <c r="AE126">
        <v>0</v>
      </c>
      <c r="AF126" t="s">
        <v>3</v>
      </c>
      <c r="AG126">
        <v>11.44</v>
      </c>
      <c r="AH126">
        <v>2</v>
      </c>
      <c r="AI126">
        <v>74016403</v>
      </c>
      <c r="AJ126">
        <v>114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ROW(Source!A136)</f>
        <v>136</v>
      </c>
      <c r="B127">
        <v>74016418</v>
      </c>
      <c r="C127">
        <v>74016400</v>
      </c>
      <c r="D127">
        <v>72647129</v>
      </c>
      <c r="E127">
        <v>1</v>
      </c>
      <c r="F127">
        <v>1</v>
      </c>
      <c r="G127">
        <v>1</v>
      </c>
      <c r="H127">
        <v>2</v>
      </c>
      <c r="I127" t="s">
        <v>508</v>
      </c>
      <c r="J127" t="s">
        <v>509</v>
      </c>
      <c r="K127" t="s">
        <v>510</v>
      </c>
      <c r="L127">
        <v>1368</v>
      </c>
      <c r="N127">
        <v>1011</v>
      </c>
      <c r="O127" t="s">
        <v>488</v>
      </c>
      <c r="P127" t="s">
        <v>488</v>
      </c>
      <c r="Q127">
        <v>1</v>
      </c>
      <c r="X127">
        <v>2.0699999999999998</v>
      </c>
      <c r="Y127">
        <v>0</v>
      </c>
      <c r="Z127">
        <v>43.87</v>
      </c>
      <c r="AA127">
        <v>0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2.0699999999999998</v>
      </c>
      <c r="AH127">
        <v>2</v>
      </c>
      <c r="AI127">
        <v>74016404</v>
      </c>
      <c r="AJ127">
        <v>115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ROW(Source!A136)</f>
        <v>136</v>
      </c>
      <c r="B128">
        <v>74016419</v>
      </c>
      <c r="C128">
        <v>74016400</v>
      </c>
      <c r="D128">
        <v>72647141</v>
      </c>
      <c r="E128">
        <v>1</v>
      </c>
      <c r="F128">
        <v>1</v>
      </c>
      <c r="G128">
        <v>1</v>
      </c>
      <c r="H128">
        <v>2</v>
      </c>
      <c r="I128" t="s">
        <v>511</v>
      </c>
      <c r="J128" t="s">
        <v>512</v>
      </c>
      <c r="K128" t="s">
        <v>513</v>
      </c>
      <c r="L128">
        <v>1368</v>
      </c>
      <c r="N128">
        <v>1011</v>
      </c>
      <c r="O128" t="s">
        <v>488</v>
      </c>
      <c r="P128" t="s">
        <v>488</v>
      </c>
      <c r="Q128">
        <v>1</v>
      </c>
      <c r="X128">
        <v>0.52</v>
      </c>
      <c r="Y128">
        <v>0</v>
      </c>
      <c r="Z128">
        <v>417.12</v>
      </c>
      <c r="AA128">
        <v>400.24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0.52</v>
      </c>
      <c r="AH128">
        <v>2</v>
      </c>
      <c r="AI128">
        <v>74016405</v>
      </c>
      <c r="AJ128">
        <v>116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ROW(Source!A136)</f>
        <v>136</v>
      </c>
      <c r="B129">
        <v>74016420</v>
      </c>
      <c r="C129">
        <v>74016400</v>
      </c>
      <c r="D129">
        <v>72647493</v>
      </c>
      <c r="E129">
        <v>1</v>
      </c>
      <c r="F129">
        <v>1</v>
      </c>
      <c r="G129">
        <v>1</v>
      </c>
      <c r="H129">
        <v>2</v>
      </c>
      <c r="I129" t="s">
        <v>515</v>
      </c>
      <c r="J129" t="s">
        <v>516</v>
      </c>
      <c r="K129" t="s">
        <v>517</v>
      </c>
      <c r="L129">
        <v>1368</v>
      </c>
      <c r="N129">
        <v>1011</v>
      </c>
      <c r="O129" t="s">
        <v>488</v>
      </c>
      <c r="P129" t="s">
        <v>488</v>
      </c>
      <c r="Q129">
        <v>1</v>
      </c>
      <c r="X129">
        <v>0.52</v>
      </c>
      <c r="Y129">
        <v>0</v>
      </c>
      <c r="Z129">
        <v>4.5199999999999996</v>
      </c>
      <c r="AA129">
        <v>0</v>
      </c>
      <c r="AB129">
        <v>0</v>
      </c>
      <c r="AC129">
        <v>0</v>
      </c>
      <c r="AD129">
        <v>1</v>
      </c>
      <c r="AE129">
        <v>0</v>
      </c>
      <c r="AF129" t="s">
        <v>3</v>
      </c>
      <c r="AG129">
        <v>0.52</v>
      </c>
      <c r="AH129">
        <v>2</v>
      </c>
      <c r="AI129">
        <v>74016406</v>
      </c>
      <c r="AJ129">
        <v>117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ROW(Source!A136)</f>
        <v>136</v>
      </c>
      <c r="B130">
        <v>74016421</v>
      </c>
      <c r="C130">
        <v>74016400</v>
      </c>
      <c r="D130">
        <v>72591353</v>
      </c>
      <c r="E130">
        <v>1</v>
      </c>
      <c r="F130">
        <v>1</v>
      </c>
      <c r="G130">
        <v>1</v>
      </c>
      <c r="H130">
        <v>3</v>
      </c>
      <c r="I130" t="s">
        <v>518</v>
      </c>
      <c r="J130" t="s">
        <v>519</v>
      </c>
      <c r="K130" t="s">
        <v>520</v>
      </c>
      <c r="L130">
        <v>1383</v>
      </c>
      <c r="N130">
        <v>1013</v>
      </c>
      <c r="O130" t="s">
        <v>521</v>
      </c>
      <c r="P130" t="s">
        <v>521</v>
      </c>
      <c r="Q130">
        <v>1</v>
      </c>
      <c r="X130">
        <v>1.3859999999999999</v>
      </c>
      <c r="Y130">
        <v>9.5500000000000007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0</v>
      </c>
      <c r="AF130" t="s">
        <v>3</v>
      </c>
      <c r="AG130">
        <v>1.3859999999999999</v>
      </c>
      <c r="AH130">
        <v>2</v>
      </c>
      <c r="AI130">
        <v>74016407</v>
      </c>
      <c r="AJ130">
        <v>118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ROW(Source!A136)</f>
        <v>136</v>
      </c>
      <c r="B131">
        <v>74016422</v>
      </c>
      <c r="C131">
        <v>74016400</v>
      </c>
      <c r="D131">
        <v>72592092</v>
      </c>
      <c r="E131">
        <v>1</v>
      </c>
      <c r="F131">
        <v>1</v>
      </c>
      <c r="G131">
        <v>1</v>
      </c>
      <c r="H131">
        <v>3</v>
      </c>
      <c r="I131" t="s">
        <v>522</v>
      </c>
      <c r="J131" t="s">
        <v>523</v>
      </c>
      <c r="K131" t="s">
        <v>524</v>
      </c>
      <c r="L131">
        <v>1346</v>
      </c>
      <c r="N131">
        <v>1009</v>
      </c>
      <c r="O131" t="s">
        <v>314</v>
      </c>
      <c r="P131" t="s">
        <v>314</v>
      </c>
      <c r="Q131">
        <v>1</v>
      </c>
      <c r="X131">
        <v>0.7</v>
      </c>
      <c r="Y131">
        <v>131.85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 t="s">
        <v>3</v>
      </c>
      <c r="AG131">
        <v>0.7</v>
      </c>
      <c r="AH131">
        <v>2</v>
      </c>
      <c r="AI131">
        <v>74016408</v>
      </c>
      <c r="AJ131">
        <v>119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ROW(Source!A136)</f>
        <v>136</v>
      </c>
      <c r="B132">
        <v>74016423</v>
      </c>
      <c r="C132">
        <v>74016400</v>
      </c>
      <c r="D132">
        <v>72592880</v>
      </c>
      <c r="E132">
        <v>1</v>
      </c>
      <c r="F132">
        <v>1</v>
      </c>
      <c r="G132">
        <v>1</v>
      </c>
      <c r="H132">
        <v>3</v>
      </c>
      <c r="I132" t="s">
        <v>525</v>
      </c>
      <c r="J132" t="s">
        <v>526</v>
      </c>
      <c r="K132" t="s">
        <v>527</v>
      </c>
      <c r="L132">
        <v>1348</v>
      </c>
      <c r="N132">
        <v>1009</v>
      </c>
      <c r="O132" t="s">
        <v>243</v>
      </c>
      <c r="P132" t="s">
        <v>243</v>
      </c>
      <c r="Q132">
        <v>1000</v>
      </c>
      <c r="X132">
        <v>4.0000000000000002E-4</v>
      </c>
      <c r="Y132">
        <v>108495.2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 t="s">
        <v>3</v>
      </c>
      <c r="AG132">
        <v>4.0000000000000002E-4</v>
      </c>
      <c r="AH132">
        <v>2</v>
      </c>
      <c r="AI132">
        <v>74016409</v>
      </c>
      <c r="AJ132">
        <v>120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ROW(Source!A136)</f>
        <v>136</v>
      </c>
      <c r="B133">
        <v>74016424</v>
      </c>
      <c r="C133">
        <v>74016400</v>
      </c>
      <c r="D133">
        <v>72598246</v>
      </c>
      <c r="E133">
        <v>1</v>
      </c>
      <c r="F133">
        <v>1</v>
      </c>
      <c r="G133">
        <v>1</v>
      </c>
      <c r="H133">
        <v>3</v>
      </c>
      <c r="I133" t="s">
        <v>528</v>
      </c>
      <c r="J133" t="s">
        <v>529</v>
      </c>
      <c r="K133" t="s">
        <v>530</v>
      </c>
      <c r="L133">
        <v>1346</v>
      </c>
      <c r="N133">
        <v>1009</v>
      </c>
      <c r="O133" t="s">
        <v>314</v>
      </c>
      <c r="P133" t="s">
        <v>314</v>
      </c>
      <c r="Q133">
        <v>1</v>
      </c>
      <c r="X133">
        <v>1</v>
      </c>
      <c r="Y133">
        <v>44.55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 t="s">
        <v>3</v>
      </c>
      <c r="AG133">
        <v>1</v>
      </c>
      <c r="AH133">
        <v>2</v>
      </c>
      <c r="AI133">
        <v>74016410</v>
      </c>
      <c r="AJ133">
        <v>121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ROW(Source!A136)</f>
        <v>136</v>
      </c>
      <c r="B134">
        <v>74016425</v>
      </c>
      <c r="C134">
        <v>74016400</v>
      </c>
      <c r="D134">
        <v>72610535</v>
      </c>
      <c r="E134">
        <v>1</v>
      </c>
      <c r="F134">
        <v>1</v>
      </c>
      <c r="G134">
        <v>1</v>
      </c>
      <c r="H134">
        <v>3</v>
      </c>
      <c r="I134" t="s">
        <v>531</v>
      </c>
      <c r="J134" t="s">
        <v>532</v>
      </c>
      <c r="K134" t="s">
        <v>533</v>
      </c>
      <c r="L134">
        <v>1348</v>
      </c>
      <c r="N134">
        <v>1009</v>
      </c>
      <c r="O134" t="s">
        <v>243</v>
      </c>
      <c r="P134" t="s">
        <v>243</v>
      </c>
      <c r="Q134">
        <v>1000</v>
      </c>
      <c r="X134">
        <v>1.4E-3</v>
      </c>
      <c r="Y134">
        <v>74437.320000000007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1.4E-3</v>
      </c>
      <c r="AH134">
        <v>2</v>
      </c>
      <c r="AI134">
        <v>74016411</v>
      </c>
      <c r="AJ134">
        <v>122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ROW(Source!A136)</f>
        <v>136</v>
      </c>
      <c r="B135">
        <v>74016426</v>
      </c>
      <c r="C135">
        <v>74016400</v>
      </c>
      <c r="D135">
        <v>72610660</v>
      </c>
      <c r="E135">
        <v>1</v>
      </c>
      <c r="F135">
        <v>1</v>
      </c>
      <c r="G135">
        <v>1</v>
      </c>
      <c r="H135">
        <v>3</v>
      </c>
      <c r="I135" t="s">
        <v>534</v>
      </c>
      <c r="J135" t="s">
        <v>535</v>
      </c>
      <c r="K135" t="s">
        <v>536</v>
      </c>
      <c r="L135">
        <v>1348</v>
      </c>
      <c r="N135">
        <v>1009</v>
      </c>
      <c r="O135" t="s">
        <v>243</v>
      </c>
      <c r="P135" t="s">
        <v>243</v>
      </c>
      <c r="Q135">
        <v>1000</v>
      </c>
      <c r="X135">
        <v>3.5999999999999999E-3</v>
      </c>
      <c r="Y135">
        <v>260763.78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3.5999999999999999E-3</v>
      </c>
      <c r="AH135">
        <v>2</v>
      </c>
      <c r="AI135">
        <v>74016412</v>
      </c>
      <c r="AJ135">
        <v>123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ROW(Source!A136)</f>
        <v>136</v>
      </c>
      <c r="B136">
        <v>74016427</v>
      </c>
      <c r="C136">
        <v>74016400</v>
      </c>
      <c r="D136">
        <v>72610910</v>
      </c>
      <c r="E136">
        <v>1</v>
      </c>
      <c r="F136">
        <v>1</v>
      </c>
      <c r="G136">
        <v>1</v>
      </c>
      <c r="H136">
        <v>3</v>
      </c>
      <c r="I136" t="s">
        <v>537</v>
      </c>
      <c r="J136" t="s">
        <v>538</v>
      </c>
      <c r="K136" t="s">
        <v>539</v>
      </c>
      <c r="L136">
        <v>1348</v>
      </c>
      <c r="N136">
        <v>1009</v>
      </c>
      <c r="O136" t="s">
        <v>243</v>
      </c>
      <c r="P136" t="s">
        <v>243</v>
      </c>
      <c r="Q136">
        <v>1000</v>
      </c>
      <c r="X136">
        <v>2.2000000000000001E-4</v>
      </c>
      <c r="Y136">
        <v>75885.63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 t="s">
        <v>3</v>
      </c>
      <c r="AG136">
        <v>2.2000000000000001E-4</v>
      </c>
      <c r="AH136">
        <v>2</v>
      </c>
      <c r="AI136">
        <v>74016413</v>
      </c>
      <c r="AJ136">
        <v>124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ROW(Source!A136)</f>
        <v>136</v>
      </c>
      <c r="B137">
        <v>74016428</v>
      </c>
      <c r="C137">
        <v>74016400</v>
      </c>
      <c r="D137">
        <v>72610937</v>
      </c>
      <c r="E137">
        <v>1</v>
      </c>
      <c r="F137">
        <v>1</v>
      </c>
      <c r="G137">
        <v>1</v>
      </c>
      <c r="H137">
        <v>3</v>
      </c>
      <c r="I137" t="s">
        <v>540</v>
      </c>
      <c r="J137" t="s">
        <v>541</v>
      </c>
      <c r="K137" t="s">
        <v>542</v>
      </c>
      <c r="L137">
        <v>1348</v>
      </c>
      <c r="N137">
        <v>1009</v>
      </c>
      <c r="O137" t="s">
        <v>243</v>
      </c>
      <c r="P137" t="s">
        <v>243</v>
      </c>
      <c r="Q137">
        <v>1000</v>
      </c>
      <c r="X137">
        <v>1.6999999999999999E-3</v>
      </c>
      <c r="Y137">
        <v>98526.45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0</v>
      </c>
      <c r="AF137" t="s">
        <v>3</v>
      </c>
      <c r="AG137">
        <v>1.6999999999999999E-3</v>
      </c>
      <c r="AH137">
        <v>2</v>
      </c>
      <c r="AI137">
        <v>74016414</v>
      </c>
      <c r="AJ137">
        <v>125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ROW(Source!A136)</f>
        <v>136</v>
      </c>
      <c r="B138">
        <v>74016429</v>
      </c>
      <c r="C138">
        <v>74016400</v>
      </c>
      <c r="D138">
        <v>72524162</v>
      </c>
      <c r="E138">
        <v>119</v>
      </c>
      <c r="F138">
        <v>1</v>
      </c>
      <c r="G138">
        <v>1</v>
      </c>
      <c r="H138">
        <v>3</v>
      </c>
      <c r="I138" t="s">
        <v>769</v>
      </c>
      <c r="J138" t="s">
        <v>3</v>
      </c>
      <c r="K138" t="s">
        <v>770</v>
      </c>
      <c r="L138">
        <v>1301</v>
      </c>
      <c r="N138">
        <v>1003</v>
      </c>
      <c r="O138" t="s">
        <v>125</v>
      </c>
      <c r="P138" t="s">
        <v>125</v>
      </c>
      <c r="Q138">
        <v>1</v>
      </c>
      <c r="X138">
        <v>101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 t="s">
        <v>3</v>
      </c>
      <c r="AG138">
        <v>101</v>
      </c>
      <c r="AH138">
        <v>3</v>
      </c>
      <c r="AI138">
        <v>-1</v>
      </c>
      <c r="AJ138" t="s">
        <v>3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ROW(Source!A138)</f>
        <v>138</v>
      </c>
      <c r="B139">
        <v>74016437</v>
      </c>
      <c r="C139">
        <v>74016431</v>
      </c>
      <c r="D139">
        <v>20098421</v>
      </c>
      <c r="E139">
        <v>119</v>
      </c>
      <c r="F139">
        <v>1</v>
      </c>
      <c r="G139">
        <v>1</v>
      </c>
      <c r="H139">
        <v>1</v>
      </c>
      <c r="I139" t="s">
        <v>655</v>
      </c>
      <c r="J139" t="s">
        <v>3</v>
      </c>
      <c r="K139" t="s">
        <v>656</v>
      </c>
      <c r="L139">
        <v>1191</v>
      </c>
      <c r="N139">
        <v>1013</v>
      </c>
      <c r="O139" t="s">
        <v>484</v>
      </c>
      <c r="P139" t="s">
        <v>484</v>
      </c>
      <c r="Q139">
        <v>1</v>
      </c>
      <c r="X139">
        <v>0.32</v>
      </c>
      <c r="Y139">
        <v>0</v>
      </c>
      <c r="Z139">
        <v>0</v>
      </c>
      <c r="AA139">
        <v>0</v>
      </c>
      <c r="AB139">
        <v>459.98</v>
      </c>
      <c r="AC139">
        <v>0</v>
      </c>
      <c r="AD139">
        <v>1</v>
      </c>
      <c r="AE139">
        <v>1</v>
      </c>
      <c r="AF139" t="s">
        <v>3</v>
      </c>
      <c r="AG139">
        <v>0.32</v>
      </c>
      <c r="AH139">
        <v>2</v>
      </c>
      <c r="AI139">
        <v>74016432</v>
      </c>
      <c r="AJ139">
        <v>126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ROW(Source!A138)</f>
        <v>138</v>
      </c>
      <c r="B140">
        <v>74016438</v>
      </c>
      <c r="C140">
        <v>74016431</v>
      </c>
      <c r="D140">
        <v>20049115</v>
      </c>
      <c r="E140">
        <v>119</v>
      </c>
      <c r="F140">
        <v>1</v>
      </c>
      <c r="G140">
        <v>1</v>
      </c>
      <c r="H140">
        <v>1</v>
      </c>
      <c r="I140" t="s">
        <v>482</v>
      </c>
      <c r="J140" t="s">
        <v>3</v>
      </c>
      <c r="K140" t="s">
        <v>483</v>
      </c>
      <c r="L140">
        <v>1191</v>
      </c>
      <c r="N140">
        <v>1013</v>
      </c>
      <c r="O140" t="s">
        <v>484</v>
      </c>
      <c r="P140" t="s">
        <v>484</v>
      </c>
      <c r="Q140">
        <v>1</v>
      </c>
      <c r="X140">
        <v>0.18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2</v>
      </c>
      <c r="AF140" t="s">
        <v>3</v>
      </c>
      <c r="AG140">
        <v>0.18</v>
      </c>
      <c r="AH140">
        <v>2</v>
      </c>
      <c r="AI140">
        <v>74016433</v>
      </c>
      <c r="AJ140">
        <v>127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ROW(Source!A138)</f>
        <v>138</v>
      </c>
      <c r="B141">
        <v>74016439</v>
      </c>
      <c r="C141">
        <v>74016431</v>
      </c>
      <c r="D141">
        <v>72647086</v>
      </c>
      <c r="E141">
        <v>1</v>
      </c>
      <c r="F141">
        <v>1</v>
      </c>
      <c r="G141">
        <v>1</v>
      </c>
      <c r="H141">
        <v>2</v>
      </c>
      <c r="I141" t="s">
        <v>657</v>
      </c>
      <c r="J141" t="s">
        <v>658</v>
      </c>
      <c r="K141" t="s">
        <v>659</v>
      </c>
      <c r="L141">
        <v>1368</v>
      </c>
      <c r="N141">
        <v>1011</v>
      </c>
      <c r="O141" t="s">
        <v>488</v>
      </c>
      <c r="P141" t="s">
        <v>488</v>
      </c>
      <c r="Q141">
        <v>1</v>
      </c>
      <c r="X141">
        <v>0.18</v>
      </c>
      <c r="Y141">
        <v>0</v>
      </c>
      <c r="Z141">
        <v>1069.08</v>
      </c>
      <c r="AA141">
        <v>459.98</v>
      </c>
      <c r="AB141">
        <v>0</v>
      </c>
      <c r="AC141">
        <v>0</v>
      </c>
      <c r="AD141">
        <v>1</v>
      </c>
      <c r="AE141">
        <v>0</v>
      </c>
      <c r="AF141" t="s">
        <v>3</v>
      </c>
      <c r="AG141">
        <v>0.18</v>
      </c>
      <c r="AH141">
        <v>2</v>
      </c>
      <c r="AI141">
        <v>74016434</v>
      </c>
      <c r="AJ141">
        <v>128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ROW(Source!A138)</f>
        <v>138</v>
      </c>
      <c r="B142">
        <v>74016440</v>
      </c>
      <c r="C142">
        <v>74016431</v>
      </c>
      <c r="D142">
        <v>72592092</v>
      </c>
      <c r="E142">
        <v>1</v>
      </c>
      <c r="F142">
        <v>1</v>
      </c>
      <c r="G142">
        <v>1</v>
      </c>
      <c r="H142">
        <v>3</v>
      </c>
      <c r="I142" t="s">
        <v>522</v>
      </c>
      <c r="J142" t="s">
        <v>523</v>
      </c>
      <c r="K142" t="s">
        <v>524</v>
      </c>
      <c r="L142">
        <v>1346</v>
      </c>
      <c r="N142">
        <v>1009</v>
      </c>
      <c r="O142" t="s">
        <v>314</v>
      </c>
      <c r="P142" t="s">
        <v>314</v>
      </c>
      <c r="Q142">
        <v>1</v>
      </c>
      <c r="X142">
        <v>0.1</v>
      </c>
      <c r="Y142">
        <v>131.85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 t="s">
        <v>3</v>
      </c>
      <c r="AG142">
        <v>0.1</v>
      </c>
      <c r="AH142">
        <v>2</v>
      </c>
      <c r="AI142">
        <v>74016435</v>
      </c>
      <c r="AJ142">
        <v>129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ROW(Source!A138)</f>
        <v>138</v>
      </c>
      <c r="B143">
        <v>74016441</v>
      </c>
      <c r="C143">
        <v>74016431</v>
      </c>
      <c r="D143">
        <v>72524270</v>
      </c>
      <c r="E143">
        <v>119</v>
      </c>
      <c r="F143">
        <v>1</v>
      </c>
      <c r="G143">
        <v>1</v>
      </c>
      <c r="H143">
        <v>3</v>
      </c>
      <c r="I143" t="s">
        <v>796</v>
      </c>
      <c r="J143" t="s">
        <v>3</v>
      </c>
      <c r="K143" t="s">
        <v>797</v>
      </c>
      <c r="L143">
        <v>1371</v>
      </c>
      <c r="N143">
        <v>1013</v>
      </c>
      <c r="O143" t="s">
        <v>130</v>
      </c>
      <c r="P143" t="s">
        <v>130</v>
      </c>
      <c r="Q143">
        <v>1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 t="s">
        <v>3</v>
      </c>
      <c r="AG143">
        <v>1</v>
      </c>
      <c r="AH143">
        <v>3</v>
      </c>
      <c r="AI143">
        <v>-1</v>
      </c>
      <c r="AJ143" t="s">
        <v>3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ROW(Source!A140)</f>
        <v>140</v>
      </c>
      <c r="B144">
        <v>74016450</v>
      </c>
      <c r="C144">
        <v>74016443</v>
      </c>
      <c r="D144">
        <v>20054330</v>
      </c>
      <c r="E144">
        <v>119</v>
      </c>
      <c r="F144">
        <v>1</v>
      </c>
      <c r="G144">
        <v>1</v>
      </c>
      <c r="H144">
        <v>1</v>
      </c>
      <c r="I144" t="s">
        <v>503</v>
      </c>
      <c r="J144" t="s">
        <v>3</v>
      </c>
      <c r="K144" t="s">
        <v>504</v>
      </c>
      <c r="L144">
        <v>1191</v>
      </c>
      <c r="N144">
        <v>1013</v>
      </c>
      <c r="O144" t="s">
        <v>484</v>
      </c>
      <c r="P144" t="s">
        <v>484</v>
      </c>
      <c r="Q144">
        <v>1</v>
      </c>
      <c r="X144">
        <v>20.100000000000001</v>
      </c>
      <c r="Y144">
        <v>0</v>
      </c>
      <c r="Z144">
        <v>0</v>
      </c>
      <c r="AA144">
        <v>0</v>
      </c>
      <c r="AB144">
        <v>373.36</v>
      </c>
      <c r="AC144">
        <v>0</v>
      </c>
      <c r="AD144">
        <v>1</v>
      </c>
      <c r="AE144">
        <v>1</v>
      </c>
      <c r="AF144" t="s">
        <v>3</v>
      </c>
      <c r="AG144">
        <v>20.100000000000001</v>
      </c>
      <c r="AH144">
        <v>2</v>
      </c>
      <c r="AI144">
        <v>74016444</v>
      </c>
      <c r="AJ144">
        <v>131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ROW(Source!A140)</f>
        <v>140</v>
      </c>
      <c r="B145">
        <v>74016451</v>
      </c>
      <c r="C145">
        <v>74016443</v>
      </c>
      <c r="D145">
        <v>20049115</v>
      </c>
      <c r="E145">
        <v>119</v>
      </c>
      <c r="F145">
        <v>1</v>
      </c>
      <c r="G145">
        <v>1</v>
      </c>
      <c r="H145">
        <v>1</v>
      </c>
      <c r="I145" t="s">
        <v>482</v>
      </c>
      <c r="J145" t="s">
        <v>3</v>
      </c>
      <c r="K145" t="s">
        <v>483</v>
      </c>
      <c r="L145">
        <v>1191</v>
      </c>
      <c r="N145">
        <v>1013</v>
      </c>
      <c r="O145" t="s">
        <v>484</v>
      </c>
      <c r="P145" t="s">
        <v>484</v>
      </c>
      <c r="Q145">
        <v>1</v>
      </c>
      <c r="X145">
        <v>6.25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2</v>
      </c>
      <c r="AF145" t="s">
        <v>3</v>
      </c>
      <c r="AG145">
        <v>6.25</v>
      </c>
      <c r="AH145">
        <v>2</v>
      </c>
      <c r="AI145">
        <v>74016445</v>
      </c>
      <c r="AJ145">
        <v>132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ROW(Source!A140)</f>
        <v>140</v>
      </c>
      <c r="B146">
        <v>74016452</v>
      </c>
      <c r="C146">
        <v>74016443</v>
      </c>
      <c r="D146">
        <v>72646037</v>
      </c>
      <c r="E146">
        <v>1</v>
      </c>
      <c r="F146">
        <v>1</v>
      </c>
      <c r="G146">
        <v>1</v>
      </c>
      <c r="H146">
        <v>2</v>
      </c>
      <c r="I146" t="s">
        <v>636</v>
      </c>
      <c r="J146" t="s">
        <v>637</v>
      </c>
      <c r="K146" t="s">
        <v>638</v>
      </c>
      <c r="L146">
        <v>1368</v>
      </c>
      <c r="N146">
        <v>1011</v>
      </c>
      <c r="O146" t="s">
        <v>488</v>
      </c>
      <c r="P146" t="s">
        <v>488</v>
      </c>
      <c r="Q146">
        <v>1</v>
      </c>
      <c r="X146">
        <v>6.25</v>
      </c>
      <c r="Y146">
        <v>0</v>
      </c>
      <c r="Z146">
        <v>1836.16</v>
      </c>
      <c r="AA146">
        <v>537.64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6.25</v>
      </c>
      <c r="AH146">
        <v>2</v>
      </c>
      <c r="AI146">
        <v>74016446</v>
      </c>
      <c r="AJ146">
        <v>133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ROW(Source!A140)</f>
        <v>140</v>
      </c>
      <c r="B147">
        <v>74016453</v>
      </c>
      <c r="C147">
        <v>74016443</v>
      </c>
      <c r="D147">
        <v>72647129</v>
      </c>
      <c r="E147">
        <v>1</v>
      </c>
      <c r="F147">
        <v>1</v>
      </c>
      <c r="G147">
        <v>1</v>
      </c>
      <c r="H147">
        <v>2</v>
      </c>
      <c r="I147" t="s">
        <v>508</v>
      </c>
      <c r="J147" t="s">
        <v>509</v>
      </c>
      <c r="K147" t="s">
        <v>510</v>
      </c>
      <c r="L147">
        <v>1368</v>
      </c>
      <c r="N147">
        <v>1011</v>
      </c>
      <c r="O147" t="s">
        <v>488</v>
      </c>
      <c r="P147" t="s">
        <v>488</v>
      </c>
      <c r="Q147">
        <v>1</v>
      </c>
      <c r="X147">
        <v>2.29</v>
      </c>
      <c r="Y147">
        <v>0</v>
      </c>
      <c r="Z147">
        <v>43.87</v>
      </c>
      <c r="AA147">
        <v>0</v>
      </c>
      <c r="AB147">
        <v>0</v>
      </c>
      <c r="AC147">
        <v>0</v>
      </c>
      <c r="AD147">
        <v>1</v>
      </c>
      <c r="AE147">
        <v>0</v>
      </c>
      <c r="AF147" t="s">
        <v>3</v>
      </c>
      <c r="AG147">
        <v>2.29</v>
      </c>
      <c r="AH147">
        <v>2</v>
      </c>
      <c r="AI147">
        <v>74016447</v>
      </c>
      <c r="AJ147">
        <v>134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ROW(Source!A140)</f>
        <v>140</v>
      </c>
      <c r="B148">
        <v>74016454</v>
      </c>
      <c r="C148">
        <v>74016443</v>
      </c>
      <c r="D148">
        <v>72591353</v>
      </c>
      <c r="E148">
        <v>1</v>
      </c>
      <c r="F148">
        <v>1</v>
      </c>
      <c r="G148">
        <v>1</v>
      </c>
      <c r="H148">
        <v>3</v>
      </c>
      <c r="I148" t="s">
        <v>518</v>
      </c>
      <c r="J148" t="s">
        <v>519</v>
      </c>
      <c r="K148" t="s">
        <v>520</v>
      </c>
      <c r="L148">
        <v>1383</v>
      </c>
      <c r="N148">
        <v>1013</v>
      </c>
      <c r="O148" t="s">
        <v>521</v>
      </c>
      <c r="P148" t="s">
        <v>521</v>
      </c>
      <c r="Q148">
        <v>1</v>
      </c>
      <c r="X148">
        <v>1.26</v>
      </c>
      <c r="Y148">
        <v>9.5500000000000007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 t="s">
        <v>3</v>
      </c>
      <c r="AG148">
        <v>1.26</v>
      </c>
      <c r="AH148">
        <v>2</v>
      </c>
      <c r="AI148">
        <v>74016448</v>
      </c>
      <c r="AJ148">
        <v>135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ROW(Source!A140)</f>
        <v>140</v>
      </c>
      <c r="B149">
        <v>74016455</v>
      </c>
      <c r="C149">
        <v>74016443</v>
      </c>
      <c r="D149">
        <v>72592092</v>
      </c>
      <c r="E149">
        <v>1</v>
      </c>
      <c r="F149">
        <v>1</v>
      </c>
      <c r="G149">
        <v>1</v>
      </c>
      <c r="H149">
        <v>3</v>
      </c>
      <c r="I149" t="s">
        <v>522</v>
      </c>
      <c r="J149" t="s">
        <v>523</v>
      </c>
      <c r="K149" t="s">
        <v>524</v>
      </c>
      <c r="L149">
        <v>1346</v>
      </c>
      <c r="N149">
        <v>1009</v>
      </c>
      <c r="O149" t="s">
        <v>314</v>
      </c>
      <c r="P149" t="s">
        <v>314</v>
      </c>
      <c r="Q149">
        <v>1</v>
      </c>
      <c r="X149">
        <v>0.35</v>
      </c>
      <c r="Y149">
        <v>131.85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0</v>
      </c>
      <c r="AF149" t="s">
        <v>3</v>
      </c>
      <c r="AG149">
        <v>0.35</v>
      </c>
      <c r="AH149">
        <v>2</v>
      </c>
      <c r="AI149">
        <v>74016449</v>
      </c>
      <c r="AJ149">
        <v>136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ROW(Source!A140)</f>
        <v>140</v>
      </c>
      <c r="B150">
        <v>74016456</v>
      </c>
      <c r="C150">
        <v>74016443</v>
      </c>
      <c r="D150">
        <v>72524127</v>
      </c>
      <c r="E150">
        <v>119</v>
      </c>
      <c r="F150">
        <v>1</v>
      </c>
      <c r="G150">
        <v>1</v>
      </c>
      <c r="H150">
        <v>3</v>
      </c>
      <c r="I150" t="s">
        <v>798</v>
      </c>
      <c r="J150" t="s">
        <v>3</v>
      </c>
      <c r="K150" t="s">
        <v>799</v>
      </c>
      <c r="L150">
        <v>1301</v>
      </c>
      <c r="N150">
        <v>1003</v>
      </c>
      <c r="O150" t="s">
        <v>125</v>
      </c>
      <c r="P150" t="s">
        <v>125</v>
      </c>
      <c r="Q150">
        <v>1</v>
      </c>
      <c r="X150">
        <v>101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 t="s">
        <v>3</v>
      </c>
      <c r="AG150">
        <v>101</v>
      </c>
      <c r="AH150">
        <v>3</v>
      </c>
      <c r="AI150">
        <v>-1</v>
      </c>
      <c r="AJ150" t="s">
        <v>3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ROW(Source!A143)</f>
        <v>143</v>
      </c>
      <c r="B151">
        <v>74016477</v>
      </c>
      <c r="C151">
        <v>74016459</v>
      </c>
      <c r="D151">
        <v>20050979</v>
      </c>
      <c r="E151">
        <v>119</v>
      </c>
      <c r="F151">
        <v>1</v>
      </c>
      <c r="G151">
        <v>1</v>
      </c>
      <c r="H151">
        <v>1</v>
      </c>
      <c r="I151" t="s">
        <v>660</v>
      </c>
      <c r="J151" t="s">
        <v>3</v>
      </c>
      <c r="K151" t="s">
        <v>661</v>
      </c>
      <c r="L151">
        <v>1191</v>
      </c>
      <c r="N151">
        <v>1013</v>
      </c>
      <c r="O151" t="s">
        <v>484</v>
      </c>
      <c r="P151" t="s">
        <v>484</v>
      </c>
      <c r="Q151">
        <v>1</v>
      </c>
      <c r="X151">
        <v>394</v>
      </c>
      <c r="Y151">
        <v>0</v>
      </c>
      <c r="Z151">
        <v>0</v>
      </c>
      <c r="AA151">
        <v>0</v>
      </c>
      <c r="AB151">
        <v>352.45</v>
      </c>
      <c r="AC151">
        <v>0</v>
      </c>
      <c r="AD151">
        <v>1</v>
      </c>
      <c r="AE151">
        <v>1</v>
      </c>
      <c r="AF151" t="s">
        <v>3</v>
      </c>
      <c r="AG151">
        <v>394</v>
      </c>
      <c r="AH151">
        <v>2</v>
      </c>
      <c r="AI151">
        <v>74016460</v>
      </c>
      <c r="AJ151">
        <v>137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ROW(Source!A143)</f>
        <v>143</v>
      </c>
      <c r="B152">
        <v>74016478</v>
      </c>
      <c r="C152">
        <v>74016459</v>
      </c>
      <c r="D152">
        <v>20049115</v>
      </c>
      <c r="E152">
        <v>119</v>
      </c>
      <c r="F152">
        <v>1</v>
      </c>
      <c r="G152">
        <v>1</v>
      </c>
      <c r="H152">
        <v>1</v>
      </c>
      <c r="I152" t="s">
        <v>482</v>
      </c>
      <c r="J152" t="s">
        <v>3</v>
      </c>
      <c r="K152" t="s">
        <v>483</v>
      </c>
      <c r="L152">
        <v>1191</v>
      </c>
      <c r="N152">
        <v>1013</v>
      </c>
      <c r="O152" t="s">
        <v>484</v>
      </c>
      <c r="P152" t="s">
        <v>484</v>
      </c>
      <c r="Q152">
        <v>1</v>
      </c>
      <c r="X152">
        <v>35.869999999999997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2</v>
      </c>
      <c r="AF152" t="s">
        <v>3</v>
      </c>
      <c r="AG152">
        <v>35.869999999999997</v>
      </c>
      <c r="AH152">
        <v>2</v>
      </c>
      <c r="AI152">
        <v>74016461</v>
      </c>
      <c r="AJ152">
        <v>138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ROW(Source!A143)</f>
        <v>143</v>
      </c>
      <c r="B153">
        <v>74016479</v>
      </c>
      <c r="C153">
        <v>74016459</v>
      </c>
      <c r="D153">
        <v>72646037</v>
      </c>
      <c r="E153">
        <v>1</v>
      </c>
      <c r="F153">
        <v>1</v>
      </c>
      <c r="G153">
        <v>1</v>
      </c>
      <c r="H153">
        <v>2</v>
      </c>
      <c r="I153" t="s">
        <v>636</v>
      </c>
      <c r="J153" t="s">
        <v>637</v>
      </c>
      <c r="K153" t="s">
        <v>638</v>
      </c>
      <c r="L153">
        <v>1368</v>
      </c>
      <c r="N153">
        <v>1011</v>
      </c>
      <c r="O153" t="s">
        <v>488</v>
      </c>
      <c r="P153" t="s">
        <v>488</v>
      </c>
      <c r="Q153">
        <v>1</v>
      </c>
      <c r="X153">
        <v>0.96</v>
      </c>
      <c r="Y153">
        <v>0</v>
      </c>
      <c r="Z153">
        <v>1836.16</v>
      </c>
      <c r="AA153">
        <v>537.64</v>
      </c>
      <c r="AB153">
        <v>0</v>
      </c>
      <c r="AC153">
        <v>0</v>
      </c>
      <c r="AD153">
        <v>1</v>
      </c>
      <c r="AE153">
        <v>0</v>
      </c>
      <c r="AF153" t="s">
        <v>3</v>
      </c>
      <c r="AG153">
        <v>0.96</v>
      </c>
      <c r="AH153">
        <v>2</v>
      </c>
      <c r="AI153">
        <v>74016462</v>
      </c>
      <c r="AJ153">
        <v>139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ROW(Source!A143)</f>
        <v>143</v>
      </c>
      <c r="B154">
        <v>74016480</v>
      </c>
      <c r="C154">
        <v>74016459</v>
      </c>
      <c r="D154">
        <v>72646046</v>
      </c>
      <c r="E154">
        <v>1</v>
      </c>
      <c r="F154">
        <v>1</v>
      </c>
      <c r="G154">
        <v>1</v>
      </c>
      <c r="H154">
        <v>2</v>
      </c>
      <c r="I154" t="s">
        <v>662</v>
      </c>
      <c r="J154" t="s">
        <v>663</v>
      </c>
      <c r="K154" t="s">
        <v>664</v>
      </c>
      <c r="L154">
        <v>1368</v>
      </c>
      <c r="N154">
        <v>1011</v>
      </c>
      <c r="O154" t="s">
        <v>488</v>
      </c>
      <c r="P154" t="s">
        <v>488</v>
      </c>
      <c r="Q154">
        <v>1</v>
      </c>
      <c r="X154">
        <v>33.26</v>
      </c>
      <c r="Y154">
        <v>0</v>
      </c>
      <c r="Z154">
        <v>1703.3</v>
      </c>
      <c r="AA154">
        <v>537.64</v>
      </c>
      <c r="AB154">
        <v>0</v>
      </c>
      <c r="AC154">
        <v>0</v>
      </c>
      <c r="AD154">
        <v>1</v>
      </c>
      <c r="AE154">
        <v>0</v>
      </c>
      <c r="AF154" t="s">
        <v>3</v>
      </c>
      <c r="AG154">
        <v>33.26</v>
      </c>
      <c r="AH154">
        <v>2</v>
      </c>
      <c r="AI154">
        <v>74016463</v>
      </c>
      <c r="AJ154">
        <v>140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ROW(Source!A143)</f>
        <v>143</v>
      </c>
      <c r="B155">
        <v>74016481</v>
      </c>
      <c r="C155">
        <v>74016459</v>
      </c>
      <c r="D155">
        <v>72646194</v>
      </c>
      <c r="E155">
        <v>1</v>
      </c>
      <c r="F155">
        <v>1</v>
      </c>
      <c r="G155">
        <v>1</v>
      </c>
      <c r="H155">
        <v>2</v>
      </c>
      <c r="I155" t="s">
        <v>494</v>
      </c>
      <c r="J155" t="s">
        <v>495</v>
      </c>
      <c r="K155" t="s">
        <v>496</v>
      </c>
      <c r="L155">
        <v>1368</v>
      </c>
      <c r="N155">
        <v>1011</v>
      </c>
      <c r="O155" t="s">
        <v>488</v>
      </c>
      <c r="P155" t="s">
        <v>488</v>
      </c>
      <c r="Q155">
        <v>1</v>
      </c>
      <c r="X155">
        <v>0.25</v>
      </c>
      <c r="Y155">
        <v>0</v>
      </c>
      <c r="Z155">
        <v>1681.82</v>
      </c>
      <c r="AA155">
        <v>459.98</v>
      </c>
      <c r="AB155">
        <v>0</v>
      </c>
      <c r="AC155">
        <v>0</v>
      </c>
      <c r="AD155">
        <v>1</v>
      </c>
      <c r="AE155">
        <v>0</v>
      </c>
      <c r="AF155" t="s">
        <v>3</v>
      </c>
      <c r="AG155">
        <v>0.25</v>
      </c>
      <c r="AH155">
        <v>2</v>
      </c>
      <c r="AI155">
        <v>74016464</v>
      </c>
      <c r="AJ155">
        <v>141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ROW(Source!A143)</f>
        <v>143</v>
      </c>
      <c r="B156">
        <v>74016482</v>
      </c>
      <c r="C156">
        <v>74016459</v>
      </c>
      <c r="D156">
        <v>72646293</v>
      </c>
      <c r="E156">
        <v>1</v>
      </c>
      <c r="F156">
        <v>1</v>
      </c>
      <c r="G156">
        <v>1</v>
      </c>
      <c r="H156">
        <v>2</v>
      </c>
      <c r="I156" t="s">
        <v>665</v>
      </c>
      <c r="J156" t="s">
        <v>666</v>
      </c>
      <c r="K156" t="s">
        <v>667</v>
      </c>
      <c r="L156">
        <v>1368</v>
      </c>
      <c r="N156">
        <v>1011</v>
      </c>
      <c r="O156" t="s">
        <v>488</v>
      </c>
      <c r="P156" t="s">
        <v>488</v>
      </c>
      <c r="Q156">
        <v>1</v>
      </c>
      <c r="X156">
        <v>21</v>
      </c>
      <c r="Y156">
        <v>0</v>
      </c>
      <c r="Z156">
        <v>10.37</v>
      </c>
      <c r="AA156">
        <v>0</v>
      </c>
      <c r="AB156">
        <v>0</v>
      </c>
      <c r="AC156">
        <v>0</v>
      </c>
      <c r="AD156">
        <v>1</v>
      </c>
      <c r="AE156">
        <v>0</v>
      </c>
      <c r="AF156" t="s">
        <v>3</v>
      </c>
      <c r="AG156">
        <v>21</v>
      </c>
      <c r="AH156">
        <v>2</v>
      </c>
      <c r="AI156">
        <v>74016465</v>
      </c>
      <c r="AJ156">
        <v>142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ROW(Source!A143)</f>
        <v>143</v>
      </c>
      <c r="B157">
        <v>74016483</v>
      </c>
      <c r="C157">
        <v>74016459</v>
      </c>
      <c r="D157">
        <v>72646931</v>
      </c>
      <c r="E157">
        <v>1</v>
      </c>
      <c r="F157">
        <v>1</v>
      </c>
      <c r="G157">
        <v>1</v>
      </c>
      <c r="H157">
        <v>2</v>
      </c>
      <c r="I157" t="s">
        <v>545</v>
      </c>
      <c r="J157" t="s">
        <v>546</v>
      </c>
      <c r="K157" t="s">
        <v>547</v>
      </c>
      <c r="L157">
        <v>1368</v>
      </c>
      <c r="N157">
        <v>1011</v>
      </c>
      <c r="O157" t="s">
        <v>488</v>
      </c>
      <c r="P157" t="s">
        <v>488</v>
      </c>
      <c r="Q157">
        <v>1</v>
      </c>
      <c r="X157">
        <v>1.4</v>
      </c>
      <c r="Y157">
        <v>0</v>
      </c>
      <c r="Z157">
        <v>655.95</v>
      </c>
      <c r="AA157">
        <v>400.24</v>
      </c>
      <c r="AB157">
        <v>0</v>
      </c>
      <c r="AC157">
        <v>0</v>
      </c>
      <c r="AD157">
        <v>1</v>
      </c>
      <c r="AE157">
        <v>0</v>
      </c>
      <c r="AF157" t="s">
        <v>3</v>
      </c>
      <c r="AG157">
        <v>1.4</v>
      </c>
      <c r="AH157">
        <v>2</v>
      </c>
      <c r="AI157">
        <v>74016466</v>
      </c>
      <c r="AJ157">
        <v>143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ROW(Source!A143)</f>
        <v>143</v>
      </c>
      <c r="B158">
        <v>74016484</v>
      </c>
      <c r="C158">
        <v>74016459</v>
      </c>
      <c r="D158">
        <v>72591341</v>
      </c>
      <c r="E158">
        <v>1</v>
      </c>
      <c r="F158">
        <v>1</v>
      </c>
      <c r="G158">
        <v>1</v>
      </c>
      <c r="H158">
        <v>3</v>
      </c>
      <c r="I158" t="s">
        <v>627</v>
      </c>
      <c r="J158" t="s">
        <v>628</v>
      </c>
      <c r="K158" t="s">
        <v>629</v>
      </c>
      <c r="L158">
        <v>1339</v>
      </c>
      <c r="N158">
        <v>1007</v>
      </c>
      <c r="O158" t="s">
        <v>48</v>
      </c>
      <c r="P158" t="s">
        <v>48</v>
      </c>
      <c r="Q158">
        <v>1</v>
      </c>
      <c r="X158">
        <v>1.75</v>
      </c>
      <c r="Y158">
        <v>35.71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 t="s">
        <v>3</v>
      </c>
      <c r="AG158">
        <v>1.75</v>
      </c>
      <c r="AH158">
        <v>2</v>
      </c>
      <c r="AI158">
        <v>74016467</v>
      </c>
      <c r="AJ158">
        <v>144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ROW(Source!A143)</f>
        <v>143</v>
      </c>
      <c r="B159">
        <v>74016485</v>
      </c>
      <c r="C159">
        <v>74016459</v>
      </c>
      <c r="D159">
        <v>72591353</v>
      </c>
      <c r="E159">
        <v>1</v>
      </c>
      <c r="F159">
        <v>1</v>
      </c>
      <c r="G159">
        <v>1</v>
      </c>
      <c r="H159">
        <v>3</v>
      </c>
      <c r="I159" t="s">
        <v>518</v>
      </c>
      <c r="J159" t="s">
        <v>519</v>
      </c>
      <c r="K159" t="s">
        <v>520</v>
      </c>
      <c r="L159">
        <v>1383</v>
      </c>
      <c r="N159">
        <v>1013</v>
      </c>
      <c r="O159" t="s">
        <v>521</v>
      </c>
      <c r="P159" t="s">
        <v>521</v>
      </c>
      <c r="Q159">
        <v>1</v>
      </c>
      <c r="X159">
        <v>2.64</v>
      </c>
      <c r="Y159">
        <v>9.5500000000000007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2.64</v>
      </c>
      <c r="AH159">
        <v>2</v>
      </c>
      <c r="AI159">
        <v>74016468</v>
      </c>
      <c r="AJ159">
        <v>145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ROW(Source!A143)</f>
        <v>143</v>
      </c>
      <c r="B160">
        <v>74016486</v>
      </c>
      <c r="C160">
        <v>74016459</v>
      </c>
      <c r="D160">
        <v>72591655</v>
      </c>
      <c r="E160">
        <v>1</v>
      </c>
      <c r="F160">
        <v>1</v>
      </c>
      <c r="G160">
        <v>1</v>
      </c>
      <c r="H160">
        <v>3</v>
      </c>
      <c r="I160" t="s">
        <v>630</v>
      </c>
      <c r="J160" t="s">
        <v>631</v>
      </c>
      <c r="K160" t="s">
        <v>632</v>
      </c>
      <c r="L160">
        <v>1327</v>
      </c>
      <c r="N160">
        <v>1005</v>
      </c>
      <c r="O160" t="s">
        <v>633</v>
      </c>
      <c r="P160" t="s">
        <v>633</v>
      </c>
      <c r="Q160">
        <v>1</v>
      </c>
      <c r="X160">
        <v>5.6</v>
      </c>
      <c r="Y160">
        <v>12.83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 t="s">
        <v>3</v>
      </c>
      <c r="AG160">
        <v>5.6</v>
      </c>
      <c r="AH160">
        <v>2</v>
      </c>
      <c r="AI160">
        <v>74016469</v>
      </c>
      <c r="AJ160">
        <v>146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ROW(Source!A143)</f>
        <v>143</v>
      </c>
      <c r="B161">
        <v>74016487</v>
      </c>
      <c r="C161">
        <v>74016459</v>
      </c>
      <c r="D161">
        <v>72592919</v>
      </c>
      <c r="E161">
        <v>1</v>
      </c>
      <c r="F161">
        <v>1</v>
      </c>
      <c r="G161">
        <v>1</v>
      </c>
      <c r="H161">
        <v>3</v>
      </c>
      <c r="I161" t="s">
        <v>668</v>
      </c>
      <c r="J161" t="s">
        <v>669</v>
      </c>
      <c r="K161" t="s">
        <v>670</v>
      </c>
      <c r="L161">
        <v>1348</v>
      </c>
      <c r="N161">
        <v>1009</v>
      </c>
      <c r="O161" t="s">
        <v>243</v>
      </c>
      <c r="P161" t="s">
        <v>243</v>
      </c>
      <c r="Q161">
        <v>1000</v>
      </c>
      <c r="X161">
        <v>3.6999999999999998E-2</v>
      </c>
      <c r="Y161">
        <v>70296.2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 t="s">
        <v>3</v>
      </c>
      <c r="AG161">
        <v>3.6999999999999998E-2</v>
      </c>
      <c r="AH161">
        <v>2</v>
      </c>
      <c r="AI161">
        <v>74016470</v>
      </c>
      <c r="AJ161">
        <v>147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ROW(Source!A143)</f>
        <v>143</v>
      </c>
      <c r="B162">
        <v>74016488</v>
      </c>
      <c r="C162">
        <v>74016459</v>
      </c>
      <c r="D162">
        <v>72594740</v>
      </c>
      <c r="E162">
        <v>1</v>
      </c>
      <c r="F162">
        <v>1</v>
      </c>
      <c r="G162">
        <v>1</v>
      </c>
      <c r="H162">
        <v>3</v>
      </c>
      <c r="I162" t="s">
        <v>671</v>
      </c>
      <c r="J162" t="s">
        <v>672</v>
      </c>
      <c r="K162" t="s">
        <v>673</v>
      </c>
      <c r="L162">
        <v>1348</v>
      </c>
      <c r="N162">
        <v>1009</v>
      </c>
      <c r="O162" t="s">
        <v>243</v>
      </c>
      <c r="P162" t="s">
        <v>243</v>
      </c>
      <c r="Q162">
        <v>1000</v>
      </c>
      <c r="X162">
        <v>0.05</v>
      </c>
      <c r="Y162">
        <v>5275.05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0</v>
      </c>
      <c r="AF162" t="s">
        <v>3</v>
      </c>
      <c r="AG162">
        <v>0.05</v>
      </c>
      <c r="AH162">
        <v>2</v>
      </c>
      <c r="AI162">
        <v>74016471</v>
      </c>
      <c r="AJ162">
        <v>148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ROW(Source!A143)</f>
        <v>143</v>
      </c>
      <c r="B163">
        <v>74016489</v>
      </c>
      <c r="C163">
        <v>74016459</v>
      </c>
      <c r="D163">
        <v>72520011</v>
      </c>
      <c r="E163">
        <v>119</v>
      </c>
      <c r="F163">
        <v>1</v>
      </c>
      <c r="G163">
        <v>1</v>
      </c>
      <c r="H163">
        <v>3</v>
      </c>
      <c r="I163" t="s">
        <v>790</v>
      </c>
      <c r="J163" t="s">
        <v>3</v>
      </c>
      <c r="K163" t="s">
        <v>791</v>
      </c>
      <c r="L163">
        <v>1339</v>
      </c>
      <c r="N163">
        <v>1007</v>
      </c>
      <c r="O163" t="s">
        <v>48</v>
      </c>
      <c r="P163" t="s">
        <v>48</v>
      </c>
      <c r="Q163">
        <v>1</v>
      </c>
      <c r="X163">
        <v>102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 t="s">
        <v>3</v>
      </c>
      <c r="AG163">
        <v>102</v>
      </c>
      <c r="AH163">
        <v>3</v>
      </c>
      <c r="AI163">
        <v>-1</v>
      </c>
      <c r="AJ163" t="s">
        <v>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ROW(Source!A143)</f>
        <v>143</v>
      </c>
      <c r="B164">
        <v>74016490</v>
      </c>
      <c r="C164">
        <v>74016459</v>
      </c>
      <c r="D164">
        <v>72600383</v>
      </c>
      <c r="E164">
        <v>1</v>
      </c>
      <c r="F164">
        <v>1</v>
      </c>
      <c r="G164">
        <v>1</v>
      </c>
      <c r="H164">
        <v>3</v>
      </c>
      <c r="I164" t="s">
        <v>674</v>
      </c>
      <c r="J164" t="s">
        <v>675</v>
      </c>
      <c r="K164" t="s">
        <v>676</v>
      </c>
      <c r="L164">
        <v>1348</v>
      </c>
      <c r="N164">
        <v>1009</v>
      </c>
      <c r="O164" t="s">
        <v>243</v>
      </c>
      <c r="P164" t="s">
        <v>243</v>
      </c>
      <c r="Q164">
        <v>1000</v>
      </c>
      <c r="X164">
        <v>0.04</v>
      </c>
      <c r="Y164">
        <v>60258.2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 t="s">
        <v>3</v>
      </c>
      <c r="AG164">
        <v>0.04</v>
      </c>
      <c r="AH164">
        <v>2</v>
      </c>
      <c r="AI164">
        <v>74016472</v>
      </c>
      <c r="AJ164">
        <v>149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ROW(Source!A143)</f>
        <v>143</v>
      </c>
      <c r="B165">
        <v>74016491</v>
      </c>
      <c r="C165">
        <v>74016459</v>
      </c>
      <c r="D165">
        <v>72602544</v>
      </c>
      <c r="E165">
        <v>1</v>
      </c>
      <c r="F165">
        <v>1</v>
      </c>
      <c r="G165">
        <v>1</v>
      </c>
      <c r="H165">
        <v>3</v>
      </c>
      <c r="I165" t="s">
        <v>677</v>
      </c>
      <c r="J165" t="s">
        <v>678</v>
      </c>
      <c r="K165" t="s">
        <v>679</v>
      </c>
      <c r="L165">
        <v>1339</v>
      </c>
      <c r="N165">
        <v>1007</v>
      </c>
      <c r="O165" t="s">
        <v>48</v>
      </c>
      <c r="P165" t="s">
        <v>48</v>
      </c>
      <c r="Q165">
        <v>1</v>
      </c>
      <c r="X165">
        <v>0.69</v>
      </c>
      <c r="Y165">
        <v>6442.06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 t="s">
        <v>3</v>
      </c>
      <c r="AG165">
        <v>0.69</v>
      </c>
      <c r="AH165">
        <v>2</v>
      </c>
      <c r="AI165">
        <v>74016473</v>
      </c>
      <c r="AJ165">
        <v>150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ROW(Source!A143)</f>
        <v>143</v>
      </c>
      <c r="B166">
        <v>74016492</v>
      </c>
      <c r="C166">
        <v>74016459</v>
      </c>
      <c r="D166">
        <v>72602574</v>
      </c>
      <c r="E166">
        <v>1</v>
      </c>
      <c r="F166">
        <v>1</v>
      </c>
      <c r="G166">
        <v>1</v>
      </c>
      <c r="H166">
        <v>3</v>
      </c>
      <c r="I166" t="s">
        <v>680</v>
      </c>
      <c r="J166" t="s">
        <v>681</v>
      </c>
      <c r="K166" t="s">
        <v>682</v>
      </c>
      <c r="L166">
        <v>1339</v>
      </c>
      <c r="N166">
        <v>1007</v>
      </c>
      <c r="O166" t="s">
        <v>48</v>
      </c>
      <c r="P166" t="s">
        <v>48</v>
      </c>
      <c r="Q166">
        <v>1</v>
      </c>
      <c r="X166">
        <v>0.08</v>
      </c>
      <c r="Y166">
        <v>16496.03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 t="s">
        <v>3</v>
      </c>
      <c r="AG166">
        <v>0.08</v>
      </c>
      <c r="AH166">
        <v>2</v>
      </c>
      <c r="AI166">
        <v>74016474</v>
      </c>
      <c r="AJ166">
        <v>151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ROW(Source!A143)</f>
        <v>143</v>
      </c>
      <c r="B167">
        <v>74016493</v>
      </c>
      <c r="C167">
        <v>74016459</v>
      </c>
      <c r="D167">
        <v>72521809</v>
      </c>
      <c r="E167">
        <v>119</v>
      </c>
      <c r="F167">
        <v>1</v>
      </c>
      <c r="G167">
        <v>1</v>
      </c>
      <c r="H167">
        <v>3</v>
      </c>
      <c r="I167" t="s">
        <v>800</v>
      </c>
      <c r="J167" t="s">
        <v>3</v>
      </c>
      <c r="K167" t="s">
        <v>801</v>
      </c>
      <c r="L167">
        <v>1327</v>
      </c>
      <c r="N167">
        <v>1005</v>
      </c>
      <c r="O167" t="s">
        <v>633</v>
      </c>
      <c r="P167" t="s">
        <v>633</v>
      </c>
      <c r="Q167">
        <v>1</v>
      </c>
      <c r="X167">
        <v>49.5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 t="s">
        <v>3</v>
      </c>
      <c r="AG167">
        <v>49.5</v>
      </c>
      <c r="AH167">
        <v>3</v>
      </c>
      <c r="AI167">
        <v>-1</v>
      </c>
      <c r="AJ167" t="s">
        <v>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ROW(Source!A143)</f>
        <v>143</v>
      </c>
      <c r="B168">
        <v>74016494</v>
      </c>
      <c r="C168">
        <v>74016459</v>
      </c>
      <c r="D168">
        <v>72602619</v>
      </c>
      <c r="E168">
        <v>1</v>
      </c>
      <c r="F168">
        <v>1</v>
      </c>
      <c r="G168">
        <v>1</v>
      </c>
      <c r="H168">
        <v>3</v>
      </c>
      <c r="I168" t="s">
        <v>683</v>
      </c>
      <c r="J168" t="s">
        <v>684</v>
      </c>
      <c r="K168" t="s">
        <v>685</v>
      </c>
      <c r="L168">
        <v>1339</v>
      </c>
      <c r="N168">
        <v>1007</v>
      </c>
      <c r="O168" t="s">
        <v>48</v>
      </c>
      <c r="P168" t="s">
        <v>48</v>
      </c>
      <c r="Q168">
        <v>1</v>
      </c>
      <c r="X168">
        <v>0.2</v>
      </c>
      <c r="Y168">
        <v>5764.42</v>
      </c>
      <c r="Z168">
        <v>0</v>
      </c>
      <c r="AA168">
        <v>0</v>
      </c>
      <c r="AB168">
        <v>0</v>
      </c>
      <c r="AC168">
        <v>0</v>
      </c>
      <c r="AD168">
        <v>1</v>
      </c>
      <c r="AE168">
        <v>0</v>
      </c>
      <c r="AF168" t="s">
        <v>3</v>
      </c>
      <c r="AG168">
        <v>0.2</v>
      </c>
      <c r="AH168">
        <v>2</v>
      </c>
      <c r="AI168">
        <v>74016475</v>
      </c>
      <c r="AJ168">
        <v>152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ROW(Source!A143)</f>
        <v>143</v>
      </c>
      <c r="B169">
        <v>74016495</v>
      </c>
      <c r="C169">
        <v>74016459</v>
      </c>
      <c r="D169">
        <v>72602627</v>
      </c>
      <c r="E169">
        <v>1</v>
      </c>
      <c r="F169">
        <v>1</v>
      </c>
      <c r="G169">
        <v>1</v>
      </c>
      <c r="H169">
        <v>3</v>
      </c>
      <c r="I169" t="s">
        <v>686</v>
      </c>
      <c r="J169" t="s">
        <v>687</v>
      </c>
      <c r="K169" t="s">
        <v>688</v>
      </c>
      <c r="L169">
        <v>1339</v>
      </c>
      <c r="N169">
        <v>1007</v>
      </c>
      <c r="O169" t="s">
        <v>48</v>
      </c>
      <c r="P169" t="s">
        <v>48</v>
      </c>
      <c r="Q169">
        <v>1</v>
      </c>
      <c r="X169">
        <v>0.69</v>
      </c>
      <c r="Y169">
        <v>5764.42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 t="s">
        <v>3</v>
      </c>
      <c r="AG169">
        <v>0.69</v>
      </c>
      <c r="AH169">
        <v>2</v>
      </c>
      <c r="AI169">
        <v>74016476</v>
      </c>
      <c r="AJ169">
        <v>153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ROW(Source!A146)</f>
        <v>146</v>
      </c>
      <c r="B170">
        <v>74016512</v>
      </c>
      <c r="C170">
        <v>74016498</v>
      </c>
      <c r="D170">
        <v>20049117</v>
      </c>
      <c r="E170">
        <v>119</v>
      </c>
      <c r="F170">
        <v>1</v>
      </c>
      <c r="G170">
        <v>1</v>
      </c>
      <c r="H170">
        <v>1</v>
      </c>
      <c r="I170" t="s">
        <v>689</v>
      </c>
      <c r="J170" t="s">
        <v>3</v>
      </c>
      <c r="K170" t="s">
        <v>690</v>
      </c>
      <c r="L170">
        <v>1191</v>
      </c>
      <c r="N170">
        <v>1013</v>
      </c>
      <c r="O170" t="s">
        <v>484</v>
      </c>
      <c r="P170" t="s">
        <v>484</v>
      </c>
      <c r="Q170">
        <v>1</v>
      </c>
      <c r="X170">
        <v>203</v>
      </c>
      <c r="Y170">
        <v>0</v>
      </c>
      <c r="Z170">
        <v>0</v>
      </c>
      <c r="AA170">
        <v>0</v>
      </c>
      <c r="AB170">
        <v>391.28</v>
      </c>
      <c r="AC170">
        <v>0</v>
      </c>
      <c r="AD170">
        <v>1</v>
      </c>
      <c r="AE170">
        <v>1</v>
      </c>
      <c r="AF170" t="s">
        <v>3</v>
      </c>
      <c r="AG170">
        <v>203</v>
      </c>
      <c r="AH170">
        <v>2</v>
      </c>
      <c r="AI170">
        <v>74016499</v>
      </c>
      <c r="AJ170">
        <v>154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ROW(Source!A146)</f>
        <v>146</v>
      </c>
      <c r="B171">
        <v>74016513</v>
      </c>
      <c r="C171">
        <v>74016498</v>
      </c>
      <c r="D171">
        <v>20049115</v>
      </c>
      <c r="E171">
        <v>119</v>
      </c>
      <c r="F171">
        <v>1</v>
      </c>
      <c r="G171">
        <v>1</v>
      </c>
      <c r="H171">
        <v>1</v>
      </c>
      <c r="I171" t="s">
        <v>482</v>
      </c>
      <c r="J171" t="s">
        <v>3</v>
      </c>
      <c r="K171" t="s">
        <v>483</v>
      </c>
      <c r="L171">
        <v>1191</v>
      </c>
      <c r="N171">
        <v>1013</v>
      </c>
      <c r="O171" t="s">
        <v>484</v>
      </c>
      <c r="P171" t="s">
        <v>484</v>
      </c>
      <c r="Q171">
        <v>1</v>
      </c>
      <c r="X171">
        <v>0.09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2</v>
      </c>
      <c r="AF171" t="s">
        <v>3</v>
      </c>
      <c r="AG171">
        <v>0.09</v>
      </c>
      <c r="AH171">
        <v>2</v>
      </c>
      <c r="AI171">
        <v>74016500</v>
      </c>
      <c r="AJ171">
        <v>155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ROW(Source!A146)</f>
        <v>146</v>
      </c>
      <c r="B172">
        <v>74016514</v>
      </c>
      <c r="C172">
        <v>74016498</v>
      </c>
      <c r="D172">
        <v>72646162</v>
      </c>
      <c r="E172">
        <v>1</v>
      </c>
      <c r="F172">
        <v>1</v>
      </c>
      <c r="G172">
        <v>1</v>
      </c>
      <c r="H172">
        <v>2</v>
      </c>
      <c r="I172" t="s">
        <v>691</v>
      </c>
      <c r="J172" t="s">
        <v>692</v>
      </c>
      <c r="K172" t="s">
        <v>693</v>
      </c>
      <c r="L172">
        <v>1368</v>
      </c>
      <c r="N172">
        <v>1011</v>
      </c>
      <c r="O172" t="s">
        <v>488</v>
      </c>
      <c r="P172" t="s">
        <v>488</v>
      </c>
      <c r="Q172">
        <v>1</v>
      </c>
      <c r="X172">
        <v>69.099999999999994</v>
      </c>
      <c r="Y172">
        <v>0</v>
      </c>
      <c r="Z172">
        <v>1.4</v>
      </c>
      <c r="AA172">
        <v>0</v>
      </c>
      <c r="AB172">
        <v>0</v>
      </c>
      <c r="AC172">
        <v>0</v>
      </c>
      <c r="AD172">
        <v>1</v>
      </c>
      <c r="AE172">
        <v>0</v>
      </c>
      <c r="AF172" t="s">
        <v>3</v>
      </c>
      <c r="AG172">
        <v>69.099999999999994</v>
      </c>
      <c r="AH172">
        <v>2</v>
      </c>
      <c r="AI172">
        <v>74016501</v>
      </c>
      <c r="AJ172">
        <v>156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ROW(Source!A146)</f>
        <v>146</v>
      </c>
      <c r="B173">
        <v>74016515</v>
      </c>
      <c r="C173">
        <v>74016498</v>
      </c>
      <c r="D173">
        <v>72646194</v>
      </c>
      <c r="E173">
        <v>1</v>
      </c>
      <c r="F173">
        <v>1</v>
      </c>
      <c r="G173">
        <v>1</v>
      </c>
      <c r="H173">
        <v>2</v>
      </c>
      <c r="I173" t="s">
        <v>494</v>
      </c>
      <c r="J173" t="s">
        <v>495</v>
      </c>
      <c r="K173" t="s">
        <v>496</v>
      </c>
      <c r="L173">
        <v>1368</v>
      </c>
      <c r="N173">
        <v>1011</v>
      </c>
      <c r="O173" t="s">
        <v>488</v>
      </c>
      <c r="P173" t="s">
        <v>488</v>
      </c>
      <c r="Q173">
        <v>1</v>
      </c>
      <c r="X173">
        <v>0.09</v>
      </c>
      <c r="Y173">
        <v>0</v>
      </c>
      <c r="Z173">
        <v>1681.82</v>
      </c>
      <c r="AA173">
        <v>459.98</v>
      </c>
      <c r="AB173">
        <v>0</v>
      </c>
      <c r="AC173">
        <v>0</v>
      </c>
      <c r="AD173">
        <v>1</v>
      </c>
      <c r="AE173">
        <v>0</v>
      </c>
      <c r="AF173" t="s">
        <v>3</v>
      </c>
      <c r="AG173">
        <v>0.09</v>
      </c>
      <c r="AH173">
        <v>2</v>
      </c>
      <c r="AI173">
        <v>74016502</v>
      </c>
      <c r="AJ173">
        <v>157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ROW(Source!A146)</f>
        <v>146</v>
      </c>
      <c r="B174">
        <v>74016516</v>
      </c>
      <c r="C174">
        <v>74016498</v>
      </c>
      <c r="D174">
        <v>72646408</v>
      </c>
      <c r="E174">
        <v>1</v>
      </c>
      <c r="F174">
        <v>1</v>
      </c>
      <c r="G174">
        <v>1</v>
      </c>
      <c r="H174">
        <v>2</v>
      </c>
      <c r="I174" t="s">
        <v>694</v>
      </c>
      <c r="J174" t="s">
        <v>695</v>
      </c>
      <c r="K174" t="s">
        <v>696</v>
      </c>
      <c r="L174">
        <v>1368</v>
      </c>
      <c r="N174">
        <v>1011</v>
      </c>
      <c r="O174" t="s">
        <v>488</v>
      </c>
      <c r="P174" t="s">
        <v>488</v>
      </c>
      <c r="Q174">
        <v>1</v>
      </c>
      <c r="X174">
        <v>29.84</v>
      </c>
      <c r="Y174">
        <v>0</v>
      </c>
      <c r="Z174">
        <v>119.89</v>
      </c>
      <c r="AA174">
        <v>0</v>
      </c>
      <c r="AB174">
        <v>0</v>
      </c>
      <c r="AC174">
        <v>0</v>
      </c>
      <c r="AD174">
        <v>1</v>
      </c>
      <c r="AE174">
        <v>0</v>
      </c>
      <c r="AF174" t="s">
        <v>3</v>
      </c>
      <c r="AG174">
        <v>29.84</v>
      </c>
      <c r="AH174">
        <v>2</v>
      </c>
      <c r="AI174">
        <v>74016503</v>
      </c>
      <c r="AJ174">
        <v>158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ROW(Source!A146)</f>
        <v>146</v>
      </c>
      <c r="B175">
        <v>74016517</v>
      </c>
      <c r="C175">
        <v>74016498</v>
      </c>
      <c r="D175">
        <v>72518629</v>
      </c>
      <c r="E175">
        <v>119</v>
      </c>
      <c r="F175">
        <v>1</v>
      </c>
      <c r="G175">
        <v>1</v>
      </c>
      <c r="H175">
        <v>3</v>
      </c>
      <c r="I175" t="s">
        <v>802</v>
      </c>
      <c r="J175" t="s">
        <v>3</v>
      </c>
      <c r="K175" t="s">
        <v>803</v>
      </c>
      <c r="L175">
        <v>1348</v>
      </c>
      <c r="N175">
        <v>1009</v>
      </c>
      <c r="O175" t="s">
        <v>243</v>
      </c>
      <c r="P175" t="s">
        <v>243</v>
      </c>
      <c r="Q175">
        <v>1000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1</v>
      </c>
      <c r="AD175">
        <v>0</v>
      </c>
      <c r="AE175">
        <v>0</v>
      </c>
      <c r="AF175" t="s">
        <v>3</v>
      </c>
      <c r="AG175">
        <v>0</v>
      </c>
      <c r="AH175">
        <v>3</v>
      </c>
      <c r="AI175">
        <v>-1</v>
      </c>
      <c r="AJ175" t="s">
        <v>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ROW(Source!A146)</f>
        <v>146</v>
      </c>
      <c r="B176">
        <v>74016518</v>
      </c>
      <c r="C176">
        <v>74016498</v>
      </c>
      <c r="D176">
        <v>72518635</v>
      </c>
      <c r="E176">
        <v>119</v>
      </c>
      <c r="F176">
        <v>1</v>
      </c>
      <c r="G176">
        <v>1</v>
      </c>
      <c r="H176">
        <v>3</v>
      </c>
      <c r="I176" t="s">
        <v>804</v>
      </c>
      <c r="J176" t="s">
        <v>3</v>
      </c>
      <c r="K176" t="s">
        <v>805</v>
      </c>
      <c r="L176">
        <v>1348</v>
      </c>
      <c r="N176">
        <v>1009</v>
      </c>
      <c r="O176" t="s">
        <v>243</v>
      </c>
      <c r="P176" t="s">
        <v>243</v>
      </c>
      <c r="Q176">
        <v>1000</v>
      </c>
      <c r="X176">
        <v>1.73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 t="s">
        <v>3</v>
      </c>
      <c r="AG176">
        <v>1.73</v>
      </c>
      <c r="AH176">
        <v>3</v>
      </c>
      <c r="AI176">
        <v>-1</v>
      </c>
      <c r="AJ176" t="s">
        <v>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ROW(Source!A146)</f>
        <v>146</v>
      </c>
      <c r="B177">
        <v>74016519</v>
      </c>
      <c r="C177">
        <v>74016498</v>
      </c>
      <c r="D177">
        <v>72591306</v>
      </c>
      <c r="E177">
        <v>1</v>
      </c>
      <c r="F177">
        <v>1</v>
      </c>
      <c r="G177">
        <v>1</v>
      </c>
      <c r="H177">
        <v>3</v>
      </c>
      <c r="I177" t="s">
        <v>697</v>
      </c>
      <c r="J177" t="s">
        <v>698</v>
      </c>
      <c r="K177" t="s">
        <v>699</v>
      </c>
      <c r="L177">
        <v>1329</v>
      </c>
      <c r="N177">
        <v>1005</v>
      </c>
      <c r="O177" t="s">
        <v>700</v>
      </c>
      <c r="P177" t="s">
        <v>700</v>
      </c>
      <c r="Q177">
        <v>1000</v>
      </c>
      <c r="X177">
        <v>0.37</v>
      </c>
      <c r="Y177">
        <v>7186.29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0.37</v>
      </c>
      <c r="AH177">
        <v>2</v>
      </c>
      <c r="AI177">
        <v>74016506</v>
      </c>
      <c r="AJ177">
        <v>161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ROW(Source!A146)</f>
        <v>146</v>
      </c>
      <c r="B178">
        <v>74016520</v>
      </c>
      <c r="C178">
        <v>74016498</v>
      </c>
      <c r="D178">
        <v>72591353</v>
      </c>
      <c r="E178">
        <v>1</v>
      </c>
      <c r="F178">
        <v>1</v>
      </c>
      <c r="G178">
        <v>1</v>
      </c>
      <c r="H178">
        <v>3</v>
      </c>
      <c r="I178" t="s">
        <v>518</v>
      </c>
      <c r="J178" t="s">
        <v>519</v>
      </c>
      <c r="K178" t="s">
        <v>520</v>
      </c>
      <c r="L178">
        <v>1383</v>
      </c>
      <c r="N178">
        <v>1013</v>
      </c>
      <c r="O178" t="s">
        <v>521</v>
      </c>
      <c r="P178" t="s">
        <v>521</v>
      </c>
      <c r="Q178">
        <v>1</v>
      </c>
      <c r="X178">
        <v>49.761000000000003</v>
      </c>
      <c r="Y178">
        <v>9.5500000000000007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49.761000000000003</v>
      </c>
      <c r="AH178">
        <v>2</v>
      </c>
      <c r="AI178">
        <v>74016507</v>
      </c>
      <c r="AJ178">
        <v>162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ROW(Source!A146)</f>
        <v>146</v>
      </c>
      <c r="B179">
        <v>74016521</v>
      </c>
      <c r="C179">
        <v>74016498</v>
      </c>
      <c r="D179">
        <v>72594022</v>
      </c>
      <c r="E179">
        <v>1</v>
      </c>
      <c r="F179">
        <v>1</v>
      </c>
      <c r="G179">
        <v>1</v>
      </c>
      <c r="H179">
        <v>3</v>
      </c>
      <c r="I179" t="s">
        <v>701</v>
      </c>
      <c r="J179" t="s">
        <v>702</v>
      </c>
      <c r="K179" t="s">
        <v>703</v>
      </c>
      <c r="L179">
        <v>1327</v>
      </c>
      <c r="N179">
        <v>1005</v>
      </c>
      <c r="O179" t="s">
        <v>633</v>
      </c>
      <c r="P179" t="s">
        <v>633</v>
      </c>
      <c r="Q179">
        <v>1</v>
      </c>
      <c r="X179">
        <v>1.2</v>
      </c>
      <c r="Y179">
        <v>108.68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 t="s">
        <v>3</v>
      </c>
      <c r="AG179">
        <v>1.2</v>
      </c>
      <c r="AH179">
        <v>2</v>
      </c>
      <c r="AI179">
        <v>74016508</v>
      </c>
      <c r="AJ179">
        <v>163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ROW(Source!A146)</f>
        <v>146</v>
      </c>
      <c r="B180">
        <v>74016522</v>
      </c>
      <c r="C180">
        <v>74016498</v>
      </c>
      <c r="D180">
        <v>72594035</v>
      </c>
      <c r="E180">
        <v>1</v>
      </c>
      <c r="F180">
        <v>1</v>
      </c>
      <c r="G180">
        <v>1</v>
      </c>
      <c r="H180">
        <v>3</v>
      </c>
      <c r="I180" t="s">
        <v>704</v>
      </c>
      <c r="J180" t="s">
        <v>705</v>
      </c>
      <c r="K180" t="s">
        <v>706</v>
      </c>
      <c r="L180">
        <v>1330</v>
      </c>
      <c r="N180">
        <v>1005</v>
      </c>
      <c r="O180" t="s">
        <v>707</v>
      </c>
      <c r="P180" t="s">
        <v>707</v>
      </c>
      <c r="Q180">
        <v>10</v>
      </c>
      <c r="X180">
        <v>0.31</v>
      </c>
      <c r="Y180">
        <v>592.04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 t="s">
        <v>3</v>
      </c>
      <c r="AG180">
        <v>0.31</v>
      </c>
      <c r="AH180">
        <v>2</v>
      </c>
      <c r="AI180">
        <v>74016509</v>
      </c>
      <c r="AJ180">
        <v>164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ROW(Source!A146)</f>
        <v>146</v>
      </c>
      <c r="B181">
        <v>74016523</v>
      </c>
      <c r="C181">
        <v>74016498</v>
      </c>
      <c r="D181">
        <v>72602544</v>
      </c>
      <c r="E181">
        <v>1</v>
      </c>
      <c r="F181">
        <v>1</v>
      </c>
      <c r="G181">
        <v>1</v>
      </c>
      <c r="H181">
        <v>3</v>
      </c>
      <c r="I181" t="s">
        <v>677</v>
      </c>
      <c r="J181" t="s">
        <v>678</v>
      </c>
      <c r="K181" t="s">
        <v>679</v>
      </c>
      <c r="L181">
        <v>1339</v>
      </c>
      <c r="N181">
        <v>1007</v>
      </c>
      <c r="O181" t="s">
        <v>48</v>
      </c>
      <c r="P181" t="s">
        <v>48</v>
      </c>
      <c r="Q181">
        <v>1</v>
      </c>
      <c r="X181">
        <v>0.25</v>
      </c>
      <c r="Y181">
        <v>6442.06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0</v>
      </c>
      <c r="AF181" t="s">
        <v>3</v>
      </c>
      <c r="AG181">
        <v>0.25</v>
      </c>
      <c r="AH181">
        <v>2</v>
      </c>
      <c r="AI181">
        <v>74016510</v>
      </c>
      <c r="AJ181">
        <v>165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ROW(Source!A146)</f>
        <v>146</v>
      </c>
      <c r="B182">
        <v>74016524</v>
      </c>
      <c r="C182">
        <v>74016498</v>
      </c>
      <c r="D182">
        <v>72604413</v>
      </c>
      <c r="E182">
        <v>1</v>
      </c>
      <c r="F182">
        <v>1</v>
      </c>
      <c r="G182">
        <v>1</v>
      </c>
      <c r="H182">
        <v>3</v>
      </c>
      <c r="I182" t="s">
        <v>708</v>
      </c>
      <c r="J182" t="s">
        <v>709</v>
      </c>
      <c r="K182" t="s">
        <v>710</v>
      </c>
      <c r="L182">
        <v>1330</v>
      </c>
      <c r="N182">
        <v>1005</v>
      </c>
      <c r="O182" t="s">
        <v>707</v>
      </c>
      <c r="P182" t="s">
        <v>707</v>
      </c>
      <c r="Q182">
        <v>10</v>
      </c>
      <c r="X182">
        <v>43</v>
      </c>
      <c r="Y182">
        <v>574.19000000000005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 t="s">
        <v>3</v>
      </c>
      <c r="AG182">
        <v>43</v>
      </c>
      <c r="AH182">
        <v>2</v>
      </c>
      <c r="AI182">
        <v>74016511</v>
      </c>
      <c r="AJ182">
        <v>166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ROW(Source!A184)</f>
        <v>184</v>
      </c>
      <c r="B183">
        <v>74016588</v>
      </c>
      <c r="C183">
        <v>74016585</v>
      </c>
      <c r="D183">
        <v>20049115</v>
      </c>
      <c r="E183">
        <v>119</v>
      </c>
      <c r="F183">
        <v>1</v>
      </c>
      <c r="G183">
        <v>1</v>
      </c>
      <c r="H183">
        <v>1</v>
      </c>
      <c r="I183" t="s">
        <v>482</v>
      </c>
      <c r="J183" t="s">
        <v>3</v>
      </c>
      <c r="K183" t="s">
        <v>483</v>
      </c>
      <c r="L183">
        <v>1191</v>
      </c>
      <c r="N183">
        <v>1013</v>
      </c>
      <c r="O183" t="s">
        <v>484</v>
      </c>
      <c r="P183" t="s">
        <v>484</v>
      </c>
      <c r="Q183">
        <v>1</v>
      </c>
      <c r="X183">
        <v>25.5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2</v>
      </c>
      <c r="AF183" t="s">
        <v>3</v>
      </c>
      <c r="AG183">
        <v>25.5</v>
      </c>
      <c r="AH183">
        <v>2</v>
      </c>
      <c r="AI183">
        <v>74016586</v>
      </c>
      <c r="AJ183">
        <v>167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ROW(Source!A184)</f>
        <v>184</v>
      </c>
      <c r="B184">
        <v>74016589</v>
      </c>
      <c r="C184">
        <v>74016585</v>
      </c>
      <c r="D184">
        <v>72645652</v>
      </c>
      <c r="E184">
        <v>1</v>
      </c>
      <c r="F184">
        <v>1</v>
      </c>
      <c r="G184">
        <v>1</v>
      </c>
      <c r="H184">
        <v>2</v>
      </c>
      <c r="I184" t="s">
        <v>485</v>
      </c>
      <c r="J184" t="s">
        <v>486</v>
      </c>
      <c r="K184" t="s">
        <v>487</v>
      </c>
      <c r="L184">
        <v>1368</v>
      </c>
      <c r="N184">
        <v>1011</v>
      </c>
      <c r="O184" t="s">
        <v>488</v>
      </c>
      <c r="P184" t="s">
        <v>488</v>
      </c>
      <c r="Q184">
        <v>1</v>
      </c>
      <c r="X184">
        <v>25.5</v>
      </c>
      <c r="Y184">
        <v>0</v>
      </c>
      <c r="Z184">
        <v>1054.03</v>
      </c>
      <c r="AA184">
        <v>537.64</v>
      </c>
      <c r="AB184">
        <v>0</v>
      </c>
      <c r="AC184">
        <v>0</v>
      </c>
      <c r="AD184">
        <v>1</v>
      </c>
      <c r="AE184">
        <v>0</v>
      </c>
      <c r="AF184" t="s">
        <v>3</v>
      </c>
      <c r="AG184">
        <v>25.5</v>
      </c>
      <c r="AH184">
        <v>2</v>
      </c>
      <c r="AI184">
        <v>74016587</v>
      </c>
      <c r="AJ184">
        <v>168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ROW(Source!A185)</f>
        <v>185</v>
      </c>
      <c r="B185">
        <v>74016593</v>
      </c>
      <c r="C185">
        <v>74016590</v>
      </c>
      <c r="D185">
        <v>20049115</v>
      </c>
      <c r="E185">
        <v>119</v>
      </c>
      <c r="F185">
        <v>1</v>
      </c>
      <c r="G185">
        <v>1</v>
      </c>
      <c r="H185">
        <v>1</v>
      </c>
      <c r="I185" t="s">
        <v>482</v>
      </c>
      <c r="J185" t="s">
        <v>3</v>
      </c>
      <c r="K185" t="s">
        <v>483</v>
      </c>
      <c r="L185">
        <v>1191</v>
      </c>
      <c r="N185">
        <v>1013</v>
      </c>
      <c r="O185" t="s">
        <v>484</v>
      </c>
      <c r="P185" t="s">
        <v>484</v>
      </c>
      <c r="Q185">
        <v>1</v>
      </c>
      <c r="X185">
        <v>8.06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2</v>
      </c>
      <c r="AF185" t="s">
        <v>3</v>
      </c>
      <c r="AG185">
        <v>8.06</v>
      </c>
      <c r="AH185">
        <v>2</v>
      </c>
      <c r="AI185">
        <v>74016591</v>
      </c>
      <c r="AJ185">
        <v>169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ROW(Source!A185)</f>
        <v>185</v>
      </c>
      <c r="B186">
        <v>74016594</v>
      </c>
      <c r="C186">
        <v>74016590</v>
      </c>
      <c r="D186">
        <v>72645603</v>
      </c>
      <c r="E186">
        <v>1</v>
      </c>
      <c r="F186">
        <v>1</v>
      </c>
      <c r="G186">
        <v>1</v>
      </c>
      <c r="H186">
        <v>2</v>
      </c>
      <c r="I186" t="s">
        <v>498</v>
      </c>
      <c r="J186" t="s">
        <v>499</v>
      </c>
      <c r="K186" t="s">
        <v>500</v>
      </c>
      <c r="L186">
        <v>1368</v>
      </c>
      <c r="N186">
        <v>1011</v>
      </c>
      <c r="O186" t="s">
        <v>488</v>
      </c>
      <c r="P186" t="s">
        <v>488</v>
      </c>
      <c r="Q186">
        <v>1</v>
      </c>
      <c r="X186">
        <v>8.06</v>
      </c>
      <c r="Y186">
        <v>0</v>
      </c>
      <c r="Z186">
        <v>828.16</v>
      </c>
      <c r="AA186">
        <v>459.98</v>
      </c>
      <c r="AB186">
        <v>0</v>
      </c>
      <c r="AC186">
        <v>0</v>
      </c>
      <c r="AD186">
        <v>1</v>
      </c>
      <c r="AE186">
        <v>0</v>
      </c>
      <c r="AF186" t="s">
        <v>3</v>
      </c>
      <c r="AG186">
        <v>8.06</v>
      </c>
      <c r="AH186">
        <v>2</v>
      </c>
      <c r="AI186">
        <v>74016592</v>
      </c>
      <c r="AJ186">
        <v>170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ROW(Source!A186)</f>
        <v>186</v>
      </c>
      <c r="B187">
        <v>74016608</v>
      </c>
      <c r="C187">
        <v>74016595</v>
      </c>
      <c r="D187">
        <v>20054416</v>
      </c>
      <c r="E187">
        <v>119</v>
      </c>
      <c r="F187">
        <v>1</v>
      </c>
      <c r="G187">
        <v>1</v>
      </c>
      <c r="H187">
        <v>1</v>
      </c>
      <c r="I187" t="s">
        <v>711</v>
      </c>
      <c r="J187" t="s">
        <v>3</v>
      </c>
      <c r="K187" t="s">
        <v>712</v>
      </c>
      <c r="L187">
        <v>1191</v>
      </c>
      <c r="N187">
        <v>1013</v>
      </c>
      <c r="O187" t="s">
        <v>484</v>
      </c>
      <c r="P187" t="s">
        <v>484</v>
      </c>
      <c r="Q187">
        <v>1</v>
      </c>
      <c r="X187">
        <v>0.99</v>
      </c>
      <c r="Y187">
        <v>0</v>
      </c>
      <c r="Z187">
        <v>0</v>
      </c>
      <c r="AA187">
        <v>0</v>
      </c>
      <c r="AB187">
        <v>454.01</v>
      </c>
      <c r="AC187">
        <v>0</v>
      </c>
      <c r="AD187">
        <v>1</v>
      </c>
      <c r="AE187">
        <v>1</v>
      </c>
      <c r="AF187" t="s">
        <v>323</v>
      </c>
      <c r="AG187">
        <v>0.495</v>
      </c>
      <c r="AH187">
        <v>2</v>
      </c>
      <c r="AI187">
        <v>74016596</v>
      </c>
      <c r="AJ187">
        <v>171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ROW(Source!A186)</f>
        <v>186</v>
      </c>
      <c r="B188">
        <v>74016609</v>
      </c>
      <c r="C188">
        <v>74016595</v>
      </c>
      <c r="D188">
        <v>20049115</v>
      </c>
      <c r="E188">
        <v>119</v>
      </c>
      <c r="F188">
        <v>1</v>
      </c>
      <c r="G188">
        <v>1</v>
      </c>
      <c r="H188">
        <v>1</v>
      </c>
      <c r="I188" t="s">
        <v>482</v>
      </c>
      <c r="J188" t="s">
        <v>3</v>
      </c>
      <c r="K188" t="s">
        <v>483</v>
      </c>
      <c r="L188">
        <v>1191</v>
      </c>
      <c r="N188">
        <v>1013</v>
      </c>
      <c r="O188" t="s">
        <v>484</v>
      </c>
      <c r="P188" t="s">
        <v>484</v>
      </c>
      <c r="Q188">
        <v>1</v>
      </c>
      <c r="X188">
        <v>1.1399999999999999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2</v>
      </c>
      <c r="AF188" t="s">
        <v>323</v>
      </c>
      <c r="AG188">
        <v>0.56999999999999995</v>
      </c>
      <c r="AH188">
        <v>2</v>
      </c>
      <c r="AI188">
        <v>74016597</v>
      </c>
      <c r="AJ188">
        <v>172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ROW(Source!A186)</f>
        <v>186</v>
      </c>
      <c r="B189">
        <v>74016610</v>
      </c>
      <c r="C189">
        <v>74016595</v>
      </c>
      <c r="D189">
        <v>72645965</v>
      </c>
      <c r="E189">
        <v>1</v>
      </c>
      <c r="F189">
        <v>1</v>
      </c>
      <c r="G189">
        <v>1</v>
      </c>
      <c r="H189">
        <v>2</v>
      </c>
      <c r="I189" t="s">
        <v>713</v>
      </c>
      <c r="J189" t="s">
        <v>714</v>
      </c>
      <c r="K189" t="s">
        <v>715</v>
      </c>
      <c r="L189">
        <v>1368</v>
      </c>
      <c r="N189">
        <v>1011</v>
      </c>
      <c r="O189" t="s">
        <v>488</v>
      </c>
      <c r="P189" t="s">
        <v>488</v>
      </c>
      <c r="Q189">
        <v>1</v>
      </c>
      <c r="X189">
        <v>0.46</v>
      </c>
      <c r="Y189">
        <v>0</v>
      </c>
      <c r="Z189">
        <v>1503.9</v>
      </c>
      <c r="AA189">
        <v>537.64</v>
      </c>
      <c r="AB189">
        <v>0</v>
      </c>
      <c r="AC189">
        <v>0</v>
      </c>
      <c r="AD189">
        <v>1</v>
      </c>
      <c r="AE189">
        <v>0</v>
      </c>
      <c r="AF189" t="s">
        <v>323</v>
      </c>
      <c r="AG189">
        <v>0.23</v>
      </c>
      <c r="AH189">
        <v>2</v>
      </c>
      <c r="AI189">
        <v>74016598</v>
      </c>
      <c r="AJ189">
        <v>173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ROW(Source!A186)</f>
        <v>186</v>
      </c>
      <c r="B190">
        <v>74016611</v>
      </c>
      <c r="C190">
        <v>74016595</v>
      </c>
      <c r="D190">
        <v>72646037</v>
      </c>
      <c r="E190">
        <v>1</v>
      </c>
      <c r="F190">
        <v>1</v>
      </c>
      <c r="G190">
        <v>1</v>
      </c>
      <c r="H190">
        <v>2</v>
      </c>
      <c r="I190" t="s">
        <v>636</v>
      </c>
      <c r="J190" t="s">
        <v>637</v>
      </c>
      <c r="K190" t="s">
        <v>638</v>
      </c>
      <c r="L190">
        <v>1368</v>
      </c>
      <c r="N190">
        <v>1011</v>
      </c>
      <c r="O190" t="s">
        <v>488</v>
      </c>
      <c r="P190" t="s">
        <v>488</v>
      </c>
      <c r="Q190">
        <v>1</v>
      </c>
      <c r="X190">
        <v>1E-3</v>
      </c>
      <c r="Y190">
        <v>0</v>
      </c>
      <c r="Z190">
        <v>1836.16</v>
      </c>
      <c r="AA190">
        <v>537.64</v>
      </c>
      <c r="AB190">
        <v>0</v>
      </c>
      <c r="AC190">
        <v>0</v>
      </c>
      <c r="AD190">
        <v>1</v>
      </c>
      <c r="AE190">
        <v>0</v>
      </c>
      <c r="AF190" t="s">
        <v>323</v>
      </c>
      <c r="AG190">
        <v>5.0000000000000001E-4</v>
      </c>
      <c r="AH190">
        <v>2</v>
      </c>
      <c r="AI190">
        <v>74016599</v>
      </c>
      <c r="AJ190">
        <v>174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ROW(Source!A186)</f>
        <v>186</v>
      </c>
      <c r="B191">
        <v>74016612</v>
      </c>
      <c r="C191">
        <v>74016595</v>
      </c>
      <c r="D191">
        <v>72646308</v>
      </c>
      <c r="E191">
        <v>1</v>
      </c>
      <c r="F191">
        <v>1</v>
      </c>
      <c r="G191">
        <v>1</v>
      </c>
      <c r="H191">
        <v>2</v>
      </c>
      <c r="I191" t="s">
        <v>716</v>
      </c>
      <c r="J191" t="s">
        <v>717</v>
      </c>
      <c r="K191" t="s">
        <v>718</v>
      </c>
      <c r="L191">
        <v>1368</v>
      </c>
      <c r="N191">
        <v>1011</v>
      </c>
      <c r="O191" t="s">
        <v>488</v>
      </c>
      <c r="P191" t="s">
        <v>488</v>
      </c>
      <c r="Q191">
        <v>1</v>
      </c>
      <c r="X191">
        <v>0.46</v>
      </c>
      <c r="Y191">
        <v>0</v>
      </c>
      <c r="Z191">
        <v>1459.28</v>
      </c>
      <c r="AA191">
        <v>459.98</v>
      </c>
      <c r="AB191">
        <v>0</v>
      </c>
      <c r="AC191">
        <v>0</v>
      </c>
      <c r="AD191">
        <v>1</v>
      </c>
      <c r="AE191">
        <v>0</v>
      </c>
      <c r="AF191" t="s">
        <v>323</v>
      </c>
      <c r="AG191">
        <v>0.23</v>
      </c>
      <c r="AH191">
        <v>2</v>
      </c>
      <c r="AI191">
        <v>74016600</v>
      </c>
      <c r="AJ191">
        <v>175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ROW(Source!A186)</f>
        <v>186</v>
      </c>
      <c r="B192">
        <v>74016613</v>
      </c>
      <c r="C192">
        <v>74016595</v>
      </c>
      <c r="D192">
        <v>72646682</v>
      </c>
      <c r="E192">
        <v>1</v>
      </c>
      <c r="F192">
        <v>1</v>
      </c>
      <c r="G192">
        <v>1</v>
      </c>
      <c r="H192">
        <v>2</v>
      </c>
      <c r="I192" t="s">
        <v>505</v>
      </c>
      <c r="J192" t="s">
        <v>506</v>
      </c>
      <c r="K192" t="s">
        <v>507</v>
      </c>
      <c r="L192">
        <v>1368</v>
      </c>
      <c r="N192">
        <v>1011</v>
      </c>
      <c r="O192" t="s">
        <v>488</v>
      </c>
      <c r="P192" t="s">
        <v>488</v>
      </c>
      <c r="Q192">
        <v>1</v>
      </c>
      <c r="X192">
        <v>0.2</v>
      </c>
      <c r="Y192">
        <v>0</v>
      </c>
      <c r="Z192">
        <v>994.01</v>
      </c>
      <c r="AA192">
        <v>459.98</v>
      </c>
      <c r="AB192">
        <v>0</v>
      </c>
      <c r="AC192">
        <v>0</v>
      </c>
      <c r="AD192">
        <v>1</v>
      </c>
      <c r="AE192">
        <v>0</v>
      </c>
      <c r="AF192" t="s">
        <v>323</v>
      </c>
      <c r="AG192">
        <v>0.1</v>
      </c>
      <c r="AH192">
        <v>2</v>
      </c>
      <c r="AI192">
        <v>74016601</v>
      </c>
      <c r="AJ192">
        <v>176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ROW(Source!A186)</f>
        <v>186</v>
      </c>
      <c r="B193">
        <v>74016614</v>
      </c>
      <c r="C193">
        <v>74016595</v>
      </c>
      <c r="D193">
        <v>72646901</v>
      </c>
      <c r="E193">
        <v>1</v>
      </c>
      <c r="F193">
        <v>1</v>
      </c>
      <c r="G193">
        <v>1</v>
      </c>
      <c r="H193">
        <v>2</v>
      </c>
      <c r="I193" t="s">
        <v>719</v>
      </c>
      <c r="J193" t="s">
        <v>720</v>
      </c>
      <c r="K193" t="s">
        <v>721</v>
      </c>
      <c r="L193">
        <v>1368</v>
      </c>
      <c r="N193">
        <v>1011</v>
      </c>
      <c r="O193" t="s">
        <v>488</v>
      </c>
      <c r="P193" t="s">
        <v>488</v>
      </c>
      <c r="Q193">
        <v>1</v>
      </c>
      <c r="X193">
        <v>0.01</v>
      </c>
      <c r="Y193">
        <v>0</v>
      </c>
      <c r="Z193">
        <v>1478.45</v>
      </c>
      <c r="AA193">
        <v>400.24</v>
      </c>
      <c r="AB193">
        <v>0</v>
      </c>
      <c r="AC193">
        <v>0</v>
      </c>
      <c r="AD193">
        <v>1</v>
      </c>
      <c r="AE193">
        <v>0</v>
      </c>
      <c r="AF193" t="s">
        <v>323</v>
      </c>
      <c r="AG193">
        <v>5.0000000000000001E-3</v>
      </c>
      <c r="AH193">
        <v>2</v>
      </c>
      <c r="AI193">
        <v>74016602</v>
      </c>
      <c r="AJ193">
        <v>177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ROW(Source!A186)</f>
        <v>186</v>
      </c>
      <c r="B194">
        <v>74016615</v>
      </c>
      <c r="C194">
        <v>74016595</v>
      </c>
      <c r="D194">
        <v>72647172</v>
      </c>
      <c r="E194">
        <v>1</v>
      </c>
      <c r="F194">
        <v>1</v>
      </c>
      <c r="G194">
        <v>1</v>
      </c>
      <c r="H194">
        <v>2</v>
      </c>
      <c r="I194" t="s">
        <v>722</v>
      </c>
      <c r="J194" t="s">
        <v>723</v>
      </c>
      <c r="K194" t="s">
        <v>724</v>
      </c>
      <c r="L194">
        <v>1368</v>
      </c>
      <c r="N194">
        <v>1011</v>
      </c>
      <c r="O194" t="s">
        <v>488</v>
      </c>
      <c r="P194" t="s">
        <v>488</v>
      </c>
      <c r="Q194">
        <v>1</v>
      </c>
      <c r="X194">
        <v>0.01</v>
      </c>
      <c r="Y194">
        <v>0</v>
      </c>
      <c r="Z194">
        <v>1002.48</v>
      </c>
      <c r="AA194">
        <v>537.64</v>
      </c>
      <c r="AB194">
        <v>0</v>
      </c>
      <c r="AC194">
        <v>0</v>
      </c>
      <c r="AD194">
        <v>1</v>
      </c>
      <c r="AE194">
        <v>0</v>
      </c>
      <c r="AF194" t="s">
        <v>323</v>
      </c>
      <c r="AG194">
        <v>5.0000000000000001E-3</v>
      </c>
      <c r="AH194">
        <v>2</v>
      </c>
      <c r="AI194">
        <v>74016603</v>
      </c>
      <c r="AJ194">
        <v>178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ROW(Source!A186)</f>
        <v>186</v>
      </c>
      <c r="B195">
        <v>74016616</v>
      </c>
      <c r="C195">
        <v>74016595</v>
      </c>
      <c r="D195">
        <v>72647286</v>
      </c>
      <c r="E195">
        <v>1</v>
      </c>
      <c r="F195">
        <v>1</v>
      </c>
      <c r="G195">
        <v>1</v>
      </c>
      <c r="H195">
        <v>2</v>
      </c>
      <c r="I195" t="s">
        <v>725</v>
      </c>
      <c r="J195" t="s">
        <v>726</v>
      </c>
      <c r="K195" t="s">
        <v>727</v>
      </c>
      <c r="L195">
        <v>1368</v>
      </c>
      <c r="N195">
        <v>1011</v>
      </c>
      <c r="O195" t="s">
        <v>488</v>
      </c>
      <c r="P195" t="s">
        <v>488</v>
      </c>
      <c r="Q195">
        <v>1</v>
      </c>
      <c r="X195">
        <v>0.01</v>
      </c>
      <c r="Y195">
        <v>0</v>
      </c>
      <c r="Z195">
        <v>49.76</v>
      </c>
      <c r="AA195">
        <v>0</v>
      </c>
      <c r="AB195">
        <v>0</v>
      </c>
      <c r="AC195">
        <v>0</v>
      </c>
      <c r="AD195">
        <v>1</v>
      </c>
      <c r="AE195">
        <v>0</v>
      </c>
      <c r="AF195" t="s">
        <v>323</v>
      </c>
      <c r="AG195">
        <v>5.0000000000000001E-3</v>
      </c>
      <c r="AH195">
        <v>2</v>
      </c>
      <c r="AI195">
        <v>74016604</v>
      </c>
      <c r="AJ195">
        <v>179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ROW(Source!A186)</f>
        <v>186</v>
      </c>
      <c r="B196">
        <v>74016617</v>
      </c>
      <c r="C196">
        <v>74016595</v>
      </c>
      <c r="D196">
        <v>72589256</v>
      </c>
      <c r="E196">
        <v>1</v>
      </c>
      <c r="F196">
        <v>1</v>
      </c>
      <c r="G196">
        <v>1</v>
      </c>
      <c r="H196">
        <v>3</v>
      </c>
      <c r="I196" t="s">
        <v>728</v>
      </c>
      <c r="J196" t="s">
        <v>729</v>
      </c>
      <c r="K196" t="s">
        <v>730</v>
      </c>
      <c r="L196">
        <v>1346</v>
      </c>
      <c r="N196">
        <v>1009</v>
      </c>
      <c r="O196" t="s">
        <v>314</v>
      </c>
      <c r="P196" t="s">
        <v>314</v>
      </c>
      <c r="Q196">
        <v>1</v>
      </c>
      <c r="X196">
        <v>3.56E-2</v>
      </c>
      <c r="Y196">
        <v>496.41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 t="s">
        <v>323</v>
      </c>
      <c r="AG196">
        <v>1.78E-2</v>
      </c>
      <c r="AH196">
        <v>2</v>
      </c>
      <c r="AI196">
        <v>74016605</v>
      </c>
      <c r="AJ196">
        <v>180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ROW(Source!A186)</f>
        <v>186</v>
      </c>
      <c r="B197">
        <v>74016618</v>
      </c>
      <c r="C197">
        <v>74016595</v>
      </c>
      <c r="D197">
        <v>72589463</v>
      </c>
      <c r="E197">
        <v>1</v>
      </c>
      <c r="F197">
        <v>1</v>
      </c>
      <c r="G197">
        <v>1</v>
      </c>
      <c r="H197">
        <v>3</v>
      </c>
      <c r="I197" t="s">
        <v>731</v>
      </c>
      <c r="J197" t="s">
        <v>732</v>
      </c>
      <c r="K197" t="s">
        <v>733</v>
      </c>
      <c r="L197">
        <v>1348</v>
      </c>
      <c r="N197">
        <v>1009</v>
      </c>
      <c r="O197" t="s">
        <v>243</v>
      </c>
      <c r="P197" t="s">
        <v>243</v>
      </c>
      <c r="Q197">
        <v>1000</v>
      </c>
      <c r="X197">
        <v>1.1E-4</v>
      </c>
      <c r="Y197">
        <v>30083.51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 t="s">
        <v>323</v>
      </c>
      <c r="AG197">
        <v>5.5000000000000002E-5</v>
      </c>
      <c r="AH197">
        <v>2</v>
      </c>
      <c r="AI197">
        <v>74016606</v>
      </c>
      <c r="AJ197">
        <v>181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ROW(Source!A186)</f>
        <v>186</v>
      </c>
      <c r="B198">
        <v>74016619</v>
      </c>
      <c r="C198">
        <v>74016595</v>
      </c>
      <c r="D198">
        <v>72518865</v>
      </c>
      <c r="E198">
        <v>119</v>
      </c>
      <c r="F198">
        <v>1</v>
      </c>
      <c r="G198">
        <v>1</v>
      </c>
      <c r="H198">
        <v>3</v>
      </c>
      <c r="I198" t="s">
        <v>806</v>
      </c>
      <c r="J198" t="s">
        <v>3</v>
      </c>
      <c r="K198" t="s">
        <v>807</v>
      </c>
      <c r="L198">
        <v>1346</v>
      </c>
      <c r="N198">
        <v>1009</v>
      </c>
      <c r="O198" t="s">
        <v>314</v>
      </c>
      <c r="P198" t="s">
        <v>314</v>
      </c>
      <c r="Q198">
        <v>1</v>
      </c>
      <c r="X198">
        <v>8.1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 t="s">
        <v>323</v>
      </c>
      <c r="AG198">
        <v>4.05</v>
      </c>
      <c r="AH198">
        <v>3</v>
      </c>
      <c r="AI198">
        <v>-1</v>
      </c>
      <c r="AJ198" t="s">
        <v>3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ROW(Source!A186)</f>
        <v>186</v>
      </c>
      <c r="B199">
        <v>74016620</v>
      </c>
      <c r="C199">
        <v>74016595</v>
      </c>
      <c r="D199">
        <v>72518873</v>
      </c>
      <c r="E199">
        <v>119</v>
      </c>
      <c r="F199">
        <v>1</v>
      </c>
      <c r="G199">
        <v>1</v>
      </c>
      <c r="H199">
        <v>3</v>
      </c>
      <c r="I199" t="s">
        <v>808</v>
      </c>
      <c r="J199" t="s">
        <v>3</v>
      </c>
      <c r="K199" t="s">
        <v>809</v>
      </c>
      <c r="L199">
        <v>1348</v>
      </c>
      <c r="N199">
        <v>1009</v>
      </c>
      <c r="O199" t="s">
        <v>243</v>
      </c>
      <c r="P199" t="s">
        <v>243</v>
      </c>
      <c r="Q199">
        <v>1000</v>
      </c>
      <c r="X199">
        <v>4.4999999999999999E-4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 t="s">
        <v>323</v>
      </c>
      <c r="AG199">
        <v>2.2499999999999999E-4</v>
      </c>
      <c r="AH199">
        <v>3</v>
      </c>
      <c r="AI199">
        <v>-1</v>
      </c>
      <c r="AJ199" t="s">
        <v>3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ROW(Source!A186)</f>
        <v>186</v>
      </c>
      <c r="B200">
        <v>74016621</v>
      </c>
      <c r="C200">
        <v>74016595</v>
      </c>
      <c r="D200">
        <v>72591341</v>
      </c>
      <c r="E200">
        <v>1</v>
      </c>
      <c r="F200">
        <v>1</v>
      </c>
      <c r="G200">
        <v>1</v>
      </c>
      <c r="H200">
        <v>3</v>
      </c>
      <c r="I200" t="s">
        <v>627</v>
      </c>
      <c r="J200" t="s">
        <v>628</v>
      </c>
      <c r="K200" t="s">
        <v>629</v>
      </c>
      <c r="L200">
        <v>1339</v>
      </c>
      <c r="N200">
        <v>1007</v>
      </c>
      <c r="O200" t="s">
        <v>48</v>
      </c>
      <c r="P200" t="s">
        <v>48</v>
      </c>
      <c r="Q200">
        <v>1</v>
      </c>
      <c r="X200">
        <v>0.15</v>
      </c>
      <c r="Y200">
        <v>35.71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 t="s">
        <v>323</v>
      </c>
      <c r="AG200">
        <v>7.4999999999999997E-2</v>
      </c>
      <c r="AH200">
        <v>2</v>
      </c>
      <c r="AI200">
        <v>74016607</v>
      </c>
      <c r="AJ200">
        <v>182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ROW(Source!A187)</f>
        <v>187</v>
      </c>
      <c r="B201">
        <v>74016627</v>
      </c>
      <c r="C201">
        <v>74016622</v>
      </c>
      <c r="D201">
        <v>20049217</v>
      </c>
      <c r="E201">
        <v>119</v>
      </c>
      <c r="F201">
        <v>1</v>
      </c>
      <c r="G201">
        <v>1</v>
      </c>
      <c r="H201">
        <v>1</v>
      </c>
      <c r="I201" t="s">
        <v>634</v>
      </c>
      <c r="J201" t="s">
        <v>3</v>
      </c>
      <c r="K201" t="s">
        <v>635</v>
      </c>
      <c r="L201">
        <v>1191</v>
      </c>
      <c r="N201">
        <v>1013</v>
      </c>
      <c r="O201" t="s">
        <v>484</v>
      </c>
      <c r="P201" t="s">
        <v>484</v>
      </c>
      <c r="Q201">
        <v>1</v>
      </c>
      <c r="X201">
        <v>2.2799999999999998</v>
      </c>
      <c r="Y201">
        <v>0</v>
      </c>
      <c r="Z201">
        <v>0</v>
      </c>
      <c r="AA201">
        <v>0</v>
      </c>
      <c r="AB201">
        <v>368.88</v>
      </c>
      <c r="AC201">
        <v>0</v>
      </c>
      <c r="AD201">
        <v>1</v>
      </c>
      <c r="AE201">
        <v>1</v>
      </c>
      <c r="AF201" t="s">
        <v>3</v>
      </c>
      <c r="AG201">
        <v>2.2799999999999998</v>
      </c>
      <c r="AH201">
        <v>2</v>
      </c>
      <c r="AI201">
        <v>74016623</v>
      </c>
      <c r="AJ201">
        <v>183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ROW(Source!A187)</f>
        <v>187</v>
      </c>
      <c r="B202">
        <v>74016628</v>
      </c>
      <c r="C202">
        <v>74016622</v>
      </c>
      <c r="D202">
        <v>20049115</v>
      </c>
      <c r="E202">
        <v>119</v>
      </c>
      <c r="F202">
        <v>1</v>
      </c>
      <c r="G202">
        <v>1</v>
      </c>
      <c r="H202">
        <v>1</v>
      </c>
      <c r="I202" t="s">
        <v>482</v>
      </c>
      <c r="J202" t="s">
        <v>3</v>
      </c>
      <c r="K202" t="s">
        <v>483</v>
      </c>
      <c r="L202">
        <v>1191</v>
      </c>
      <c r="N202">
        <v>1013</v>
      </c>
      <c r="O202" t="s">
        <v>484</v>
      </c>
      <c r="P202" t="s">
        <v>484</v>
      </c>
      <c r="Q202">
        <v>1</v>
      </c>
      <c r="X202">
        <v>0.74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2</v>
      </c>
      <c r="AF202" t="s">
        <v>3</v>
      </c>
      <c r="AG202">
        <v>0.74</v>
      </c>
      <c r="AH202">
        <v>2</v>
      </c>
      <c r="AI202">
        <v>74016624</v>
      </c>
      <c r="AJ202">
        <v>184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ROW(Source!A187)</f>
        <v>187</v>
      </c>
      <c r="B203">
        <v>74016629</v>
      </c>
      <c r="C203">
        <v>74016622</v>
      </c>
      <c r="D203">
        <v>72646682</v>
      </c>
      <c r="E203">
        <v>1</v>
      </c>
      <c r="F203">
        <v>1</v>
      </c>
      <c r="G203">
        <v>1</v>
      </c>
      <c r="H203">
        <v>2</v>
      </c>
      <c r="I203" t="s">
        <v>505</v>
      </c>
      <c r="J203" t="s">
        <v>506</v>
      </c>
      <c r="K203" t="s">
        <v>507</v>
      </c>
      <c r="L203">
        <v>1368</v>
      </c>
      <c r="N203">
        <v>1011</v>
      </c>
      <c r="O203" t="s">
        <v>488</v>
      </c>
      <c r="P203" t="s">
        <v>488</v>
      </c>
      <c r="Q203">
        <v>1</v>
      </c>
      <c r="X203">
        <v>0.74</v>
      </c>
      <c r="Y203">
        <v>0</v>
      </c>
      <c r="Z203">
        <v>994.01</v>
      </c>
      <c r="AA203">
        <v>459.98</v>
      </c>
      <c r="AB203">
        <v>0</v>
      </c>
      <c r="AC203">
        <v>0</v>
      </c>
      <c r="AD203">
        <v>1</v>
      </c>
      <c r="AE203">
        <v>0</v>
      </c>
      <c r="AF203" t="s">
        <v>3</v>
      </c>
      <c r="AG203">
        <v>0.74</v>
      </c>
      <c r="AH203">
        <v>2</v>
      </c>
      <c r="AI203">
        <v>74016625</v>
      </c>
      <c r="AJ203">
        <v>185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ROW(Source!A187)</f>
        <v>187</v>
      </c>
      <c r="B204">
        <v>74016630</v>
      </c>
      <c r="C204">
        <v>74016622</v>
      </c>
      <c r="D204">
        <v>72524472</v>
      </c>
      <c r="E204">
        <v>119</v>
      </c>
      <c r="F204">
        <v>1</v>
      </c>
      <c r="G204">
        <v>1</v>
      </c>
      <c r="H204">
        <v>3</v>
      </c>
      <c r="I204" t="s">
        <v>773</v>
      </c>
      <c r="J204" t="s">
        <v>3</v>
      </c>
      <c r="K204" t="s">
        <v>774</v>
      </c>
      <c r="L204">
        <v>1301</v>
      </c>
      <c r="N204">
        <v>1003</v>
      </c>
      <c r="O204" t="s">
        <v>125</v>
      </c>
      <c r="P204" t="s">
        <v>125</v>
      </c>
      <c r="Q204">
        <v>1</v>
      </c>
      <c r="X204">
        <v>102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 t="s">
        <v>3</v>
      </c>
      <c r="AG204">
        <v>102</v>
      </c>
      <c r="AH204">
        <v>3</v>
      </c>
      <c r="AI204">
        <v>-1</v>
      </c>
      <c r="AJ204" t="s">
        <v>3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ROW(Source!A189)</f>
        <v>189</v>
      </c>
      <c r="B205">
        <v>74016639</v>
      </c>
      <c r="C205">
        <v>74016632</v>
      </c>
      <c r="D205">
        <v>20055278</v>
      </c>
      <c r="E205">
        <v>119</v>
      </c>
      <c r="F205">
        <v>1</v>
      </c>
      <c r="G205">
        <v>1</v>
      </c>
      <c r="H205">
        <v>1</v>
      </c>
      <c r="I205" t="s">
        <v>642</v>
      </c>
      <c r="J205" t="s">
        <v>3</v>
      </c>
      <c r="K205" t="s">
        <v>643</v>
      </c>
      <c r="L205">
        <v>1191</v>
      </c>
      <c r="N205">
        <v>1013</v>
      </c>
      <c r="O205" t="s">
        <v>484</v>
      </c>
      <c r="P205" t="s">
        <v>484</v>
      </c>
      <c r="Q205">
        <v>1</v>
      </c>
      <c r="X205">
        <v>71.67</v>
      </c>
      <c r="Y205">
        <v>0</v>
      </c>
      <c r="Z205">
        <v>0</v>
      </c>
      <c r="AA205">
        <v>0</v>
      </c>
      <c r="AB205">
        <v>400.24</v>
      </c>
      <c r="AC205">
        <v>0</v>
      </c>
      <c r="AD205">
        <v>1</v>
      </c>
      <c r="AE205">
        <v>1</v>
      </c>
      <c r="AF205" t="s">
        <v>3</v>
      </c>
      <c r="AG205">
        <v>71.67</v>
      </c>
      <c r="AH205">
        <v>2</v>
      </c>
      <c r="AI205">
        <v>74016633</v>
      </c>
      <c r="AJ205">
        <v>187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ROW(Source!A189)</f>
        <v>189</v>
      </c>
      <c r="B206">
        <v>74016640</v>
      </c>
      <c r="C206">
        <v>74016632</v>
      </c>
      <c r="D206">
        <v>20049115</v>
      </c>
      <c r="E206">
        <v>119</v>
      </c>
      <c r="F206">
        <v>1</v>
      </c>
      <c r="G206">
        <v>1</v>
      </c>
      <c r="H206">
        <v>1</v>
      </c>
      <c r="I206" t="s">
        <v>482</v>
      </c>
      <c r="J206" t="s">
        <v>3</v>
      </c>
      <c r="K206" t="s">
        <v>483</v>
      </c>
      <c r="L206">
        <v>1191</v>
      </c>
      <c r="N206">
        <v>1013</v>
      </c>
      <c r="O206" t="s">
        <v>484</v>
      </c>
      <c r="P206" t="s">
        <v>484</v>
      </c>
      <c r="Q206">
        <v>1</v>
      </c>
      <c r="X206">
        <v>0.03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2</v>
      </c>
      <c r="AF206" t="s">
        <v>3</v>
      </c>
      <c r="AG206">
        <v>0.03</v>
      </c>
      <c r="AH206">
        <v>2</v>
      </c>
      <c r="AI206">
        <v>74016634</v>
      </c>
      <c r="AJ206">
        <v>188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ROW(Source!A189)</f>
        <v>189</v>
      </c>
      <c r="B207">
        <v>74016641</v>
      </c>
      <c r="C207">
        <v>74016632</v>
      </c>
      <c r="D207">
        <v>72646037</v>
      </c>
      <c r="E207">
        <v>1</v>
      </c>
      <c r="F207">
        <v>1</v>
      </c>
      <c r="G207">
        <v>1</v>
      </c>
      <c r="H207">
        <v>2</v>
      </c>
      <c r="I207" t="s">
        <v>636</v>
      </c>
      <c r="J207" t="s">
        <v>637</v>
      </c>
      <c r="K207" t="s">
        <v>638</v>
      </c>
      <c r="L207">
        <v>1368</v>
      </c>
      <c r="N207">
        <v>1011</v>
      </c>
      <c r="O207" t="s">
        <v>488</v>
      </c>
      <c r="P207" t="s">
        <v>488</v>
      </c>
      <c r="Q207">
        <v>1</v>
      </c>
      <c r="X207">
        <v>0.03</v>
      </c>
      <c r="Y207">
        <v>0</v>
      </c>
      <c r="Z207">
        <v>1836.16</v>
      </c>
      <c r="AA207">
        <v>537.64</v>
      </c>
      <c r="AB207">
        <v>0</v>
      </c>
      <c r="AC207">
        <v>0</v>
      </c>
      <c r="AD207">
        <v>1</v>
      </c>
      <c r="AE207">
        <v>0</v>
      </c>
      <c r="AF207" t="s">
        <v>3</v>
      </c>
      <c r="AG207">
        <v>0.03</v>
      </c>
      <c r="AH207">
        <v>2</v>
      </c>
      <c r="AI207">
        <v>74016635</v>
      </c>
      <c r="AJ207">
        <v>189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ROW(Source!A189)</f>
        <v>189</v>
      </c>
      <c r="B208">
        <v>74016642</v>
      </c>
      <c r="C208">
        <v>74016632</v>
      </c>
      <c r="D208">
        <v>72646177</v>
      </c>
      <c r="E208">
        <v>1</v>
      </c>
      <c r="F208">
        <v>1</v>
      </c>
      <c r="G208">
        <v>1</v>
      </c>
      <c r="H208">
        <v>2</v>
      </c>
      <c r="I208" t="s">
        <v>734</v>
      </c>
      <c r="J208" t="s">
        <v>735</v>
      </c>
      <c r="K208" t="s">
        <v>736</v>
      </c>
      <c r="L208">
        <v>1368</v>
      </c>
      <c r="N208">
        <v>1011</v>
      </c>
      <c r="O208" t="s">
        <v>488</v>
      </c>
      <c r="P208" t="s">
        <v>488</v>
      </c>
      <c r="Q208">
        <v>1</v>
      </c>
      <c r="X208">
        <v>21.1</v>
      </c>
      <c r="Y208">
        <v>0</v>
      </c>
      <c r="Z208">
        <v>8.84</v>
      </c>
      <c r="AA208">
        <v>0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21.1</v>
      </c>
      <c r="AH208">
        <v>2</v>
      </c>
      <c r="AI208">
        <v>74016636</v>
      </c>
      <c r="AJ208">
        <v>190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ROW(Source!A189)</f>
        <v>189</v>
      </c>
      <c r="B209">
        <v>74016643</v>
      </c>
      <c r="C209">
        <v>74016632</v>
      </c>
      <c r="D209">
        <v>72593880</v>
      </c>
      <c r="E209">
        <v>1</v>
      </c>
      <c r="F209">
        <v>1</v>
      </c>
      <c r="G209">
        <v>1</v>
      </c>
      <c r="H209">
        <v>3</v>
      </c>
      <c r="I209" t="s">
        <v>737</v>
      </c>
      <c r="J209" t="s">
        <v>738</v>
      </c>
      <c r="K209" t="s">
        <v>739</v>
      </c>
      <c r="L209">
        <v>1346</v>
      </c>
      <c r="N209">
        <v>1009</v>
      </c>
      <c r="O209" t="s">
        <v>314</v>
      </c>
      <c r="P209" t="s">
        <v>314</v>
      </c>
      <c r="Q209">
        <v>1</v>
      </c>
      <c r="X209">
        <v>22.2</v>
      </c>
      <c r="Y209">
        <v>61.7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 t="s">
        <v>3</v>
      </c>
      <c r="AG209">
        <v>22.2</v>
      </c>
      <c r="AH209">
        <v>2</v>
      </c>
      <c r="AI209">
        <v>74016637</v>
      </c>
      <c r="AJ209">
        <v>191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ROW(Source!A189)</f>
        <v>189</v>
      </c>
      <c r="B210">
        <v>74016644</v>
      </c>
      <c r="C210">
        <v>74016632</v>
      </c>
      <c r="D210">
        <v>72598915</v>
      </c>
      <c r="E210">
        <v>1</v>
      </c>
      <c r="F210">
        <v>1</v>
      </c>
      <c r="G210">
        <v>1</v>
      </c>
      <c r="H210">
        <v>3</v>
      </c>
      <c r="I210" t="s">
        <v>740</v>
      </c>
      <c r="J210" t="s">
        <v>741</v>
      </c>
      <c r="K210" t="s">
        <v>742</v>
      </c>
      <c r="L210">
        <v>1348</v>
      </c>
      <c r="N210">
        <v>1009</v>
      </c>
      <c r="O210" t="s">
        <v>243</v>
      </c>
      <c r="P210" t="s">
        <v>243</v>
      </c>
      <c r="Q210">
        <v>1000</v>
      </c>
      <c r="X210">
        <v>5.1999999999999998E-2</v>
      </c>
      <c r="Y210">
        <v>55898.18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 t="s">
        <v>3</v>
      </c>
      <c r="AG210">
        <v>5.1999999999999998E-2</v>
      </c>
      <c r="AH210">
        <v>2</v>
      </c>
      <c r="AI210">
        <v>74016638</v>
      </c>
      <c r="AJ210">
        <v>192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ROW(Source!A189)</f>
        <v>189</v>
      </c>
      <c r="B211">
        <v>74016645</v>
      </c>
      <c r="C211">
        <v>74016632</v>
      </c>
      <c r="D211">
        <v>72524481</v>
      </c>
      <c r="E211">
        <v>119</v>
      </c>
      <c r="F211">
        <v>1</v>
      </c>
      <c r="G211">
        <v>1</v>
      </c>
      <c r="H211">
        <v>3</v>
      </c>
      <c r="I211" t="s">
        <v>810</v>
      </c>
      <c r="J211" t="s">
        <v>3</v>
      </c>
      <c r="K211" t="s">
        <v>811</v>
      </c>
      <c r="L211">
        <v>1301</v>
      </c>
      <c r="N211">
        <v>1003</v>
      </c>
      <c r="O211" t="s">
        <v>125</v>
      </c>
      <c r="P211" t="s">
        <v>125</v>
      </c>
      <c r="Q211">
        <v>1</v>
      </c>
      <c r="X211">
        <v>110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 t="s">
        <v>3</v>
      </c>
      <c r="AG211">
        <v>110</v>
      </c>
      <c r="AH211">
        <v>3</v>
      </c>
      <c r="AI211">
        <v>-1</v>
      </c>
      <c r="AJ211" t="s">
        <v>3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ROW(Source!A190)</f>
        <v>190</v>
      </c>
      <c r="B212">
        <v>74017892</v>
      </c>
      <c r="C212">
        <v>74017886</v>
      </c>
      <c r="D212">
        <v>20056683</v>
      </c>
      <c r="E212">
        <v>119</v>
      </c>
      <c r="F212">
        <v>1</v>
      </c>
      <c r="G212">
        <v>1</v>
      </c>
      <c r="H212">
        <v>1</v>
      </c>
      <c r="I212" t="s">
        <v>572</v>
      </c>
      <c r="J212" t="s">
        <v>3</v>
      </c>
      <c r="K212" t="s">
        <v>573</v>
      </c>
      <c r="L212">
        <v>1191</v>
      </c>
      <c r="N212">
        <v>1013</v>
      </c>
      <c r="O212" t="s">
        <v>484</v>
      </c>
      <c r="P212" t="s">
        <v>484</v>
      </c>
      <c r="Q212">
        <v>1</v>
      </c>
      <c r="X212">
        <v>5.7</v>
      </c>
      <c r="Y212">
        <v>0</v>
      </c>
      <c r="Z212">
        <v>0</v>
      </c>
      <c r="AA212">
        <v>0</v>
      </c>
      <c r="AB212">
        <v>442.06</v>
      </c>
      <c r="AC212">
        <v>0</v>
      </c>
      <c r="AD212">
        <v>1</v>
      </c>
      <c r="AE212">
        <v>1</v>
      </c>
      <c r="AF212" t="s">
        <v>3</v>
      </c>
      <c r="AG212">
        <v>5.7</v>
      </c>
      <c r="AH212">
        <v>2</v>
      </c>
      <c r="AI212">
        <v>74017887</v>
      </c>
      <c r="AJ212">
        <v>193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ROW(Source!A190)</f>
        <v>190</v>
      </c>
      <c r="B213">
        <v>74017893</v>
      </c>
      <c r="C213">
        <v>74017886</v>
      </c>
      <c r="D213">
        <v>72646149</v>
      </c>
      <c r="E213">
        <v>1</v>
      </c>
      <c r="F213">
        <v>1</v>
      </c>
      <c r="G213">
        <v>1</v>
      </c>
      <c r="H213">
        <v>2</v>
      </c>
      <c r="I213" t="s">
        <v>574</v>
      </c>
      <c r="J213" t="s">
        <v>575</v>
      </c>
      <c r="K213" t="s">
        <v>576</v>
      </c>
      <c r="L213">
        <v>1368</v>
      </c>
      <c r="N213">
        <v>1011</v>
      </c>
      <c r="O213" t="s">
        <v>488</v>
      </c>
      <c r="P213" t="s">
        <v>488</v>
      </c>
      <c r="Q213">
        <v>1</v>
      </c>
      <c r="X213">
        <v>0.9</v>
      </c>
      <c r="Y213">
        <v>0</v>
      </c>
      <c r="Z213">
        <v>345.9</v>
      </c>
      <c r="AA213">
        <v>0</v>
      </c>
      <c r="AB213">
        <v>0</v>
      </c>
      <c r="AC213">
        <v>0</v>
      </c>
      <c r="AD213">
        <v>1</v>
      </c>
      <c r="AE213">
        <v>0</v>
      </c>
      <c r="AF213" t="s">
        <v>3</v>
      </c>
      <c r="AG213">
        <v>0.9</v>
      </c>
      <c r="AH213">
        <v>2</v>
      </c>
      <c r="AI213">
        <v>74017888</v>
      </c>
      <c r="AJ213">
        <v>194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ROW(Source!A190)</f>
        <v>190</v>
      </c>
      <c r="B214">
        <v>74017894</v>
      </c>
      <c r="C214">
        <v>74017886</v>
      </c>
      <c r="D214">
        <v>72646970</v>
      </c>
      <c r="E214">
        <v>1</v>
      </c>
      <c r="F214">
        <v>1</v>
      </c>
      <c r="G214">
        <v>1</v>
      </c>
      <c r="H214">
        <v>2</v>
      </c>
      <c r="I214" t="s">
        <v>577</v>
      </c>
      <c r="J214" t="s">
        <v>578</v>
      </c>
      <c r="K214" t="s">
        <v>579</v>
      </c>
      <c r="L214">
        <v>1368</v>
      </c>
      <c r="N214">
        <v>1011</v>
      </c>
      <c r="O214" t="s">
        <v>488</v>
      </c>
      <c r="P214" t="s">
        <v>488</v>
      </c>
      <c r="Q214">
        <v>1</v>
      </c>
      <c r="X214">
        <v>0.48</v>
      </c>
      <c r="Y214">
        <v>0</v>
      </c>
      <c r="Z214">
        <v>27.13</v>
      </c>
      <c r="AA214">
        <v>0</v>
      </c>
      <c r="AB214">
        <v>0</v>
      </c>
      <c r="AC214">
        <v>0</v>
      </c>
      <c r="AD214">
        <v>1</v>
      </c>
      <c r="AE214">
        <v>0</v>
      </c>
      <c r="AF214" t="s">
        <v>3</v>
      </c>
      <c r="AG214">
        <v>0.48</v>
      </c>
      <c r="AH214">
        <v>2</v>
      </c>
      <c r="AI214">
        <v>74017889</v>
      </c>
      <c r="AJ214">
        <v>195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ROW(Source!A190)</f>
        <v>190</v>
      </c>
      <c r="B215">
        <v>74017895</v>
      </c>
      <c r="C215">
        <v>74017886</v>
      </c>
      <c r="D215">
        <v>72524472</v>
      </c>
      <c r="E215">
        <v>119</v>
      </c>
      <c r="F215">
        <v>1</v>
      </c>
      <c r="G215">
        <v>1</v>
      </c>
      <c r="H215">
        <v>3</v>
      </c>
      <c r="I215" t="s">
        <v>773</v>
      </c>
      <c r="J215" t="s">
        <v>3</v>
      </c>
      <c r="K215" t="s">
        <v>774</v>
      </c>
      <c r="L215">
        <v>1301</v>
      </c>
      <c r="N215">
        <v>1003</v>
      </c>
      <c r="O215" t="s">
        <v>125</v>
      </c>
      <c r="P215" t="s">
        <v>125</v>
      </c>
      <c r="Q215">
        <v>1</v>
      </c>
      <c r="X215">
        <v>100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 t="s">
        <v>3</v>
      </c>
      <c r="AG215">
        <v>100</v>
      </c>
      <c r="AH215">
        <v>3</v>
      </c>
      <c r="AI215">
        <v>-1</v>
      </c>
      <c r="AJ215" t="s">
        <v>3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ROW(Source!A190)</f>
        <v>190</v>
      </c>
      <c r="B216">
        <v>74017896</v>
      </c>
      <c r="C216">
        <v>74017886</v>
      </c>
      <c r="D216">
        <v>72635017</v>
      </c>
      <c r="E216">
        <v>1</v>
      </c>
      <c r="F216">
        <v>1</v>
      </c>
      <c r="G216">
        <v>1</v>
      </c>
      <c r="H216">
        <v>3</v>
      </c>
      <c r="I216" t="s">
        <v>580</v>
      </c>
      <c r="J216" t="s">
        <v>581</v>
      </c>
      <c r="K216" t="s">
        <v>582</v>
      </c>
      <c r="L216">
        <v>1371</v>
      </c>
      <c r="N216">
        <v>1013</v>
      </c>
      <c r="O216" t="s">
        <v>130</v>
      </c>
      <c r="P216" t="s">
        <v>130</v>
      </c>
      <c r="Q216">
        <v>1</v>
      </c>
      <c r="X216">
        <v>0.2</v>
      </c>
      <c r="Y216">
        <v>68.48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 t="s">
        <v>3</v>
      </c>
      <c r="AG216">
        <v>0.2</v>
      </c>
      <c r="AH216">
        <v>2</v>
      </c>
      <c r="AI216">
        <v>74017891</v>
      </c>
      <c r="AJ216">
        <v>197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ROW(Source!A192)</f>
        <v>192</v>
      </c>
      <c r="B217">
        <v>74016660</v>
      </c>
      <c r="C217">
        <v>74016647</v>
      </c>
      <c r="D217">
        <v>20049117</v>
      </c>
      <c r="E217">
        <v>119</v>
      </c>
      <c r="F217">
        <v>1</v>
      </c>
      <c r="G217">
        <v>1</v>
      </c>
      <c r="H217">
        <v>1</v>
      </c>
      <c r="I217" t="s">
        <v>689</v>
      </c>
      <c r="J217" t="s">
        <v>3</v>
      </c>
      <c r="K217" t="s">
        <v>690</v>
      </c>
      <c r="L217">
        <v>1191</v>
      </c>
      <c r="N217">
        <v>1013</v>
      </c>
      <c r="O217" t="s">
        <v>484</v>
      </c>
      <c r="P217" t="s">
        <v>484</v>
      </c>
      <c r="Q217">
        <v>1</v>
      </c>
      <c r="X217">
        <v>1.54</v>
      </c>
      <c r="Y217">
        <v>0</v>
      </c>
      <c r="Z217">
        <v>0</v>
      </c>
      <c r="AA217">
        <v>0</v>
      </c>
      <c r="AB217">
        <v>391.28</v>
      </c>
      <c r="AC217">
        <v>0</v>
      </c>
      <c r="AD217">
        <v>1</v>
      </c>
      <c r="AE217">
        <v>1</v>
      </c>
      <c r="AF217" t="s">
        <v>3</v>
      </c>
      <c r="AG217">
        <v>1.54</v>
      </c>
      <c r="AH217">
        <v>2</v>
      </c>
      <c r="AI217">
        <v>74016648</v>
      </c>
      <c r="AJ217">
        <v>198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ROW(Source!A192)</f>
        <v>192</v>
      </c>
      <c r="B218">
        <v>74016661</v>
      </c>
      <c r="C218">
        <v>74016647</v>
      </c>
      <c r="D218">
        <v>20049115</v>
      </c>
      <c r="E218">
        <v>119</v>
      </c>
      <c r="F218">
        <v>1</v>
      </c>
      <c r="G218">
        <v>1</v>
      </c>
      <c r="H218">
        <v>1</v>
      </c>
      <c r="I218" t="s">
        <v>482</v>
      </c>
      <c r="J218" t="s">
        <v>3</v>
      </c>
      <c r="K218" t="s">
        <v>483</v>
      </c>
      <c r="L218">
        <v>1191</v>
      </c>
      <c r="N218">
        <v>1013</v>
      </c>
      <c r="O218" t="s">
        <v>484</v>
      </c>
      <c r="P218" t="s">
        <v>484</v>
      </c>
      <c r="Q218">
        <v>1</v>
      </c>
      <c r="X218">
        <v>0.48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2</v>
      </c>
      <c r="AF218" t="s">
        <v>3</v>
      </c>
      <c r="AG218">
        <v>0.48</v>
      </c>
      <c r="AH218">
        <v>2</v>
      </c>
      <c r="AI218">
        <v>74016649</v>
      </c>
      <c r="AJ218">
        <v>199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ROW(Source!A192)</f>
        <v>192</v>
      </c>
      <c r="B219">
        <v>74016662</v>
      </c>
      <c r="C219">
        <v>74016647</v>
      </c>
      <c r="D219">
        <v>72646037</v>
      </c>
      <c r="E219">
        <v>1</v>
      </c>
      <c r="F219">
        <v>1</v>
      </c>
      <c r="G219">
        <v>1</v>
      </c>
      <c r="H219">
        <v>2</v>
      </c>
      <c r="I219" t="s">
        <v>636</v>
      </c>
      <c r="J219" t="s">
        <v>637</v>
      </c>
      <c r="K219" t="s">
        <v>638</v>
      </c>
      <c r="L219">
        <v>1368</v>
      </c>
      <c r="N219">
        <v>1011</v>
      </c>
      <c r="O219" t="s">
        <v>488</v>
      </c>
      <c r="P219" t="s">
        <v>488</v>
      </c>
      <c r="Q219">
        <v>1</v>
      </c>
      <c r="X219">
        <v>0.25</v>
      </c>
      <c r="Y219">
        <v>0</v>
      </c>
      <c r="Z219">
        <v>1836.16</v>
      </c>
      <c r="AA219">
        <v>537.64</v>
      </c>
      <c r="AB219">
        <v>0</v>
      </c>
      <c r="AC219">
        <v>0</v>
      </c>
      <c r="AD219">
        <v>1</v>
      </c>
      <c r="AE219">
        <v>0</v>
      </c>
      <c r="AF219" t="s">
        <v>3</v>
      </c>
      <c r="AG219">
        <v>0.25</v>
      </c>
      <c r="AH219">
        <v>2</v>
      </c>
      <c r="AI219">
        <v>74016650</v>
      </c>
      <c r="AJ219">
        <v>200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ROW(Source!A192)</f>
        <v>192</v>
      </c>
      <c r="B220">
        <v>74016663</v>
      </c>
      <c r="C220">
        <v>74016647</v>
      </c>
      <c r="D220">
        <v>72646931</v>
      </c>
      <c r="E220">
        <v>1</v>
      </c>
      <c r="F220">
        <v>1</v>
      </c>
      <c r="G220">
        <v>1</v>
      </c>
      <c r="H220">
        <v>2</v>
      </c>
      <c r="I220" t="s">
        <v>545</v>
      </c>
      <c r="J220" t="s">
        <v>546</v>
      </c>
      <c r="K220" t="s">
        <v>547</v>
      </c>
      <c r="L220">
        <v>1368</v>
      </c>
      <c r="N220">
        <v>1011</v>
      </c>
      <c r="O220" t="s">
        <v>488</v>
      </c>
      <c r="P220" t="s">
        <v>488</v>
      </c>
      <c r="Q220">
        <v>1</v>
      </c>
      <c r="X220">
        <v>0.23</v>
      </c>
      <c r="Y220">
        <v>0</v>
      </c>
      <c r="Z220">
        <v>655.95</v>
      </c>
      <c r="AA220">
        <v>400.24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0.23</v>
      </c>
      <c r="AH220">
        <v>2</v>
      </c>
      <c r="AI220">
        <v>74016651</v>
      </c>
      <c r="AJ220">
        <v>201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ROW(Source!A192)</f>
        <v>192</v>
      </c>
      <c r="B221">
        <v>74016664</v>
      </c>
      <c r="C221">
        <v>74016647</v>
      </c>
      <c r="D221">
        <v>72647091</v>
      </c>
      <c r="E221">
        <v>1</v>
      </c>
      <c r="F221">
        <v>1</v>
      </c>
      <c r="G221">
        <v>1</v>
      </c>
      <c r="H221">
        <v>2</v>
      </c>
      <c r="I221" t="s">
        <v>548</v>
      </c>
      <c r="J221" t="s">
        <v>549</v>
      </c>
      <c r="K221" t="s">
        <v>550</v>
      </c>
      <c r="L221">
        <v>1368</v>
      </c>
      <c r="N221">
        <v>1011</v>
      </c>
      <c r="O221" t="s">
        <v>488</v>
      </c>
      <c r="P221" t="s">
        <v>488</v>
      </c>
      <c r="Q221">
        <v>1</v>
      </c>
      <c r="X221">
        <v>0.01</v>
      </c>
      <c r="Y221">
        <v>0</v>
      </c>
      <c r="Z221">
        <v>4.3499999999999996</v>
      </c>
      <c r="AA221">
        <v>0</v>
      </c>
      <c r="AB221">
        <v>0</v>
      </c>
      <c r="AC221">
        <v>0</v>
      </c>
      <c r="AD221">
        <v>1</v>
      </c>
      <c r="AE221">
        <v>0</v>
      </c>
      <c r="AF221" t="s">
        <v>3</v>
      </c>
      <c r="AG221">
        <v>0.01</v>
      </c>
      <c r="AH221">
        <v>2</v>
      </c>
      <c r="AI221">
        <v>74016652</v>
      </c>
      <c r="AJ221">
        <v>202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ROW(Source!A192)</f>
        <v>192</v>
      </c>
      <c r="B222">
        <v>74016665</v>
      </c>
      <c r="C222">
        <v>74016647</v>
      </c>
      <c r="D222">
        <v>72647129</v>
      </c>
      <c r="E222">
        <v>1</v>
      </c>
      <c r="F222">
        <v>1</v>
      </c>
      <c r="G222">
        <v>1</v>
      </c>
      <c r="H222">
        <v>2</v>
      </c>
      <c r="I222" t="s">
        <v>508</v>
      </c>
      <c r="J222" t="s">
        <v>509</v>
      </c>
      <c r="K222" t="s">
        <v>510</v>
      </c>
      <c r="L222">
        <v>1368</v>
      </c>
      <c r="N222">
        <v>1011</v>
      </c>
      <c r="O222" t="s">
        <v>488</v>
      </c>
      <c r="P222" t="s">
        <v>488</v>
      </c>
      <c r="Q222">
        <v>1</v>
      </c>
      <c r="X222">
        <v>0.41</v>
      </c>
      <c r="Y222">
        <v>0</v>
      </c>
      <c r="Z222">
        <v>43.87</v>
      </c>
      <c r="AA222">
        <v>0</v>
      </c>
      <c r="AB222">
        <v>0</v>
      </c>
      <c r="AC222">
        <v>0</v>
      </c>
      <c r="AD222">
        <v>1</v>
      </c>
      <c r="AE222">
        <v>0</v>
      </c>
      <c r="AF222" t="s">
        <v>3</v>
      </c>
      <c r="AG222">
        <v>0.41</v>
      </c>
      <c r="AH222">
        <v>2</v>
      </c>
      <c r="AI222">
        <v>74016653</v>
      </c>
      <c r="AJ222">
        <v>203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ROW(Source!A192)</f>
        <v>192</v>
      </c>
      <c r="B223">
        <v>74016666</v>
      </c>
      <c r="C223">
        <v>74016647</v>
      </c>
      <c r="D223">
        <v>72589309</v>
      </c>
      <c r="E223">
        <v>1</v>
      </c>
      <c r="F223">
        <v>1</v>
      </c>
      <c r="G223">
        <v>1</v>
      </c>
      <c r="H223">
        <v>3</v>
      </c>
      <c r="I223" t="s">
        <v>551</v>
      </c>
      <c r="J223" t="s">
        <v>552</v>
      </c>
      <c r="K223" t="s">
        <v>553</v>
      </c>
      <c r="L223">
        <v>1339</v>
      </c>
      <c r="N223">
        <v>1007</v>
      </c>
      <c r="O223" t="s">
        <v>48</v>
      </c>
      <c r="P223" t="s">
        <v>48</v>
      </c>
      <c r="Q223">
        <v>1</v>
      </c>
      <c r="X223">
        <v>1.4999999999999999E-2</v>
      </c>
      <c r="Y223">
        <v>115.4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 t="s">
        <v>3</v>
      </c>
      <c r="AG223">
        <v>1.4999999999999999E-2</v>
      </c>
      <c r="AH223">
        <v>2</v>
      </c>
      <c r="AI223">
        <v>74016654</v>
      </c>
      <c r="AJ223">
        <v>204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ROW(Source!A192)</f>
        <v>192</v>
      </c>
      <c r="B224">
        <v>74016667</v>
      </c>
      <c r="C224">
        <v>74016647</v>
      </c>
      <c r="D224">
        <v>72589313</v>
      </c>
      <c r="E224">
        <v>1</v>
      </c>
      <c r="F224">
        <v>1</v>
      </c>
      <c r="G224">
        <v>1</v>
      </c>
      <c r="H224">
        <v>3</v>
      </c>
      <c r="I224" t="s">
        <v>554</v>
      </c>
      <c r="J224" t="s">
        <v>555</v>
      </c>
      <c r="K224" t="s">
        <v>556</v>
      </c>
      <c r="L224">
        <v>1346</v>
      </c>
      <c r="N224">
        <v>1009</v>
      </c>
      <c r="O224" t="s">
        <v>314</v>
      </c>
      <c r="P224" t="s">
        <v>314</v>
      </c>
      <c r="Q224">
        <v>1</v>
      </c>
      <c r="X224">
        <v>3.5</v>
      </c>
      <c r="Y224">
        <v>41.38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 t="s">
        <v>3</v>
      </c>
      <c r="AG224">
        <v>3.5</v>
      </c>
      <c r="AH224">
        <v>2</v>
      </c>
      <c r="AI224">
        <v>74016655</v>
      </c>
      <c r="AJ224">
        <v>205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ROW(Source!A192)</f>
        <v>192</v>
      </c>
      <c r="B225">
        <v>74016668</v>
      </c>
      <c r="C225">
        <v>74016647</v>
      </c>
      <c r="D225">
        <v>72591353</v>
      </c>
      <c r="E225">
        <v>1</v>
      </c>
      <c r="F225">
        <v>1</v>
      </c>
      <c r="G225">
        <v>1</v>
      </c>
      <c r="H225">
        <v>3</v>
      </c>
      <c r="I225" t="s">
        <v>518</v>
      </c>
      <c r="J225" t="s">
        <v>519</v>
      </c>
      <c r="K225" t="s">
        <v>520</v>
      </c>
      <c r="L225">
        <v>1383</v>
      </c>
      <c r="N225">
        <v>1013</v>
      </c>
      <c r="O225" t="s">
        <v>521</v>
      </c>
      <c r="P225" t="s">
        <v>521</v>
      </c>
      <c r="Q225">
        <v>1</v>
      </c>
      <c r="X225">
        <v>0.16200000000000001</v>
      </c>
      <c r="Y225">
        <v>9.5500000000000007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 t="s">
        <v>3</v>
      </c>
      <c r="AG225">
        <v>0.16200000000000001</v>
      </c>
      <c r="AH225">
        <v>2</v>
      </c>
      <c r="AI225">
        <v>74016656</v>
      </c>
      <c r="AJ225">
        <v>206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ROW(Source!A192)</f>
        <v>192</v>
      </c>
      <c r="B226">
        <v>74016669</v>
      </c>
      <c r="C226">
        <v>74016647</v>
      </c>
      <c r="D226">
        <v>72592092</v>
      </c>
      <c r="E226">
        <v>1</v>
      </c>
      <c r="F226">
        <v>1</v>
      </c>
      <c r="G226">
        <v>1</v>
      </c>
      <c r="H226">
        <v>3</v>
      </c>
      <c r="I226" t="s">
        <v>522</v>
      </c>
      <c r="J226" t="s">
        <v>523</v>
      </c>
      <c r="K226" t="s">
        <v>524</v>
      </c>
      <c r="L226">
        <v>1346</v>
      </c>
      <c r="N226">
        <v>1009</v>
      </c>
      <c r="O226" t="s">
        <v>314</v>
      </c>
      <c r="P226" t="s">
        <v>314</v>
      </c>
      <c r="Q226">
        <v>1</v>
      </c>
      <c r="X226">
        <v>0.09</v>
      </c>
      <c r="Y226">
        <v>131.85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 t="s">
        <v>3</v>
      </c>
      <c r="AG226">
        <v>0.09</v>
      </c>
      <c r="AH226">
        <v>2</v>
      </c>
      <c r="AI226">
        <v>74016657</v>
      </c>
      <c r="AJ226">
        <v>207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ROW(Source!A192)</f>
        <v>192</v>
      </c>
      <c r="B227">
        <v>74016670</v>
      </c>
      <c r="C227">
        <v>74016647</v>
      </c>
      <c r="D227">
        <v>72594458</v>
      </c>
      <c r="E227">
        <v>1</v>
      </c>
      <c r="F227">
        <v>1</v>
      </c>
      <c r="G227">
        <v>1</v>
      </c>
      <c r="H227">
        <v>3</v>
      </c>
      <c r="I227" t="s">
        <v>743</v>
      </c>
      <c r="J227" t="s">
        <v>744</v>
      </c>
      <c r="K227" t="s">
        <v>745</v>
      </c>
      <c r="L227">
        <v>1339</v>
      </c>
      <c r="N227">
        <v>1007</v>
      </c>
      <c r="O227" t="s">
        <v>48</v>
      </c>
      <c r="P227" t="s">
        <v>48</v>
      </c>
      <c r="Q227">
        <v>1</v>
      </c>
      <c r="X227">
        <v>0.02</v>
      </c>
      <c r="Y227">
        <v>565.20000000000005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 t="s">
        <v>3</v>
      </c>
      <c r="AG227">
        <v>0.02</v>
      </c>
      <c r="AH227">
        <v>2</v>
      </c>
      <c r="AI227">
        <v>74016658</v>
      </c>
      <c r="AJ227">
        <v>208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ROW(Source!A192)</f>
        <v>192</v>
      </c>
      <c r="B228">
        <v>74016671</v>
      </c>
      <c r="C228">
        <v>74016647</v>
      </c>
      <c r="D228">
        <v>72594935</v>
      </c>
      <c r="E228">
        <v>1</v>
      </c>
      <c r="F228">
        <v>1</v>
      </c>
      <c r="G228">
        <v>1</v>
      </c>
      <c r="H228">
        <v>3</v>
      </c>
      <c r="I228" t="s">
        <v>746</v>
      </c>
      <c r="J228" t="s">
        <v>747</v>
      </c>
      <c r="K228" t="s">
        <v>748</v>
      </c>
      <c r="L228">
        <v>1339</v>
      </c>
      <c r="N228">
        <v>1007</v>
      </c>
      <c r="O228" t="s">
        <v>48</v>
      </c>
      <c r="P228" t="s">
        <v>48</v>
      </c>
      <c r="Q228">
        <v>1</v>
      </c>
      <c r="X228">
        <v>1E-3</v>
      </c>
      <c r="Y228">
        <v>4442.71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 t="s">
        <v>3</v>
      </c>
      <c r="AG228">
        <v>1E-3</v>
      </c>
      <c r="AH228">
        <v>2</v>
      </c>
      <c r="AI228">
        <v>74016659</v>
      </c>
      <c r="AJ228">
        <v>209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ROW(Source!A192)</f>
        <v>192</v>
      </c>
      <c r="B229">
        <v>74016672</v>
      </c>
      <c r="C229">
        <v>74016647</v>
      </c>
      <c r="D229">
        <v>72520200</v>
      </c>
      <c r="E229">
        <v>119</v>
      </c>
      <c r="F229">
        <v>1</v>
      </c>
      <c r="G229">
        <v>1</v>
      </c>
      <c r="H229">
        <v>3</v>
      </c>
      <c r="I229" t="s">
        <v>812</v>
      </c>
      <c r="J229" t="s">
        <v>3</v>
      </c>
      <c r="K229" t="s">
        <v>813</v>
      </c>
      <c r="L229">
        <v>1339</v>
      </c>
      <c r="N229">
        <v>1007</v>
      </c>
      <c r="O229" t="s">
        <v>48</v>
      </c>
      <c r="P229" t="s">
        <v>48</v>
      </c>
      <c r="Q229">
        <v>1</v>
      </c>
      <c r="X229">
        <v>0.04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 t="s">
        <v>3</v>
      </c>
      <c r="AG229">
        <v>0.04</v>
      </c>
      <c r="AH229">
        <v>3</v>
      </c>
      <c r="AI229">
        <v>-1</v>
      </c>
      <c r="AJ229" t="s">
        <v>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ROW(Source!A192)</f>
        <v>192</v>
      </c>
      <c r="B230">
        <v>74016673</v>
      </c>
      <c r="C230">
        <v>74016647</v>
      </c>
      <c r="D230">
        <v>72523439</v>
      </c>
      <c r="E230">
        <v>119</v>
      </c>
      <c r="F230">
        <v>1</v>
      </c>
      <c r="G230">
        <v>1</v>
      </c>
      <c r="H230">
        <v>3</v>
      </c>
      <c r="I230" t="s">
        <v>814</v>
      </c>
      <c r="J230" t="s">
        <v>3</v>
      </c>
      <c r="K230" t="s">
        <v>815</v>
      </c>
      <c r="L230">
        <v>1371</v>
      </c>
      <c r="N230">
        <v>1013</v>
      </c>
      <c r="O230" t="s">
        <v>130</v>
      </c>
      <c r="P230" t="s">
        <v>130</v>
      </c>
      <c r="Q230">
        <v>1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 t="s">
        <v>3</v>
      </c>
      <c r="AG230">
        <v>1</v>
      </c>
      <c r="AH230">
        <v>3</v>
      </c>
      <c r="AI230">
        <v>-1</v>
      </c>
      <c r="AJ230" t="s">
        <v>3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ROW(Source!A192)</f>
        <v>192</v>
      </c>
      <c r="B231">
        <v>74016674</v>
      </c>
      <c r="C231">
        <v>74016647</v>
      </c>
      <c r="D231">
        <v>72523458</v>
      </c>
      <c r="E231">
        <v>119</v>
      </c>
      <c r="F231">
        <v>1</v>
      </c>
      <c r="G231">
        <v>1</v>
      </c>
      <c r="H231">
        <v>3</v>
      </c>
      <c r="I231" t="s">
        <v>816</v>
      </c>
      <c r="J231" t="s">
        <v>3</v>
      </c>
      <c r="K231" t="s">
        <v>817</v>
      </c>
      <c r="L231">
        <v>1377</v>
      </c>
      <c r="N231">
        <v>1013</v>
      </c>
      <c r="O231" t="s">
        <v>818</v>
      </c>
      <c r="P231" t="s">
        <v>818</v>
      </c>
      <c r="Q231">
        <v>1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 t="s">
        <v>3</v>
      </c>
      <c r="AG231">
        <v>1</v>
      </c>
      <c r="AH231">
        <v>3</v>
      </c>
      <c r="AI231">
        <v>-1</v>
      </c>
      <c r="AJ231" t="s">
        <v>3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ROW(Source!A194)</f>
        <v>194</v>
      </c>
      <c r="B232">
        <v>74016682</v>
      </c>
      <c r="C232">
        <v>74016676</v>
      </c>
      <c r="D232">
        <v>20056683</v>
      </c>
      <c r="E232">
        <v>119</v>
      </c>
      <c r="F232">
        <v>1</v>
      </c>
      <c r="G232">
        <v>1</v>
      </c>
      <c r="H232">
        <v>1</v>
      </c>
      <c r="I232" t="s">
        <v>572</v>
      </c>
      <c r="J232" t="s">
        <v>3</v>
      </c>
      <c r="K232" t="s">
        <v>573</v>
      </c>
      <c r="L232">
        <v>1191</v>
      </c>
      <c r="N232">
        <v>1013</v>
      </c>
      <c r="O232" t="s">
        <v>484</v>
      </c>
      <c r="P232" t="s">
        <v>484</v>
      </c>
      <c r="Q232">
        <v>1</v>
      </c>
      <c r="X232">
        <v>5.7</v>
      </c>
      <c r="Y232">
        <v>0</v>
      </c>
      <c r="Z232">
        <v>0</v>
      </c>
      <c r="AA232">
        <v>0</v>
      </c>
      <c r="AB232">
        <v>442.06</v>
      </c>
      <c r="AC232">
        <v>0</v>
      </c>
      <c r="AD232">
        <v>1</v>
      </c>
      <c r="AE232">
        <v>1</v>
      </c>
      <c r="AF232" t="s">
        <v>3</v>
      </c>
      <c r="AG232">
        <v>5.7</v>
      </c>
      <c r="AH232">
        <v>2</v>
      </c>
      <c r="AI232">
        <v>74016677</v>
      </c>
      <c r="AJ232">
        <v>210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ROW(Source!A194)</f>
        <v>194</v>
      </c>
      <c r="B233">
        <v>74016683</v>
      </c>
      <c r="C233">
        <v>74016676</v>
      </c>
      <c r="D233">
        <v>72646149</v>
      </c>
      <c r="E233">
        <v>1</v>
      </c>
      <c r="F233">
        <v>1</v>
      </c>
      <c r="G233">
        <v>1</v>
      </c>
      <c r="H233">
        <v>2</v>
      </c>
      <c r="I233" t="s">
        <v>574</v>
      </c>
      <c r="J233" t="s">
        <v>575</v>
      </c>
      <c r="K233" t="s">
        <v>576</v>
      </c>
      <c r="L233">
        <v>1368</v>
      </c>
      <c r="N233">
        <v>1011</v>
      </c>
      <c r="O233" t="s">
        <v>488</v>
      </c>
      <c r="P233" t="s">
        <v>488</v>
      </c>
      <c r="Q233">
        <v>1</v>
      </c>
      <c r="X233">
        <v>0.9</v>
      </c>
      <c r="Y233">
        <v>0</v>
      </c>
      <c r="Z233">
        <v>345.9</v>
      </c>
      <c r="AA233">
        <v>0</v>
      </c>
      <c r="AB233">
        <v>0</v>
      </c>
      <c r="AC233">
        <v>0</v>
      </c>
      <c r="AD233">
        <v>1</v>
      </c>
      <c r="AE233">
        <v>0</v>
      </c>
      <c r="AF233" t="s">
        <v>3</v>
      </c>
      <c r="AG233">
        <v>0.9</v>
      </c>
      <c r="AH233">
        <v>2</v>
      </c>
      <c r="AI233">
        <v>74016678</v>
      </c>
      <c r="AJ233">
        <v>211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ROW(Source!A194)</f>
        <v>194</v>
      </c>
      <c r="B234">
        <v>74016684</v>
      </c>
      <c r="C234">
        <v>74016676</v>
      </c>
      <c r="D234">
        <v>72646970</v>
      </c>
      <c r="E234">
        <v>1</v>
      </c>
      <c r="F234">
        <v>1</v>
      </c>
      <c r="G234">
        <v>1</v>
      </c>
      <c r="H234">
        <v>2</v>
      </c>
      <c r="I234" t="s">
        <v>577</v>
      </c>
      <c r="J234" t="s">
        <v>578</v>
      </c>
      <c r="K234" t="s">
        <v>579</v>
      </c>
      <c r="L234">
        <v>1368</v>
      </c>
      <c r="N234">
        <v>1011</v>
      </c>
      <c r="O234" t="s">
        <v>488</v>
      </c>
      <c r="P234" t="s">
        <v>488</v>
      </c>
      <c r="Q234">
        <v>1</v>
      </c>
      <c r="X234">
        <v>0.48</v>
      </c>
      <c r="Y234">
        <v>0</v>
      </c>
      <c r="Z234">
        <v>27.13</v>
      </c>
      <c r="AA234">
        <v>0</v>
      </c>
      <c r="AB234">
        <v>0</v>
      </c>
      <c r="AC234">
        <v>0</v>
      </c>
      <c r="AD234">
        <v>1</v>
      </c>
      <c r="AE234">
        <v>0</v>
      </c>
      <c r="AF234" t="s">
        <v>3</v>
      </c>
      <c r="AG234">
        <v>0.48</v>
      </c>
      <c r="AH234">
        <v>2</v>
      </c>
      <c r="AI234">
        <v>74016679</v>
      </c>
      <c r="AJ234">
        <v>212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ROW(Source!A194)</f>
        <v>194</v>
      </c>
      <c r="B235">
        <v>74016685</v>
      </c>
      <c r="C235">
        <v>74016676</v>
      </c>
      <c r="D235">
        <v>72524472</v>
      </c>
      <c r="E235">
        <v>119</v>
      </c>
      <c r="F235">
        <v>1</v>
      </c>
      <c r="G235">
        <v>1</v>
      </c>
      <c r="H235">
        <v>3</v>
      </c>
      <c r="I235" t="s">
        <v>773</v>
      </c>
      <c r="J235" t="s">
        <v>3</v>
      </c>
      <c r="K235" t="s">
        <v>774</v>
      </c>
      <c r="L235">
        <v>1301</v>
      </c>
      <c r="N235">
        <v>1003</v>
      </c>
      <c r="O235" t="s">
        <v>125</v>
      </c>
      <c r="P235" t="s">
        <v>125</v>
      </c>
      <c r="Q235">
        <v>1</v>
      </c>
      <c r="X235">
        <v>100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 t="s">
        <v>3</v>
      </c>
      <c r="AG235">
        <v>100</v>
      </c>
      <c r="AH235">
        <v>3</v>
      </c>
      <c r="AI235">
        <v>-1</v>
      </c>
      <c r="AJ235" t="s">
        <v>3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ROW(Source!A194)</f>
        <v>194</v>
      </c>
      <c r="B236">
        <v>74016686</v>
      </c>
      <c r="C236">
        <v>74016676</v>
      </c>
      <c r="D236">
        <v>72635017</v>
      </c>
      <c r="E236">
        <v>1</v>
      </c>
      <c r="F236">
        <v>1</v>
      </c>
      <c r="G236">
        <v>1</v>
      </c>
      <c r="H236">
        <v>3</v>
      </c>
      <c r="I236" t="s">
        <v>580</v>
      </c>
      <c r="J236" t="s">
        <v>581</v>
      </c>
      <c r="K236" t="s">
        <v>582</v>
      </c>
      <c r="L236">
        <v>1371</v>
      </c>
      <c r="N236">
        <v>1013</v>
      </c>
      <c r="O236" t="s">
        <v>130</v>
      </c>
      <c r="P236" t="s">
        <v>130</v>
      </c>
      <c r="Q236">
        <v>1</v>
      </c>
      <c r="X236">
        <v>0.2</v>
      </c>
      <c r="Y236">
        <v>68.48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 t="s">
        <v>3</v>
      </c>
      <c r="AG236">
        <v>0.2</v>
      </c>
      <c r="AH236">
        <v>2</v>
      </c>
      <c r="AI236">
        <v>74016681</v>
      </c>
      <c r="AJ236">
        <v>214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ROW(Source!A196)</f>
        <v>196</v>
      </c>
      <c r="B237">
        <v>74016703</v>
      </c>
      <c r="C237">
        <v>74016688</v>
      </c>
      <c r="D237">
        <v>72518787</v>
      </c>
      <c r="E237">
        <v>119</v>
      </c>
      <c r="F237">
        <v>1</v>
      </c>
      <c r="G237">
        <v>1</v>
      </c>
      <c r="H237">
        <v>1</v>
      </c>
      <c r="I237" t="s">
        <v>583</v>
      </c>
      <c r="J237" t="s">
        <v>3</v>
      </c>
      <c r="K237" t="s">
        <v>584</v>
      </c>
      <c r="L237">
        <v>1369</v>
      </c>
      <c r="N237">
        <v>1013</v>
      </c>
      <c r="O237" t="s">
        <v>585</v>
      </c>
      <c r="P237" t="s">
        <v>585</v>
      </c>
      <c r="Q237">
        <v>1</v>
      </c>
      <c r="X237">
        <v>45.66</v>
      </c>
      <c r="Y237">
        <v>0</v>
      </c>
      <c r="Z237">
        <v>0</v>
      </c>
      <c r="AA237">
        <v>0</v>
      </c>
      <c r="AB237">
        <v>325.57</v>
      </c>
      <c r="AC237">
        <v>0</v>
      </c>
      <c r="AD237">
        <v>1</v>
      </c>
      <c r="AE237">
        <v>1</v>
      </c>
      <c r="AF237" t="s">
        <v>3</v>
      </c>
      <c r="AG237">
        <v>45.66</v>
      </c>
      <c r="AH237">
        <v>2</v>
      </c>
      <c r="AI237">
        <v>74016689</v>
      </c>
      <c r="AJ237">
        <v>215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ROW(Source!A196)</f>
        <v>196</v>
      </c>
      <c r="B238">
        <v>74016704</v>
      </c>
      <c r="C238">
        <v>74016688</v>
      </c>
      <c r="D238">
        <v>72518789</v>
      </c>
      <c r="E238">
        <v>119</v>
      </c>
      <c r="F238">
        <v>1</v>
      </c>
      <c r="G238">
        <v>1</v>
      </c>
      <c r="H238">
        <v>1</v>
      </c>
      <c r="I238" t="s">
        <v>749</v>
      </c>
      <c r="J238" t="s">
        <v>3</v>
      </c>
      <c r="K238" t="s">
        <v>750</v>
      </c>
      <c r="L238">
        <v>1369</v>
      </c>
      <c r="N238">
        <v>1013</v>
      </c>
      <c r="O238" t="s">
        <v>585</v>
      </c>
      <c r="P238" t="s">
        <v>585</v>
      </c>
      <c r="Q238">
        <v>1</v>
      </c>
      <c r="X238">
        <v>135.96</v>
      </c>
      <c r="Y238">
        <v>0</v>
      </c>
      <c r="Z238">
        <v>0</v>
      </c>
      <c r="AA238">
        <v>0</v>
      </c>
      <c r="AB238">
        <v>355.44</v>
      </c>
      <c r="AC238">
        <v>0</v>
      </c>
      <c r="AD238">
        <v>1</v>
      </c>
      <c r="AE238">
        <v>1</v>
      </c>
      <c r="AF238" t="s">
        <v>3</v>
      </c>
      <c r="AG238">
        <v>135.96</v>
      </c>
      <c r="AH238">
        <v>2</v>
      </c>
      <c r="AI238">
        <v>74016690</v>
      </c>
      <c r="AJ238">
        <v>216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ROW(Source!A196)</f>
        <v>196</v>
      </c>
      <c r="B239">
        <v>74016705</v>
      </c>
      <c r="C239">
        <v>74016688</v>
      </c>
      <c r="D239">
        <v>72518791</v>
      </c>
      <c r="E239">
        <v>119</v>
      </c>
      <c r="F239">
        <v>1</v>
      </c>
      <c r="G239">
        <v>1</v>
      </c>
      <c r="H239">
        <v>1</v>
      </c>
      <c r="I239" t="s">
        <v>586</v>
      </c>
      <c r="J239" t="s">
        <v>3</v>
      </c>
      <c r="K239" t="s">
        <v>587</v>
      </c>
      <c r="L239">
        <v>1369</v>
      </c>
      <c r="N239">
        <v>1013</v>
      </c>
      <c r="O239" t="s">
        <v>585</v>
      </c>
      <c r="P239" t="s">
        <v>585</v>
      </c>
      <c r="Q239">
        <v>1</v>
      </c>
      <c r="X239">
        <v>79.31</v>
      </c>
      <c r="Y239">
        <v>0</v>
      </c>
      <c r="Z239">
        <v>0</v>
      </c>
      <c r="AA239">
        <v>0</v>
      </c>
      <c r="AB239">
        <v>400.24</v>
      </c>
      <c r="AC239">
        <v>0</v>
      </c>
      <c r="AD239">
        <v>1</v>
      </c>
      <c r="AE239">
        <v>1</v>
      </c>
      <c r="AF239" t="s">
        <v>3</v>
      </c>
      <c r="AG239">
        <v>79.31</v>
      </c>
      <c r="AH239">
        <v>2</v>
      </c>
      <c r="AI239">
        <v>74016691</v>
      </c>
      <c r="AJ239">
        <v>217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ROW(Source!A196)</f>
        <v>196</v>
      </c>
      <c r="B240">
        <v>74016706</v>
      </c>
      <c r="C240">
        <v>74016688</v>
      </c>
      <c r="D240">
        <v>72518793</v>
      </c>
      <c r="E240">
        <v>119</v>
      </c>
      <c r="F240">
        <v>1</v>
      </c>
      <c r="G240">
        <v>1</v>
      </c>
      <c r="H240">
        <v>1</v>
      </c>
      <c r="I240" t="s">
        <v>647</v>
      </c>
      <c r="J240" t="s">
        <v>3</v>
      </c>
      <c r="K240" t="s">
        <v>648</v>
      </c>
      <c r="L240">
        <v>1369</v>
      </c>
      <c r="N240">
        <v>1013</v>
      </c>
      <c r="O240" t="s">
        <v>585</v>
      </c>
      <c r="P240" t="s">
        <v>585</v>
      </c>
      <c r="Q240">
        <v>1</v>
      </c>
      <c r="X240">
        <v>60.51</v>
      </c>
      <c r="Y240">
        <v>0</v>
      </c>
      <c r="Z240">
        <v>0</v>
      </c>
      <c r="AA240">
        <v>0</v>
      </c>
      <c r="AB240">
        <v>459.98</v>
      </c>
      <c r="AC240">
        <v>0</v>
      </c>
      <c r="AD240">
        <v>1</v>
      </c>
      <c r="AE240">
        <v>1</v>
      </c>
      <c r="AF240" t="s">
        <v>3</v>
      </c>
      <c r="AG240">
        <v>60.51</v>
      </c>
      <c r="AH240">
        <v>2</v>
      </c>
      <c r="AI240">
        <v>74016692</v>
      </c>
      <c r="AJ240">
        <v>218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ROW(Source!A196)</f>
        <v>196</v>
      </c>
      <c r="B241">
        <v>74016707</v>
      </c>
      <c r="C241">
        <v>74016688</v>
      </c>
      <c r="D241">
        <v>72518795</v>
      </c>
      <c r="E241">
        <v>119</v>
      </c>
      <c r="F241">
        <v>1</v>
      </c>
      <c r="G241">
        <v>1</v>
      </c>
      <c r="H241">
        <v>1</v>
      </c>
      <c r="I241" t="s">
        <v>751</v>
      </c>
      <c r="J241" t="s">
        <v>3</v>
      </c>
      <c r="K241" t="s">
        <v>752</v>
      </c>
      <c r="L241">
        <v>1369</v>
      </c>
      <c r="N241">
        <v>1013</v>
      </c>
      <c r="O241" t="s">
        <v>585</v>
      </c>
      <c r="P241" t="s">
        <v>585</v>
      </c>
      <c r="Q241">
        <v>1</v>
      </c>
      <c r="X241">
        <v>46.35</v>
      </c>
      <c r="Y241">
        <v>0</v>
      </c>
      <c r="Z241">
        <v>0</v>
      </c>
      <c r="AA241">
        <v>0</v>
      </c>
      <c r="AB241">
        <v>537.64</v>
      </c>
      <c r="AC241">
        <v>0</v>
      </c>
      <c r="AD241">
        <v>1</v>
      </c>
      <c r="AE241">
        <v>1</v>
      </c>
      <c r="AF241" t="s">
        <v>3</v>
      </c>
      <c r="AG241">
        <v>46.35</v>
      </c>
      <c r="AH241">
        <v>2</v>
      </c>
      <c r="AI241">
        <v>74016693</v>
      </c>
      <c r="AJ241">
        <v>219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ROW(Source!A196)</f>
        <v>196</v>
      </c>
      <c r="B242">
        <v>74016708</v>
      </c>
      <c r="C242">
        <v>74016688</v>
      </c>
      <c r="D242">
        <v>20049115</v>
      </c>
      <c r="E242">
        <v>119</v>
      </c>
      <c r="F242">
        <v>1</v>
      </c>
      <c r="G242">
        <v>1</v>
      </c>
      <c r="H242">
        <v>1</v>
      </c>
      <c r="I242" t="s">
        <v>482</v>
      </c>
      <c r="J242" t="s">
        <v>3</v>
      </c>
      <c r="K242" t="s">
        <v>483</v>
      </c>
      <c r="L242">
        <v>1191</v>
      </c>
      <c r="N242">
        <v>1013</v>
      </c>
      <c r="O242" t="s">
        <v>484</v>
      </c>
      <c r="P242" t="s">
        <v>484</v>
      </c>
      <c r="Q242">
        <v>1</v>
      </c>
      <c r="X242">
        <v>78.069999999999993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2</v>
      </c>
      <c r="AF242" t="s">
        <v>3</v>
      </c>
      <c r="AG242">
        <v>78.069999999999993</v>
      </c>
      <c r="AH242">
        <v>2</v>
      </c>
      <c r="AI242">
        <v>74016694</v>
      </c>
      <c r="AJ242">
        <v>220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ROW(Source!A196)</f>
        <v>196</v>
      </c>
      <c r="B243">
        <v>74016709</v>
      </c>
      <c r="C243">
        <v>74016688</v>
      </c>
      <c r="D243">
        <v>72646931</v>
      </c>
      <c r="E243">
        <v>1</v>
      </c>
      <c r="F243">
        <v>1</v>
      </c>
      <c r="G243">
        <v>1</v>
      </c>
      <c r="H243">
        <v>2</v>
      </c>
      <c r="I243" t="s">
        <v>545</v>
      </c>
      <c r="J243" t="s">
        <v>546</v>
      </c>
      <c r="K243" t="s">
        <v>547</v>
      </c>
      <c r="L243">
        <v>1368</v>
      </c>
      <c r="N243">
        <v>1011</v>
      </c>
      <c r="O243" t="s">
        <v>488</v>
      </c>
      <c r="P243" t="s">
        <v>488</v>
      </c>
      <c r="Q243">
        <v>1</v>
      </c>
      <c r="X243">
        <v>0.32</v>
      </c>
      <c r="Y243">
        <v>0</v>
      </c>
      <c r="Z243">
        <v>655.95</v>
      </c>
      <c r="AA243">
        <v>400.24</v>
      </c>
      <c r="AB243">
        <v>0</v>
      </c>
      <c r="AC243">
        <v>0</v>
      </c>
      <c r="AD243">
        <v>1</v>
      </c>
      <c r="AE243">
        <v>0</v>
      </c>
      <c r="AF243" t="s">
        <v>3</v>
      </c>
      <c r="AG243">
        <v>0.32</v>
      </c>
      <c r="AH243">
        <v>2</v>
      </c>
      <c r="AI243">
        <v>74016695</v>
      </c>
      <c r="AJ243">
        <v>221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ROW(Source!A196)</f>
        <v>196</v>
      </c>
      <c r="B244">
        <v>74016710</v>
      </c>
      <c r="C244">
        <v>74016688</v>
      </c>
      <c r="D244">
        <v>72647086</v>
      </c>
      <c r="E244">
        <v>1</v>
      </c>
      <c r="F244">
        <v>1</v>
      </c>
      <c r="G244">
        <v>1</v>
      </c>
      <c r="H244">
        <v>2</v>
      </c>
      <c r="I244" t="s">
        <v>657</v>
      </c>
      <c r="J244" t="s">
        <v>658</v>
      </c>
      <c r="K244" t="s">
        <v>659</v>
      </c>
      <c r="L244">
        <v>1368</v>
      </c>
      <c r="N244">
        <v>1011</v>
      </c>
      <c r="O244" t="s">
        <v>488</v>
      </c>
      <c r="P244" t="s">
        <v>488</v>
      </c>
      <c r="Q244">
        <v>1</v>
      </c>
      <c r="X244">
        <v>32.75</v>
      </c>
      <c r="Y244">
        <v>0</v>
      </c>
      <c r="Z244">
        <v>1069.08</v>
      </c>
      <c r="AA244">
        <v>459.98</v>
      </c>
      <c r="AB244">
        <v>0</v>
      </c>
      <c r="AC244">
        <v>0</v>
      </c>
      <c r="AD244">
        <v>1</v>
      </c>
      <c r="AE244">
        <v>0</v>
      </c>
      <c r="AF244" t="s">
        <v>3</v>
      </c>
      <c r="AG244">
        <v>32.75</v>
      </c>
      <c r="AH244">
        <v>2</v>
      </c>
      <c r="AI244">
        <v>74016696</v>
      </c>
      <c r="AJ244">
        <v>222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ROW(Source!A196)</f>
        <v>196</v>
      </c>
      <c r="B245">
        <v>74016711</v>
      </c>
      <c r="C245">
        <v>74016688</v>
      </c>
      <c r="D245">
        <v>72647141</v>
      </c>
      <c r="E245">
        <v>1</v>
      </c>
      <c r="F245">
        <v>1</v>
      </c>
      <c r="G245">
        <v>1</v>
      </c>
      <c r="H245">
        <v>2</v>
      </c>
      <c r="I245" t="s">
        <v>511</v>
      </c>
      <c r="J245" t="s">
        <v>512</v>
      </c>
      <c r="K245" t="s">
        <v>513</v>
      </c>
      <c r="L245">
        <v>1368</v>
      </c>
      <c r="N245">
        <v>1011</v>
      </c>
      <c r="O245" t="s">
        <v>488</v>
      </c>
      <c r="P245" t="s">
        <v>488</v>
      </c>
      <c r="Q245">
        <v>1</v>
      </c>
      <c r="X245">
        <v>45</v>
      </c>
      <c r="Y245">
        <v>0</v>
      </c>
      <c r="Z245">
        <v>417.12</v>
      </c>
      <c r="AA245">
        <v>400.24</v>
      </c>
      <c r="AB245">
        <v>0</v>
      </c>
      <c r="AC245">
        <v>0</v>
      </c>
      <c r="AD245">
        <v>1</v>
      </c>
      <c r="AE245">
        <v>0</v>
      </c>
      <c r="AF245" t="s">
        <v>3</v>
      </c>
      <c r="AG245">
        <v>45</v>
      </c>
      <c r="AH245">
        <v>2</v>
      </c>
      <c r="AI245">
        <v>74016697</v>
      </c>
      <c r="AJ245">
        <v>223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ROW(Source!A196)</f>
        <v>196</v>
      </c>
      <c r="B246">
        <v>74016712</v>
      </c>
      <c r="C246">
        <v>74016688</v>
      </c>
      <c r="D246">
        <v>72591353</v>
      </c>
      <c r="E246">
        <v>1</v>
      </c>
      <c r="F246">
        <v>1</v>
      </c>
      <c r="G246">
        <v>1</v>
      </c>
      <c r="H246">
        <v>3</v>
      </c>
      <c r="I246" t="s">
        <v>518</v>
      </c>
      <c r="J246" t="s">
        <v>519</v>
      </c>
      <c r="K246" t="s">
        <v>520</v>
      </c>
      <c r="L246">
        <v>1383</v>
      </c>
      <c r="N246">
        <v>1013</v>
      </c>
      <c r="O246" t="s">
        <v>521</v>
      </c>
      <c r="P246" t="s">
        <v>521</v>
      </c>
      <c r="Q246">
        <v>1</v>
      </c>
      <c r="X246">
        <v>28.58</v>
      </c>
      <c r="Y246">
        <v>9.5500000000000007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 t="s">
        <v>3</v>
      </c>
      <c r="AG246">
        <v>28.58</v>
      </c>
      <c r="AH246">
        <v>2</v>
      </c>
      <c r="AI246">
        <v>74016698</v>
      </c>
      <c r="AJ246">
        <v>224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ROW(Source!A196)</f>
        <v>196</v>
      </c>
      <c r="B247">
        <v>74016713</v>
      </c>
      <c r="C247">
        <v>74016688</v>
      </c>
      <c r="D247">
        <v>72592092</v>
      </c>
      <c r="E247">
        <v>1</v>
      </c>
      <c r="F247">
        <v>1</v>
      </c>
      <c r="G247">
        <v>1</v>
      </c>
      <c r="H247">
        <v>3</v>
      </c>
      <c r="I247" t="s">
        <v>522</v>
      </c>
      <c r="J247" t="s">
        <v>523</v>
      </c>
      <c r="K247" t="s">
        <v>524</v>
      </c>
      <c r="L247">
        <v>1346</v>
      </c>
      <c r="N247">
        <v>1009</v>
      </c>
      <c r="O247" t="s">
        <v>314</v>
      </c>
      <c r="P247" t="s">
        <v>314</v>
      </c>
      <c r="Q247">
        <v>1</v>
      </c>
      <c r="X247">
        <v>14.42</v>
      </c>
      <c r="Y247">
        <v>131.85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 t="s">
        <v>3</v>
      </c>
      <c r="AG247">
        <v>14.42</v>
      </c>
      <c r="AH247">
        <v>2</v>
      </c>
      <c r="AI247">
        <v>74016699</v>
      </c>
      <c r="AJ247">
        <v>225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ROW(Source!A196)</f>
        <v>196</v>
      </c>
      <c r="B248">
        <v>74016714</v>
      </c>
      <c r="C248">
        <v>74016688</v>
      </c>
      <c r="D248">
        <v>72593374</v>
      </c>
      <c r="E248">
        <v>1</v>
      </c>
      <c r="F248">
        <v>1</v>
      </c>
      <c r="G248">
        <v>1</v>
      </c>
      <c r="H248">
        <v>3</v>
      </c>
      <c r="I248" t="s">
        <v>753</v>
      </c>
      <c r="J248" t="s">
        <v>754</v>
      </c>
      <c r="K248" t="s">
        <v>755</v>
      </c>
      <c r="L248">
        <v>1371</v>
      </c>
      <c r="N248">
        <v>1013</v>
      </c>
      <c r="O248" t="s">
        <v>130</v>
      </c>
      <c r="P248" t="s">
        <v>130</v>
      </c>
      <c r="Q248">
        <v>1</v>
      </c>
      <c r="X248">
        <v>0.52</v>
      </c>
      <c r="Y248">
        <v>104.63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 t="s">
        <v>3</v>
      </c>
      <c r="AG248">
        <v>0.52</v>
      </c>
      <c r="AH248">
        <v>2</v>
      </c>
      <c r="AI248">
        <v>74016700</v>
      </c>
      <c r="AJ248">
        <v>226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ROW(Source!A196)</f>
        <v>196</v>
      </c>
      <c r="B249">
        <v>74016715</v>
      </c>
      <c r="C249">
        <v>74016688</v>
      </c>
      <c r="D249">
        <v>72602578</v>
      </c>
      <c r="E249">
        <v>1</v>
      </c>
      <c r="F249">
        <v>1</v>
      </c>
      <c r="G249">
        <v>1</v>
      </c>
      <c r="H249">
        <v>3</v>
      </c>
      <c r="I249" t="s">
        <v>756</v>
      </c>
      <c r="J249" t="s">
        <v>757</v>
      </c>
      <c r="K249" t="s">
        <v>758</v>
      </c>
      <c r="L249">
        <v>1339</v>
      </c>
      <c r="N249">
        <v>1007</v>
      </c>
      <c r="O249" t="s">
        <v>48</v>
      </c>
      <c r="P249" t="s">
        <v>48</v>
      </c>
      <c r="Q249">
        <v>1</v>
      </c>
      <c r="X249">
        <v>0.46</v>
      </c>
      <c r="Y249">
        <v>16655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 t="s">
        <v>3</v>
      </c>
      <c r="AG249">
        <v>0.46</v>
      </c>
      <c r="AH249">
        <v>2</v>
      </c>
      <c r="AI249">
        <v>74016701</v>
      </c>
      <c r="AJ249">
        <v>227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ROW(Source!A196)</f>
        <v>196</v>
      </c>
      <c r="B250">
        <v>74016716</v>
      </c>
      <c r="C250">
        <v>74016688</v>
      </c>
      <c r="D250">
        <v>72524162</v>
      </c>
      <c r="E250">
        <v>119</v>
      </c>
      <c r="F250">
        <v>1</v>
      </c>
      <c r="G250">
        <v>1</v>
      </c>
      <c r="H250">
        <v>3</v>
      </c>
      <c r="I250" t="s">
        <v>769</v>
      </c>
      <c r="J250" t="s">
        <v>3</v>
      </c>
      <c r="K250" t="s">
        <v>776</v>
      </c>
      <c r="L250">
        <v>1301</v>
      </c>
      <c r="N250">
        <v>1003</v>
      </c>
      <c r="O250" t="s">
        <v>125</v>
      </c>
      <c r="P250" t="s">
        <v>125</v>
      </c>
      <c r="Q250">
        <v>1</v>
      </c>
      <c r="X250">
        <v>1010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 t="s">
        <v>3</v>
      </c>
      <c r="AG250">
        <v>1010</v>
      </c>
      <c r="AH250">
        <v>3</v>
      </c>
      <c r="AI250">
        <v>-1</v>
      </c>
      <c r="AJ250" t="s">
        <v>3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ROW(Source!A198)</f>
        <v>198</v>
      </c>
      <c r="B251">
        <v>74016726</v>
      </c>
      <c r="C251">
        <v>74016718</v>
      </c>
      <c r="D251">
        <v>20066464</v>
      </c>
      <c r="E251">
        <v>119</v>
      </c>
      <c r="F251">
        <v>1</v>
      </c>
      <c r="G251">
        <v>1</v>
      </c>
      <c r="H251">
        <v>1</v>
      </c>
      <c r="I251" t="s">
        <v>759</v>
      </c>
      <c r="J251" t="s">
        <v>3</v>
      </c>
      <c r="K251" t="s">
        <v>760</v>
      </c>
      <c r="L251">
        <v>1191</v>
      </c>
      <c r="N251">
        <v>1013</v>
      </c>
      <c r="O251" t="s">
        <v>484</v>
      </c>
      <c r="P251" t="s">
        <v>484</v>
      </c>
      <c r="Q251">
        <v>1</v>
      </c>
      <c r="X251">
        <v>0.39</v>
      </c>
      <c r="Y251">
        <v>0</v>
      </c>
      <c r="Z251">
        <v>0</v>
      </c>
      <c r="AA251">
        <v>0</v>
      </c>
      <c r="AB251">
        <v>406.22</v>
      </c>
      <c r="AC251">
        <v>0</v>
      </c>
      <c r="AD251">
        <v>1</v>
      </c>
      <c r="AE251">
        <v>1</v>
      </c>
      <c r="AF251" t="s">
        <v>3</v>
      </c>
      <c r="AG251">
        <v>0.39</v>
      </c>
      <c r="AH251">
        <v>2</v>
      </c>
      <c r="AI251">
        <v>74016719</v>
      </c>
      <c r="AJ251">
        <v>229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ROW(Source!A198)</f>
        <v>198</v>
      </c>
      <c r="B252">
        <v>74016727</v>
      </c>
      <c r="C252">
        <v>74016718</v>
      </c>
      <c r="D252">
        <v>72647087</v>
      </c>
      <c r="E252">
        <v>1</v>
      </c>
      <c r="F252">
        <v>1</v>
      </c>
      <c r="G252">
        <v>1</v>
      </c>
      <c r="H252">
        <v>2</v>
      </c>
      <c r="I252" t="s">
        <v>761</v>
      </c>
      <c r="J252" t="s">
        <v>762</v>
      </c>
      <c r="K252" t="s">
        <v>763</v>
      </c>
      <c r="L252">
        <v>1368</v>
      </c>
      <c r="N252">
        <v>1011</v>
      </c>
      <c r="O252" t="s">
        <v>488</v>
      </c>
      <c r="P252" t="s">
        <v>488</v>
      </c>
      <c r="Q252">
        <v>1</v>
      </c>
      <c r="X252">
        <v>0.12</v>
      </c>
      <c r="Y252">
        <v>0</v>
      </c>
      <c r="Z252">
        <v>107.31</v>
      </c>
      <c r="AA252">
        <v>0</v>
      </c>
      <c r="AB252">
        <v>0</v>
      </c>
      <c r="AC252">
        <v>0</v>
      </c>
      <c r="AD252">
        <v>1</v>
      </c>
      <c r="AE252">
        <v>0</v>
      </c>
      <c r="AF252" t="s">
        <v>3</v>
      </c>
      <c r="AG252">
        <v>0.12</v>
      </c>
      <c r="AH252">
        <v>2</v>
      </c>
      <c r="AI252">
        <v>74016720</v>
      </c>
      <c r="AJ252">
        <v>230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ROW(Source!A198)</f>
        <v>198</v>
      </c>
      <c r="B253">
        <v>74016728</v>
      </c>
      <c r="C253">
        <v>74016718</v>
      </c>
      <c r="D253">
        <v>72647089</v>
      </c>
      <c r="E253">
        <v>1</v>
      </c>
      <c r="F253">
        <v>1</v>
      </c>
      <c r="G253">
        <v>1</v>
      </c>
      <c r="H253">
        <v>2</v>
      </c>
      <c r="I253" t="s">
        <v>588</v>
      </c>
      <c r="J253" t="s">
        <v>589</v>
      </c>
      <c r="K253" t="s">
        <v>590</v>
      </c>
      <c r="L253">
        <v>1368</v>
      </c>
      <c r="N253">
        <v>1011</v>
      </c>
      <c r="O253" t="s">
        <v>488</v>
      </c>
      <c r="P253" t="s">
        <v>488</v>
      </c>
      <c r="Q253">
        <v>1</v>
      </c>
      <c r="X253">
        <v>0.15</v>
      </c>
      <c r="Y253">
        <v>0</v>
      </c>
      <c r="Z253">
        <v>8.6300000000000008</v>
      </c>
      <c r="AA253">
        <v>0</v>
      </c>
      <c r="AB253">
        <v>0</v>
      </c>
      <c r="AC253">
        <v>0</v>
      </c>
      <c r="AD253">
        <v>1</v>
      </c>
      <c r="AE253">
        <v>0</v>
      </c>
      <c r="AF253" t="s">
        <v>3</v>
      </c>
      <c r="AG253">
        <v>0.15</v>
      </c>
      <c r="AH253">
        <v>2</v>
      </c>
      <c r="AI253">
        <v>74016721</v>
      </c>
      <c r="AJ253">
        <v>231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ROW(Source!A198)</f>
        <v>198</v>
      </c>
      <c r="B254">
        <v>74016729</v>
      </c>
      <c r="C254">
        <v>74016718</v>
      </c>
      <c r="D254">
        <v>72647111</v>
      </c>
      <c r="E254">
        <v>1</v>
      </c>
      <c r="F254">
        <v>1</v>
      </c>
      <c r="G254">
        <v>1</v>
      </c>
      <c r="H254">
        <v>2</v>
      </c>
      <c r="I254" t="s">
        <v>591</v>
      </c>
      <c r="J254" t="s">
        <v>592</v>
      </c>
      <c r="K254" t="s">
        <v>593</v>
      </c>
      <c r="L254">
        <v>1368</v>
      </c>
      <c r="N254">
        <v>1011</v>
      </c>
      <c r="O254" t="s">
        <v>488</v>
      </c>
      <c r="P254" t="s">
        <v>488</v>
      </c>
      <c r="Q254">
        <v>1</v>
      </c>
      <c r="X254">
        <v>0.21</v>
      </c>
      <c r="Y254">
        <v>0</v>
      </c>
      <c r="Z254">
        <v>3.34</v>
      </c>
      <c r="AA254">
        <v>0</v>
      </c>
      <c r="AB254">
        <v>0</v>
      </c>
      <c r="AC254">
        <v>0</v>
      </c>
      <c r="AD254">
        <v>1</v>
      </c>
      <c r="AE254">
        <v>0</v>
      </c>
      <c r="AF254" t="s">
        <v>3</v>
      </c>
      <c r="AG254">
        <v>0.21</v>
      </c>
      <c r="AH254">
        <v>2</v>
      </c>
      <c r="AI254">
        <v>74016722</v>
      </c>
      <c r="AJ254">
        <v>232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ROW(Source!A198)</f>
        <v>198</v>
      </c>
      <c r="B255">
        <v>74016730</v>
      </c>
      <c r="C255">
        <v>74016718</v>
      </c>
      <c r="D255">
        <v>72589277</v>
      </c>
      <c r="E255">
        <v>1</v>
      </c>
      <c r="F255">
        <v>1</v>
      </c>
      <c r="G255">
        <v>1</v>
      </c>
      <c r="H255">
        <v>3</v>
      </c>
      <c r="I255" t="s">
        <v>602</v>
      </c>
      <c r="J255" t="s">
        <v>603</v>
      </c>
      <c r="K255" t="s">
        <v>604</v>
      </c>
      <c r="L255">
        <v>1346</v>
      </c>
      <c r="N255">
        <v>1009</v>
      </c>
      <c r="O255" t="s">
        <v>314</v>
      </c>
      <c r="P255" t="s">
        <v>314</v>
      </c>
      <c r="Q255">
        <v>1</v>
      </c>
      <c r="X255">
        <v>6.0000000000000001E-3</v>
      </c>
      <c r="Y255">
        <v>596.80999999999995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 t="s">
        <v>3</v>
      </c>
      <c r="AG255">
        <v>6.0000000000000001E-3</v>
      </c>
      <c r="AH255">
        <v>2</v>
      </c>
      <c r="AI255">
        <v>74016723</v>
      </c>
      <c r="AJ255">
        <v>233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ROW(Source!A198)</f>
        <v>198</v>
      </c>
      <c r="B256">
        <v>74016731</v>
      </c>
      <c r="C256">
        <v>74016718</v>
      </c>
      <c r="D256">
        <v>72592076</v>
      </c>
      <c r="E256">
        <v>1</v>
      </c>
      <c r="F256">
        <v>1</v>
      </c>
      <c r="G256">
        <v>1</v>
      </c>
      <c r="H256">
        <v>3</v>
      </c>
      <c r="I256" t="s">
        <v>764</v>
      </c>
      <c r="J256" t="s">
        <v>765</v>
      </c>
      <c r="K256" t="s">
        <v>766</v>
      </c>
      <c r="L256">
        <v>1348</v>
      </c>
      <c r="N256">
        <v>1009</v>
      </c>
      <c r="O256" t="s">
        <v>243</v>
      </c>
      <c r="P256" t="s">
        <v>243</v>
      </c>
      <c r="Q256">
        <v>1000</v>
      </c>
      <c r="X256">
        <v>4.0000000000000003E-5</v>
      </c>
      <c r="Y256">
        <v>101535.08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4.0000000000000003E-5</v>
      </c>
      <c r="AH256">
        <v>2</v>
      </c>
      <c r="AI256">
        <v>74016724</v>
      </c>
      <c r="AJ256">
        <v>234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ROW(Source!A198)</f>
        <v>198</v>
      </c>
      <c r="B257">
        <v>74016732</v>
      </c>
      <c r="C257">
        <v>74016718</v>
      </c>
      <c r="D257">
        <v>72594025</v>
      </c>
      <c r="E257">
        <v>1</v>
      </c>
      <c r="F257">
        <v>1</v>
      </c>
      <c r="G257">
        <v>1</v>
      </c>
      <c r="H257">
        <v>3</v>
      </c>
      <c r="I257" t="s">
        <v>594</v>
      </c>
      <c r="J257" t="s">
        <v>595</v>
      </c>
      <c r="K257" t="s">
        <v>596</v>
      </c>
      <c r="L257">
        <v>1346</v>
      </c>
      <c r="N257">
        <v>1009</v>
      </c>
      <c r="O257" t="s">
        <v>314</v>
      </c>
      <c r="P257" t="s">
        <v>314</v>
      </c>
      <c r="Q257">
        <v>1</v>
      </c>
      <c r="X257">
        <v>8.9999999999999998E-4</v>
      </c>
      <c r="Y257">
        <v>56.11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 t="s">
        <v>3</v>
      </c>
      <c r="AG257">
        <v>8.9999999999999998E-4</v>
      </c>
      <c r="AH257">
        <v>2</v>
      </c>
      <c r="AI257">
        <v>74016725</v>
      </c>
      <c r="AJ257">
        <v>235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ROW(Source!A198)</f>
        <v>198</v>
      </c>
      <c r="B258">
        <v>74016733</v>
      </c>
      <c r="C258">
        <v>74016718</v>
      </c>
      <c r="D258">
        <v>72524259</v>
      </c>
      <c r="E258">
        <v>119</v>
      </c>
      <c r="F258">
        <v>1</v>
      </c>
      <c r="G258">
        <v>1</v>
      </c>
      <c r="H258">
        <v>3</v>
      </c>
      <c r="I258" t="s">
        <v>819</v>
      </c>
      <c r="J258" t="s">
        <v>3</v>
      </c>
      <c r="K258" t="s">
        <v>820</v>
      </c>
      <c r="L258">
        <v>1371</v>
      </c>
      <c r="N258">
        <v>1013</v>
      </c>
      <c r="O258" t="s">
        <v>130</v>
      </c>
      <c r="P258" t="s">
        <v>130</v>
      </c>
      <c r="Q258">
        <v>1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 t="s">
        <v>3</v>
      </c>
      <c r="AG258">
        <v>1</v>
      </c>
      <c r="AH258">
        <v>3</v>
      </c>
      <c r="AI258">
        <v>-1</v>
      </c>
      <c r="AJ258" t="s">
        <v>3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ROW(Source!A198)</f>
        <v>198</v>
      </c>
      <c r="B259">
        <v>74016734</v>
      </c>
      <c r="C259">
        <v>74016718</v>
      </c>
      <c r="D259">
        <v>72524528</v>
      </c>
      <c r="E259">
        <v>119</v>
      </c>
      <c r="F259">
        <v>1</v>
      </c>
      <c r="G259">
        <v>1</v>
      </c>
      <c r="H259">
        <v>3</v>
      </c>
      <c r="I259" t="s">
        <v>782</v>
      </c>
      <c r="J259" t="s">
        <v>3</v>
      </c>
      <c r="K259" t="s">
        <v>786</v>
      </c>
      <c r="L259">
        <v>1371</v>
      </c>
      <c r="N259">
        <v>1013</v>
      </c>
      <c r="O259" t="s">
        <v>130</v>
      </c>
      <c r="P259" t="s">
        <v>130</v>
      </c>
      <c r="Q259">
        <v>1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 t="s">
        <v>3</v>
      </c>
      <c r="AG259">
        <v>1</v>
      </c>
      <c r="AH259">
        <v>3</v>
      </c>
      <c r="AI259">
        <v>-1</v>
      </c>
      <c r="AJ259" t="s">
        <v>3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ROW(Source!A200)</f>
        <v>200</v>
      </c>
      <c r="B260">
        <v>74016742</v>
      </c>
      <c r="C260">
        <v>74016736</v>
      </c>
      <c r="D260">
        <v>20049167</v>
      </c>
      <c r="E260">
        <v>119</v>
      </c>
      <c r="F260">
        <v>1</v>
      </c>
      <c r="G260">
        <v>1</v>
      </c>
      <c r="H260">
        <v>1</v>
      </c>
      <c r="I260" t="s">
        <v>605</v>
      </c>
      <c r="J260" t="s">
        <v>3</v>
      </c>
      <c r="K260" t="s">
        <v>606</v>
      </c>
      <c r="L260">
        <v>1191</v>
      </c>
      <c r="N260">
        <v>1013</v>
      </c>
      <c r="O260" t="s">
        <v>484</v>
      </c>
      <c r="P260" t="s">
        <v>484</v>
      </c>
      <c r="Q260">
        <v>1</v>
      </c>
      <c r="X260">
        <v>27</v>
      </c>
      <c r="Y260">
        <v>0</v>
      </c>
      <c r="Z260">
        <v>0</v>
      </c>
      <c r="AA260">
        <v>0</v>
      </c>
      <c r="AB260">
        <v>377.84</v>
      </c>
      <c r="AC260">
        <v>0</v>
      </c>
      <c r="AD260">
        <v>1</v>
      </c>
      <c r="AE260">
        <v>1</v>
      </c>
      <c r="AF260" t="s">
        <v>3</v>
      </c>
      <c r="AG260">
        <v>27</v>
      </c>
      <c r="AH260">
        <v>2</v>
      </c>
      <c r="AI260">
        <v>74016737</v>
      </c>
      <c r="AJ260">
        <v>236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ROW(Source!A200)</f>
        <v>200</v>
      </c>
      <c r="B261">
        <v>74016743</v>
      </c>
      <c r="C261">
        <v>74016736</v>
      </c>
      <c r="D261">
        <v>20049115</v>
      </c>
      <c r="E261">
        <v>119</v>
      </c>
      <c r="F261">
        <v>1</v>
      </c>
      <c r="G261">
        <v>1</v>
      </c>
      <c r="H261">
        <v>1</v>
      </c>
      <c r="I261" t="s">
        <v>482</v>
      </c>
      <c r="J261" t="s">
        <v>3</v>
      </c>
      <c r="K261" t="s">
        <v>483</v>
      </c>
      <c r="L261">
        <v>1191</v>
      </c>
      <c r="N261">
        <v>1013</v>
      </c>
      <c r="O261" t="s">
        <v>484</v>
      </c>
      <c r="P261" t="s">
        <v>484</v>
      </c>
      <c r="Q261">
        <v>1</v>
      </c>
      <c r="X261">
        <v>7.42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2</v>
      </c>
      <c r="AF261" t="s">
        <v>3</v>
      </c>
      <c r="AG261">
        <v>7.42</v>
      </c>
      <c r="AH261">
        <v>2</v>
      </c>
      <c r="AI261">
        <v>74016738</v>
      </c>
      <c r="AJ261">
        <v>237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">
      <c r="A262">
        <f>ROW(Source!A200)</f>
        <v>200</v>
      </c>
      <c r="B262">
        <v>74016744</v>
      </c>
      <c r="C262">
        <v>74016736</v>
      </c>
      <c r="D262">
        <v>72646779</v>
      </c>
      <c r="E262">
        <v>1</v>
      </c>
      <c r="F262">
        <v>1</v>
      </c>
      <c r="G262">
        <v>1</v>
      </c>
      <c r="H262">
        <v>2</v>
      </c>
      <c r="I262" t="s">
        <v>607</v>
      </c>
      <c r="J262" t="s">
        <v>608</v>
      </c>
      <c r="K262" t="s">
        <v>609</v>
      </c>
      <c r="L262">
        <v>1368</v>
      </c>
      <c r="N262">
        <v>1011</v>
      </c>
      <c r="O262" t="s">
        <v>488</v>
      </c>
      <c r="P262" t="s">
        <v>488</v>
      </c>
      <c r="Q262">
        <v>1</v>
      </c>
      <c r="X262">
        <v>7.42</v>
      </c>
      <c r="Y262">
        <v>0</v>
      </c>
      <c r="Z262">
        <v>995.51</v>
      </c>
      <c r="AA262">
        <v>459.98</v>
      </c>
      <c r="AB262">
        <v>0</v>
      </c>
      <c r="AC262">
        <v>0</v>
      </c>
      <c r="AD262">
        <v>1</v>
      </c>
      <c r="AE262">
        <v>0</v>
      </c>
      <c r="AF262" t="s">
        <v>3</v>
      </c>
      <c r="AG262">
        <v>7.42</v>
      </c>
      <c r="AH262">
        <v>2</v>
      </c>
      <c r="AI262">
        <v>74016739</v>
      </c>
      <c r="AJ262">
        <v>238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 x14ac:dyDescent="0.2">
      <c r="A263">
        <f>ROW(Source!A200)</f>
        <v>200</v>
      </c>
      <c r="B263">
        <v>74016745</v>
      </c>
      <c r="C263">
        <v>74016736</v>
      </c>
      <c r="D263">
        <v>72646972</v>
      </c>
      <c r="E263">
        <v>1</v>
      </c>
      <c r="F263">
        <v>1</v>
      </c>
      <c r="G263">
        <v>1</v>
      </c>
      <c r="H263">
        <v>2</v>
      </c>
      <c r="I263" t="s">
        <v>610</v>
      </c>
      <c r="J263" t="s">
        <v>611</v>
      </c>
      <c r="K263" t="s">
        <v>612</v>
      </c>
      <c r="L263">
        <v>1368</v>
      </c>
      <c r="N263">
        <v>1011</v>
      </c>
      <c r="O263" t="s">
        <v>488</v>
      </c>
      <c r="P263" t="s">
        <v>488</v>
      </c>
      <c r="Q263">
        <v>1</v>
      </c>
      <c r="X263">
        <v>7.42</v>
      </c>
      <c r="Y263">
        <v>0</v>
      </c>
      <c r="Z263">
        <v>34.409999999999997</v>
      </c>
      <c r="AA263">
        <v>0</v>
      </c>
      <c r="AB263">
        <v>0</v>
      </c>
      <c r="AC263">
        <v>0</v>
      </c>
      <c r="AD263">
        <v>1</v>
      </c>
      <c r="AE263">
        <v>0</v>
      </c>
      <c r="AF263" t="s">
        <v>3</v>
      </c>
      <c r="AG263">
        <v>7.42</v>
      </c>
      <c r="AH263">
        <v>2</v>
      </c>
      <c r="AI263">
        <v>74016740</v>
      </c>
      <c r="AJ263">
        <v>239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 x14ac:dyDescent="0.2">
      <c r="A264">
        <f>ROW(Source!A200)</f>
        <v>200</v>
      </c>
      <c r="B264">
        <v>74016746</v>
      </c>
      <c r="C264">
        <v>74016736</v>
      </c>
      <c r="D264">
        <v>72524853</v>
      </c>
      <c r="E264">
        <v>119</v>
      </c>
      <c r="F264">
        <v>1</v>
      </c>
      <c r="G264">
        <v>1</v>
      </c>
      <c r="H264">
        <v>3</v>
      </c>
      <c r="I264" t="s">
        <v>192</v>
      </c>
      <c r="J264" t="s">
        <v>3</v>
      </c>
      <c r="K264" t="s">
        <v>193</v>
      </c>
      <c r="L264">
        <v>3277935</v>
      </c>
      <c r="N264">
        <v>1013</v>
      </c>
      <c r="O264" t="s">
        <v>194</v>
      </c>
      <c r="P264" t="s">
        <v>194</v>
      </c>
      <c r="Q264">
        <v>1</v>
      </c>
      <c r="X264">
        <v>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 t="s">
        <v>3</v>
      </c>
      <c r="AG264">
        <v>2</v>
      </c>
      <c r="AH264">
        <v>2</v>
      </c>
      <c r="AI264">
        <v>74016741</v>
      </c>
      <c r="AJ264">
        <v>240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">
      <c r="A265">
        <f>ROW(Source!A203)</f>
        <v>203</v>
      </c>
      <c r="B265">
        <v>74016756</v>
      </c>
      <c r="C265">
        <v>74016749</v>
      </c>
      <c r="D265">
        <v>20054404</v>
      </c>
      <c r="E265">
        <v>119</v>
      </c>
      <c r="F265">
        <v>1</v>
      </c>
      <c r="G265">
        <v>1</v>
      </c>
      <c r="H265">
        <v>1</v>
      </c>
      <c r="I265" t="s">
        <v>600</v>
      </c>
      <c r="J265" t="s">
        <v>3</v>
      </c>
      <c r="K265" t="s">
        <v>601</v>
      </c>
      <c r="L265">
        <v>1191</v>
      </c>
      <c r="N265">
        <v>1013</v>
      </c>
      <c r="O265" t="s">
        <v>484</v>
      </c>
      <c r="P265" t="s">
        <v>484</v>
      </c>
      <c r="Q265">
        <v>1</v>
      </c>
      <c r="X265">
        <v>0.28000000000000003</v>
      </c>
      <c r="Y265">
        <v>0</v>
      </c>
      <c r="Z265">
        <v>0</v>
      </c>
      <c r="AA265">
        <v>0</v>
      </c>
      <c r="AB265">
        <v>386.8</v>
      </c>
      <c r="AC265">
        <v>0</v>
      </c>
      <c r="AD265">
        <v>1</v>
      </c>
      <c r="AE265">
        <v>1</v>
      </c>
      <c r="AF265" t="s">
        <v>3</v>
      </c>
      <c r="AG265">
        <v>0.28000000000000003</v>
      </c>
      <c r="AH265">
        <v>2</v>
      </c>
      <c r="AI265">
        <v>74016750</v>
      </c>
      <c r="AJ265">
        <v>241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 x14ac:dyDescent="0.2">
      <c r="A266">
        <f>ROW(Source!A203)</f>
        <v>203</v>
      </c>
      <c r="B266">
        <v>74016757</v>
      </c>
      <c r="C266">
        <v>74016749</v>
      </c>
      <c r="D266">
        <v>72647089</v>
      </c>
      <c r="E266">
        <v>1</v>
      </c>
      <c r="F266">
        <v>1</v>
      </c>
      <c r="G266">
        <v>1</v>
      </c>
      <c r="H266">
        <v>2</v>
      </c>
      <c r="I266" t="s">
        <v>588</v>
      </c>
      <c r="J266" t="s">
        <v>589</v>
      </c>
      <c r="K266" t="s">
        <v>590</v>
      </c>
      <c r="L266">
        <v>1368</v>
      </c>
      <c r="N266">
        <v>1011</v>
      </c>
      <c r="O266" t="s">
        <v>488</v>
      </c>
      <c r="P266" t="s">
        <v>488</v>
      </c>
      <c r="Q266">
        <v>1</v>
      </c>
      <c r="X266">
        <v>0.15</v>
      </c>
      <c r="Y266">
        <v>0</v>
      </c>
      <c r="Z266">
        <v>8.6300000000000008</v>
      </c>
      <c r="AA266">
        <v>0</v>
      </c>
      <c r="AB266">
        <v>0</v>
      </c>
      <c r="AC266">
        <v>0</v>
      </c>
      <c r="AD266">
        <v>1</v>
      </c>
      <c r="AE266">
        <v>0</v>
      </c>
      <c r="AF266" t="s">
        <v>3</v>
      </c>
      <c r="AG266">
        <v>0.15</v>
      </c>
      <c r="AH266">
        <v>2</v>
      </c>
      <c r="AI266">
        <v>74016751</v>
      </c>
      <c r="AJ266">
        <v>242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 x14ac:dyDescent="0.2">
      <c r="A267">
        <f>ROW(Source!A203)</f>
        <v>203</v>
      </c>
      <c r="B267">
        <v>74016758</v>
      </c>
      <c r="C267">
        <v>74016749</v>
      </c>
      <c r="D267">
        <v>72647111</v>
      </c>
      <c r="E267">
        <v>1</v>
      </c>
      <c r="F267">
        <v>1</v>
      </c>
      <c r="G267">
        <v>1</v>
      </c>
      <c r="H267">
        <v>2</v>
      </c>
      <c r="I267" t="s">
        <v>591</v>
      </c>
      <c r="J267" t="s">
        <v>592</v>
      </c>
      <c r="K267" t="s">
        <v>593</v>
      </c>
      <c r="L267">
        <v>1368</v>
      </c>
      <c r="N267">
        <v>1011</v>
      </c>
      <c r="O267" t="s">
        <v>488</v>
      </c>
      <c r="P267" t="s">
        <v>488</v>
      </c>
      <c r="Q267">
        <v>1</v>
      </c>
      <c r="X267">
        <v>0.28999999999999998</v>
      </c>
      <c r="Y267">
        <v>0</v>
      </c>
      <c r="Z267">
        <v>3.34</v>
      </c>
      <c r="AA267">
        <v>0</v>
      </c>
      <c r="AB267">
        <v>0</v>
      </c>
      <c r="AC267">
        <v>0</v>
      </c>
      <c r="AD267">
        <v>1</v>
      </c>
      <c r="AE267">
        <v>0</v>
      </c>
      <c r="AF267" t="s">
        <v>3</v>
      </c>
      <c r="AG267">
        <v>0.28999999999999998</v>
      </c>
      <c r="AH267">
        <v>2</v>
      </c>
      <c r="AI267">
        <v>74016752</v>
      </c>
      <c r="AJ267">
        <v>243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 x14ac:dyDescent="0.2">
      <c r="A268">
        <f>ROW(Source!A203)</f>
        <v>203</v>
      </c>
      <c r="B268">
        <v>74016759</v>
      </c>
      <c r="C268">
        <v>74016749</v>
      </c>
      <c r="D268">
        <v>72589277</v>
      </c>
      <c r="E268">
        <v>1</v>
      </c>
      <c r="F268">
        <v>1</v>
      </c>
      <c r="G268">
        <v>1</v>
      </c>
      <c r="H268">
        <v>3</v>
      </c>
      <c r="I268" t="s">
        <v>602</v>
      </c>
      <c r="J268" t="s">
        <v>603</v>
      </c>
      <c r="K268" t="s">
        <v>604</v>
      </c>
      <c r="L268">
        <v>1346</v>
      </c>
      <c r="N268">
        <v>1009</v>
      </c>
      <c r="O268" t="s">
        <v>314</v>
      </c>
      <c r="P268" t="s">
        <v>314</v>
      </c>
      <c r="Q268">
        <v>1</v>
      </c>
      <c r="X268">
        <v>0.01</v>
      </c>
      <c r="Y268">
        <v>596.80999999999995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 t="s">
        <v>3</v>
      </c>
      <c r="AG268">
        <v>0.01</v>
      </c>
      <c r="AH268">
        <v>2</v>
      </c>
      <c r="AI268">
        <v>74016753</v>
      </c>
      <c r="AJ268">
        <v>244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 x14ac:dyDescent="0.2">
      <c r="A269">
        <f>ROW(Source!A203)</f>
        <v>203</v>
      </c>
      <c r="B269">
        <v>74016760</v>
      </c>
      <c r="C269">
        <v>74016749</v>
      </c>
      <c r="D269">
        <v>72594025</v>
      </c>
      <c r="E269">
        <v>1</v>
      </c>
      <c r="F269">
        <v>1</v>
      </c>
      <c r="G269">
        <v>1</v>
      </c>
      <c r="H269">
        <v>3</v>
      </c>
      <c r="I269" t="s">
        <v>594</v>
      </c>
      <c r="J269" t="s">
        <v>595</v>
      </c>
      <c r="K269" t="s">
        <v>596</v>
      </c>
      <c r="L269">
        <v>1346</v>
      </c>
      <c r="N269">
        <v>1009</v>
      </c>
      <c r="O269" t="s">
        <v>314</v>
      </c>
      <c r="P269" t="s">
        <v>314</v>
      </c>
      <c r="Q269">
        <v>1</v>
      </c>
      <c r="X269">
        <v>1E-3</v>
      </c>
      <c r="Y269">
        <v>56.11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 t="s">
        <v>3</v>
      </c>
      <c r="AG269">
        <v>1E-3</v>
      </c>
      <c r="AH269">
        <v>2</v>
      </c>
      <c r="AI269">
        <v>74016754</v>
      </c>
      <c r="AJ269">
        <v>245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">
      <c r="A270">
        <f>ROW(Source!A203)</f>
        <v>203</v>
      </c>
      <c r="B270">
        <v>74016761</v>
      </c>
      <c r="C270">
        <v>74016749</v>
      </c>
      <c r="D270">
        <v>72524528</v>
      </c>
      <c r="E270">
        <v>119</v>
      </c>
      <c r="F270">
        <v>1</v>
      </c>
      <c r="G270">
        <v>1</v>
      </c>
      <c r="H270">
        <v>3</v>
      </c>
      <c r="I270" t="s">
        <v>782</v>
      </c>
      <c r="J270" t="s">
        <v>3</v>
      </c>
      <c r="K270" t="s">
        <v>786</v>
      </c>
      <c r="L270">
        <v>1371</v>
      </c>
      <c r="N270">
        <v>1013</v>
      </c>
      <c r="O270" t="s">
        <v>130</v>
      </c>
      <c r="P270" t="s">
        <v>130</v>
      </c>
      <c r="Q270">
        <v>1</v>
      </c>
      <c r="X270">
        <v>1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 t="s">
        <v>3</v>
      </c>
      <c r="AG270">
        <v>1</v>
      </c>
      <c r="AH270">
        <v>3</v>
      </c>
      <c r="AI270">
        <v>-1</v>
      </c>
      <c r="AJ270" t="s">
        <v>3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">
      <c r="A271">
        <f>ROW(Source!A205)</f>
        <v>205</v>
      </c>
      <c r="B271">
        <v>74017899</v>
      </c>
      <c r="C271">
        <v>74016763</v>
      </c>
      <c r="D271">
        <v>72518669</v>
      </c>
      <c r="E271">
        <v>119</v>
      </c>
      <c r="F271">
        <v>1</v>
      </c>
      <c r="G271">
        <v>1</v>
      </c>
      <c r="H271">
        <v>1</v>
      </c>
      <c r="I271" t="s">
        <v>543</v>
      </c>
      <c r="J271" t="s">
        <v>3</v>
      </c>
      <c r="K271" t="s">
        <v>544</v>
      </c>
      <c r="L271">
        <v>1191</v>
      </c>
      <c r="N271">
        <v>1013</v>
      </c>
      <c r="O271" t="s">
        <v>484</v>
      </c>
      <c r="P271" t="s">
        <v>484</v>
      </c>
      <c r="Q271">
        <v>1</v>
      </c>
      <c r="X271">
        <v>1.4</v>
      </c>
      <c r="Y271">
        <v>0</v>
      </c>
      <c r="Z271">
        <v>0</v>
      </c>
      <c r="AA271">
        <v>0</v>
      </c>
      <c r="AB271">
        <v>430.11</v>
      </c>
      <c r="AC271">
        <v>0</v>
      </c>
      <c r="AD271">
        <v>1</v>
      </c>
      <c r="AE271">
        <v>1</v>
      </c>
      <c r="AF271" t="s">
        <v>3</v>
      </c>
      <c r="AG271">
        <v>1.4</v>
      </c>
      <c r="AH271">
        <v>2</v>
      </c>
      <c r="AI271">
        <v>74017899</v>
      </c>
      <c r="AJ271">
        <v>247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">
      <c r="A272">
        <f>ROW(Source!A205)</f>
        <v>205</v>
      </c>
      <c r="B272">
        <v>74017900</v>
      </c>
      <c r="C272">
        <v>74016763</v>
      </c>
      <c r="D272">
        <v>72647089</v>
      </c>
      <c r="E272">
        <v>1</v>
      </c>
      <c r="F272">
        <v>1</v>
      </c>
      <c r="G272">
        <v>1</v>
      </c>
      <c r="H272">
        <v>2</v>
      </c>
      <c r="I272" t="s">
        <v>588</v>
      </c>
      <c r="J272" t="s">
        <v>589</v>
      </c>
      <c r="K272" t="s">
        <v>590</v>
      </c>
      <c r="L272">
        <v>1368</v>
      </c>
      <c r="N272">
        <v>1011</v>
      </c>
      <c r="O272" t="s">
        <v>488</v>
      </c>
      <c r="P272" t="s">
        <v>488</v>
      </c>
      <c r="Q272">
        <v>1</v>
      </c>
      <c r="X272">
        <v>0.38</v>
      </c>
      <c r="Y272">
        <v>0</v>
      </c>
      <c r="Z272">
        <v>8.6300000000000008</v>
      </c>
      <c r="AA272">
        <v>0</v>
      </c>
      <c r="AB272">
        <v>0</v>
      </c>
      <c r="AC272">
        <v>0</v>
      </c>
      <c r="AD272">
        <v>1</v>
      </c>
      <c r="AE272">
        <v>0</v>
      </c>
      <c r="AF272" t="s">
        <v>3</v>
      </c>
      <c r="AG272">
        <v>0.38</v>
      </c>
      <c r="AH272">
        <v>2</v>
      </c>
      <c r="AI272">
        <v>74017900</v>
      </c>
      <c r="AJ272">
        <v>248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 x14ac:dyDescent="0.2">
      <c r="A273">
        <f>ROW(Source!A205)</f>
        <v>205</v>
      </c>
      <c r="B273">
        <v>74017901</v>
      </c>
      <c r="C273">
        <v>74016763</v>
      </c>
      <c r="D273">
        <v>72589277</v>
      </c>
      <c r="E273">
        <v>1</v>
      </c>
      <c r="F273">
        <v>1</v>
      </c>
      <c r="G273">
        <v>1</v>
      </c>
      <c r="H273">
        <v>3</v>
      </c>
      <c r="I273" t="s">
        <v>602</v>
      </c>
      <c r="J273" t="s">
        <v>603</v>
      </c>
      <c r="K273" t="s">
        <v>604</v>
      </c>
      <c r="L273">
        <v>1346</v>
      </c>
      <c r="N273">
        <v>1009</v>
      </c>
      <c r="O273" t="s">
        <v>314</v>
      </c>
      <c r="P273" t="s">
        <v>314</v>
      </c>
      <c r="Q273">
        <v>1</v>
      </c>
      <c r="X273">
        <v>0.04</v>
      </c>
      <c r="Y273">
        <v>596.80999999999995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0</v>
      </c>
      <c r="AF273" t="s">
        <v>3</v>
      </c>
      <c r="AG273">
        <v>0.04</v>
      </c>
      <c r="AH273">
        <v>2</v>
      </c>
      <c r="AI273">
        <v>74017901</v>
      </c>
      <c r="AJ273">
        <v>249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 x14ac:dyDescent="0.2">
      <c r="A274">
        <f>ROW(Source!A205)</f>
        <v>205</v>
      </c>
      <c r="B274">
        <v>74017902</v>
      </c>
      <c r="C274">
        <v>74016763</v>
      </c>
      <c r="D274">
        <v>72524544</v>
      </c>
      <c r="E274">
        <v>119</v>
      </c>
      <c r="F274">
        <v>1</v>
      </c>
      <c r="G274">
        <v>1</v>
      </c>
      <c r="H274">
        <v>3</v>
      </c>
      <c r="I274" t="s">
        <v>821</v>
      </c>
      <c r="J274" t="s">
        <v>3</v>
      </c>
      <c r="K274" t="s">
        <v>822</v>
      </c>
      <c r="L274">
        <v>1371</v>
      </c>
      <c r="N274">
        <v>1013</v>
      </c>
      <c r="O274" t="s">
        <v>130</v>
      </c>
      <c r="P274" t="s">
        <v>130</v>
      </c>
      <c r="Q274">
        <v>1</v>
      </c>
      <c r="X274">
        <v>1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 t="s">
        <v>3</v>
      </c>
      <c r="AG274">
        <v>1</v>
      </c>
      <c r="AH274">
        <v>3</v>
      </c>
      <c r="AI274">
        <v>-1</v>
      </c>
      <c r="AJ274" t="s">
        <v>3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7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</v>
      </c>
      <c r="G12" t="str">
        <f>Source!G12</f>
        <v>Газопровод низкого давления к нежилому помещению,расположенному по адресу: Пензенская область,г.Кузнецк,ул.Кирова,155А/1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  <row r="14" spans="1:103" x14ac:dyDescent="0.2">
      <c r="E14" t="s">
        <v>823</v>
      </c>
      <c r="AD14">
        <v>4</v>
      </c>
    </row>
    <row r="15" spans="1:103" x14ac:dyDescent="0.2">
      <c r="B15" t="s">
        <v>824</v>
      </c>
      <c r="C15">
        <v>1</v>
      </c>
      <c r="D15" t="s">
        <v>373</v>
      </c>
      <c r="E15" t="s">
        <v>825</v>
      </c>
      <c r="F15" t="s">
        <v>826</v>
      </c>
      <c r="G15" t="s">
        <v>125</v>
      </c>
      <c r="H15">
        <v>45.18</v>
      </c>
      <c r="I15">
        <v>55.12</v>
      </c>
      <c r="J15">
        <v>0</v>
      </c>
      <c r="K15">
        <v>45.18</v>
      </c>
      <c r="L15">
        <v>22</v>
      </c>
      <c r="M15">
        <v>46295</v>
      </c>
      <c r="N15">
        <v>2</v>
      </c>
      <c r="O15" t="s">
        <v>827</v>
      </c>
      <c r="P15" t="s">
        <v>828</v>
      </c>
      <c r="Q15" t="s">
        <v>829</v>
      </c>
      <c r="R15" t="s">
        <v>830</v>
      </c>
      <c r="S15" t="s">
        <v>831</v>
      </c>
      <c r="T15" t="s">
        <v>832</v>
      </c>
      <c r="U15">
        <v>0</v>
      </c>
      <c r="V15">
        <v>0</v>
      </c>
      <c r="W15">
        <v>0</v>
      </c>
      <c r="X15">
        <v>0</v>
      </c>
      <c r="Y15" t="s">
        <v>3</v>
      </c>
      <c r="Z15" t="s">
        <v>833</v>
      </c>
      <c r="AA15">
        <v>0</v>
      </c>
      <c r="AB15" t="s">
        <v>3</v>
      </c>
      <c r="AC15">
        <v>45.18</v>
      </c>
      <c r="AD15">
        <v>1</v>
      </c>
      <c r="AE15">
        <v>0</v>
      </c>
      <c r="AF15">
        <v>1</v>
      </c>
      <c r="AG15">
        <v>3</v>
      </c>
      <c r="AH15" t="s">
        <v>125</v>
      </c>
      <c r="AI15" t="s">
        <v>374</v>
      </c>
      <c r="AJ15">
        <v>46310.463506944441</v>
      </c>
      <c r="AK15">
        <v>74015497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3</v>
      </c>
      <c r="AT15">
        <v>0</v>
      </c>
      <c r="AU15">
        <v>0</v>
      </c>
    </row>
    <row r="16" spans="1:103" x14ac:dyDescent="0.2">
      <c r="B16" t="s">
        <v>834</v>
      </c>
      <c r="C16">
        <v>0</v>
      </c>
      <c r="D16" t="s">
        <v>835</v>
      </c>
      <c r="E16" t="s">
        <v>825</v>
      </c>
      <c r="F16" t="s">
        <v>826</v>
      </c>
      <c r="G16" t="s">
        <v>125</v>
      </c>
      <c r="H16">
        <v>47.44</v>
      </c>
      <c r="I16">
        <v>57.88</v>
      </c>
      <c r="J16">
        <v>0</v>
      </c>
      <c r="K16">
        <v>47.44</v>
      </c>
      <c r="L16">
        <v>22</v>
      </c>
      <c r="M16">
        <v>46295</v>
      </c>
      <c r="N16">
        <v>2</v>
      </c>
      <c r="O16" t="s">
        <v>836</v>
      </c>
      <c r="P16" t="s">
        <v>828</v>
      </c>
      <c r="Q16" t="s">
        <v>837</v>
      </c>
      <c r="R16" t="s">
        <v>830</v>
      </c>
      <c r="S16" t="s">
        <v>838</v>
      </c>
      <c r="T16" t="s">
        <v>832</v>
      </c>
      <c r="U16">
        <v>0</v>
      </c>
      <c r="V16">
        <v>0</v>
      </c>
      <c r="W16">
        <v>0</v>
      </c>
      <c r="X16">
        <v>0</v>
      </c>
      <c r="Y16" t="s">
        <v>3</v>
      </c>
      <c r="Z16" t="s">
        <v>833</v>
      </c>
      <c r="AA16">
        <v>0</v>
      </c>
      <c r="AB16" t="s">
        <v>3</v>
      </c>
      <c r="AC16">
        <v>47.44</v>
      </c>
      <c r="AD16">
        <v>1</v>
      </c>
      <c r="AE16">
        <v>0</v>
      </c>
      <c r="AF16">
        <v>1</v>
      </c>
      <c r="AG16">
        <v>3</v>
      </c>
      <c r="AH16" t="s">
        <v>125</v>
      </c>
      <c r="AI16" t="s">
        <v>374</v>
      </c>
      <c r="AJ16">
        <v>46310.463506944441</v>
      </c>
      <c r="AK16">
        <v>74015497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3</v>
      </c>
      <c r="AT16">
        <v>0</v>
      </c>
      <c r="AU16">
        <v>0</v>
      </c>
    </row>
    <row r="17" spans="2:47" x14ac:dyDescent="0.2">
      <c r="B17" t="s">
        <v>839</v>
      </c>
      <c r="C17">
        <v>0</v>
      </c>
      <c r="D17" t="s">
        <v>840</v>
      </c>
      <c r="E17" t="s">
        <v>825</v>
      </c>
      <c r="F17" t="s">
        <v>826</v>
      </c>
      <c r="G17" t="s">
        <v>125</v>
      </c>
      <c r="H17">
        <v>48.87</v>
      </c>
      <c r="I17">
        <v>59.62</v>
      </c>
      <c r="J17">
        <v>0</v>
      </c>
      <c r="K17">
        <v>48.87</v>
      </c>
      <c r="L17">
        <v>22</v>
      </c>
      <c r="M17">
        <v>46295</v>
      </c>
      <c r="N17">
        <v>2</v>
      </c>
      <c r="O17" t="s">
        <v>841</v>
      </c>
      <c r="P17" t="s">
        <v>842</v>
      </c>
      <c r="Q17" t="s">
        <v>843</v>
      </c>
      <c r="R17" t="s">
        <v>844</v>
      </c>
      <c r="S17" t="s">
        <v>838</v>
      </c>
      <c r="T17" t="s">
        <v>832</v>
      </c>
      <c r="U17">
        <v>0</v>
      </c>
      <c r="V17">
        <v>0</v>
      </c>
      <c r="W17">
        <v>0</v>
      </c>
      <c r="X17">
        <v>0</v>
      </c>
      <c r="Y17" t="s">
        <v>3</v>
      </c>
      <c r="Z17" t="s">
        <v>833</v>
      </c>
      <c r="AA17">
        <v>0</v>
      </c>
      <c r="AB17" t="s">
        <v>3</v>
      </c>
      <c r="AC17">
        <v>48.87</v>
      </c>
      <c r="AD17">
        <v>1</v>
      </c>
      <c r="AE17">
        <v>0</v>
      </c>
      <c r="AF17">
        <v>1</v>
      </c>
      <c r="AG17">
        <v>3</v>
      </c>
      <c r="AH17" t="s">
        <v>125</v>
      </c>
      <c r="AI17" t="s">
        <v>374</v>
      </c>
      <c r="AJ17">
        <v>46310.463506944441</v>
      </c>
      <c r="AK17">
        <v>74015497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3</v>
      </c>
      <c r="AT17">
        <v>0</v>
      </c>
      <c r="AU17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Смета по ФСНБ 421+557прРИМ</vt:lpstr>
      <vt:lpstr>Конъюнктурный анализ</vt:lpstr>
      <vt:lpstr>Source</vt:lpstr>
      <vt:lpstr>SourceObSm</vt:lpstr>
      <vt:lpstr>SmtRes</vt:lpstr>
      <vt:lpstr>EtalonRes</vt:lpstr>
      <vt:lpstr>SrcPoprs</vt:lpstr>
      <vt:lpstr>SrcKA</vt:lpstr>
      <vt:lpstr>'Конъюнктурный анализ'!Заголовки_для_печати</vt:lpstr>
      <vt:lpstr>'Смета по ФСНБ 421+557прРИМ'!Заголовки_для_печати</vt:lpstr>
      <vt:lpstr>'Конъюнктурный анализ'!Область_печати</vt:lpstr>
      <vt:lpstr>'Смета по ФСНБ 421+557прРИМ'!Область_печати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cp:lastPrinted>2026-10-15T10:25:38Z</cp:lastPrinted>
  <dcterms:created xsi:type="dcterms:W3CDTF">2026-10-15T08:29:08Z</dcterms:created>
  <dcterms:modified xsi:type="dcterms:W3CDTF">2026-10-15T10:47:15Z</dcterms:modified>
</cp:coreProperties>
</file>