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Службы\ОКПиЗ\Common\! 1А Закупки 223 на 2021\закупочные процедуры по 223_2021\207. восстановление дорожного покрытия_ЗК не СМП_Крым\изменения\"/>
    </mc:Choice>
  </mc:AlternateContent>
  <bookViews>
    <workbookView xWindow="0" yWindow="0" windowWidth="28770" windowHeight="12270"/>
  </bookViews>
  <sheets>
    <sheet name="Смета по ФЕР 421пр (12 гр." sheetId="5" r:id="rId1"/>
    <sheet name="Source" sheetId="1" r:id="rId2"/>
    <sheet name="SourceObSm" sheetId="2" r:id="rId3"/>
    <sheet name="SmtRes" sheetId="3" r:id="rId4"/>
    <sheet name="EtalonRes" sheetId="4" r:id="rId5"/>
  </sheets>
  <definedNames>
    <definedName name="_xlnm.Print_Titles" localSheetId="0">'Смета по ФЕР 421пр (12 гр.'!$36:$36</definedName>
    <definedName name="_xlnm.Print_Area" localSheetId="0">'Смета по ФЕР 421пр (12 гр.'!$A$1:$L$392</definedName>
  </definedNames>
  <calcPr calcId="162913"/>
</workbook>
</file>

<file path=xl/calcChain.xml><?xml version="1.0" encoding="utf-8"?>
<calcChain xmlns="http://schemas.openxmlformats.org/spreadsheetml/2006/main">
  <c r="CC8" i="5" l="1"/>
  <c r="H390" i="5"/>
  <c r="H387" i="5"/>
  <c r="C390" i="5"/>
  <c r="C387" i="5"/>
  <c r="J28" i="5"/>
  <c r="J27" i="5"/>
  <c r="C30" i="5"/>
  <c r="D30" i="5"/>
  <c r="C29" i="5"/>
  <c r="D29" i="5"/>
  <c r="L384" i="5"/>
  <c r="K384" i="5"/>
  <c r="J384" i="5"/>
  <c r="C384" i="5"/>
  <c r="L383" i="5"/>
  <c r="K383" i="5"/>
  <c r="J383" i="5"/>
  <c r="C383" i="5"/>
  <c r="L382" i="5"/>
  <c r="L381" i="5"/>
  <c r="K378" i="5"/>
  <c r="B378" i="5"/>
  <c r="J378" i="5"/>
  <c r="L378" i="5" s="1"/>
  <c r="L377" i="5"/>
  <c r="K377" i="5"/>
  <c r="B377" i="5"/>
  <c r="J377" i="5"/>
  <c r="K374" i="5"/>
  <c r="B374" i="5"/>
  <c r="J374" i="5"/>
  <c r="K370" i="5"/>
  <c r="B370" i="5"/>
  <c r="J370" i="5"/>
  <c r="K369" i="5"/>
  <c r="B369" i="5"/>
  <c r="K368" i="5"/>
  <c r="B368" i="5"/>
  <c r="L362" i="5"/>
  <c r="L361" i="5"/>
  <c r="J359" i="5"/>
  <c r="J358" i="5"/>
  <c r="J357" i="5"/>
  <c r="J352" i="5" s="1"/>
  <c r="J356" i="5"/>
  <c r="J355" i="5"/>
  <c r="J353" i="5"/>
  <c r="J351" i="5"/>
  <c r="Z346" i="5"/>
  <c r="W346" i="5"/>
  <c r="U346" i="5"/>
  <c r="P346" i="5"/>
  <c r="AB346" i="5"/>
  <c r="AY346" i="5"/>
  <c r="AO346" i="5"/>
  <c r="AZ346" i="5"/>
  <c r="AP346" i="5"/>
  <c r="X346" i="5"/>
  <c r="V346" i="5"/>
  <c r="R346" i="5"/>
  <c r="Q346" i="5"/>
  <c r="BA346" i="5"/>
  <c r="AQ346" i="5"/>
  <c r="AX346" i="5"/>
  <c r="J344" i="5"/>
  <c r="I346" i="5" s="1"/>
  <c r="O346" i="5" s="1"/>
  <c r="H344" i="5"/>
  <c r="E344" i="5"/>
  <c r="BD344" i="5"/>
  <c r="BC344" i="5"/>
  <c r="AF344" i="5"/>
  <c r="AT344" i="5" s="1"/>
  <c r="AD344" i="5"/>
  <c r="AS344" i="5" s="1"/>
  <c r="AE344" i="5"/>
  <c r="AC344" i="5"/>
  <c r="G344" i="5"/>
  <c r="D344" i="5"/>
  <c r="C344" i="5"/>
  <c r="A344" i="5"/>
  <c r="Z343" i="5"/>
  <c r="W343" i="5"/>
  <c r="U343" i="5"/>
  <c r="P343" i="5"/>
  <c r="AY343" i="5"/>
  <c r="AZ343" i="5"/>
  <c r="AP343" i="5"/>
  <c r="X343" i="5"/>
  <c r="V343" i="5"/>
  <c r="R343" i="5"/>
  <c r="Q343" i="5"/>
  <c r="BA343" i="5"/>
  <c r="AQ343" i="5"/>
  <c r="AX343" i="5"/>
  <c r="J341" i="5"/>
  <c r="AN343" i="5" s="1"/>
  <c r="H341" i="5"/>
  <c r="E341" i="5"/>
  <c r="BD341" i="5"/>
  <c r="BC341" i="5"/>
  <c r="AF341" i="5"/>
  <c r="AT341" i="5" s="1"/>
  <c r="AD341" i="5"/>
  <c r="AS341" i="5" s="1"/>
  <c r="AE341" i="5"/>
  <c r="AC341" i="5"/>
  <c r="G341" i="5"/>
  <c r="D341" i="5"/>
  <c r="C341" i="5"/>
  <c r="A341" i="5"/>
  <c r="Z340" i="5"/>
  <c r="P340" i="5"/>
  <c r="AY340" i="5"/>
  <c r="AZ340" i="5"/>
  <c r="BA340" i="5"/>
  <c r="AX340" i="5"/>
  <c r="G339" i="5"/>
  <c r="E339" i="5"/>
  <c r="G338" i="5"/>
  <c r="E338" i="5"/>
  <c r="G335" i="5"/>
  <c r="F335" i="5"/>
  <c r="E335" i="5"/>
  <c r="G334" i="5"/>
  <c r="E334" i="5"/>
  <c r="D334" i="5"/>
  <c r="C334" i="5"/>
  <c r="B334" i="5"/>
  <c r="J333" i="5"/>
  <c r="AB340" i="5" s="1"/>
  <c r="H333" i="5"/>
  <c r="L332" i="5"/>
  <c r="W340" i="5" s="1"/>
  <c r="K332" i="5"/>
  <c r="J332" i="5"/>
  <c r="V340" i="5" s="1"/>
  <c r="I332" i="5"/>
  <c r="H332" i="5"/>
  <c r="J331" i="5"/>
  <c r="I331" i="5"/>
  <c r="H331" i="5"/>
  <c r="L330" i="5"/>
  <c r="U340" i="5" s="1"/>
  <c r="L337" i="5" s="1"/>
  <c r="K330" i="5"/>
  <c r="J330" i="5"/>
  <c r="R340" i="5" s="1"/>
  <c r="I330" i="5"/>
  <c r="H330" i="5"/>
  <c r="C329" i="5"/>
  <c r="C328" i="5"/>
  <c r="B328" i="5"/>
  <c r="E327" i="5"/>
  <c r="BD327" i="5"/>
  <c r="BC327" i="5"/>
  <c r="AF327" i="5"/>
  <c r="L339" i="5" s="1"/>
  <c r="AD327" i="5"/>
  <c r="AS327" i="5" s="1"/>
  <c r="AE327" i="5"/>
  <c r="J339" i="5" s="1"/>
  <c r="AC327" i="5"/>
  <c r="J338" i="5" s="1"/>
  <c r="G327" i="5"/>
  <c r="D327" i="5"/>
  <c r="A327" i="5"/>
  <c r="Z326" i="5"/>
  <c r="W326" i="5"/>
  <c r="U326" i="5"/>
  <c r="P326" i="5"/>
  <c r="AY326" i="5"/>
  <c r="AZ326" i="5"/>
  <c r="AP326" i="5"/>
  <c r="X326" i="5"/>
  <c r="V326" i="5"/>
  <c r="R326" i="5"/>
  <c r="Q326" i="5"/>
  <c r="BA326" i="5"/>
  <c r="AQ326" i="5"/>
  <c r="AX326" i="5"/>
  <c r="J324" i="5"/>
  <c r="AN326" i="5" s="1"/>
  <c r="H324" i="5"/>
  <c r="E324" i="5"/>
  <c r="BD324" i="5"/>
  <c r="BC324" i="5"/>
  <c r="AS324" i="5"/>
  <c r="AF324" i="5"/>
  <c r="AT324" i="5" s="1"/>
  <c r="AD324" i="5"/>
  <c r="AE324" i="5"/>
  <c r="AC324" i="5"/>
  <c r="G324" i="5"/>
  <c r="D324" i="5"/>
  <c r="C324" i="5"/>
  <c r="A324" i="5"/>
  <c r="Z323" i="5"/>
  <c r="W323" i="5"/>
  <c r="U323" i="5"/>
  <c r="P323" i="5"/>
  <c r="AY323" i="5"/>
  <c r="AZ323" i="5"/>
  <c r="AP323" i="5"/>
  <c r="X323" i="5"/>
  <c r="V323" i="5"/>
  <c r="R323" i="5"/>
  <c r="Q323" i="5"/>
  <c r="BA323" i="5"/>
  <c r="AQ323" i="5"/>
  <c r="AX323" i="5"/>
  <c r="J321" i="5"/>
  <c r="I323" i="5" s="1"/>
  <c r="H321" i="5"/>
  <c r="E321" i="5"/>
  <c r="BD321" i="5"/>
  <c r="BC321" i="5"/>
  <c r="AF321" i="5"/>
  <c r="AT321" i="5" s="1"/>
  <c r="AD321" i="5"/>
  <c r="AS321" i="5" s="1"/>
  <c r="AE321" i="5"/>
  <c r="AC321" i="5"/>
  <c r="G321" i="5"/>
  <c r="D321" i="5"/>
  <c r="C321" i="5"/>
  <c r="A321" i="5"/>
  <c r="Z320" i="5"/>
  <c r="W320" i="5"/>
  <c r="P320" i="5"/>
  <c r="AB320" i="5"/>
  <c r="AY320" i="5"/>
  <c r="AO320" i="5"/>
  <c r="AZ320" i="5"/>
  <c r="V320" i="5"/>
  <c r="BA320" i="5"/>
  <c r="AX320" i="5"/>
  <c r="G319" i="5"/>
  <c r="E319" i="5"/>
  <c r="G318" i="5"/>
  <c r="E318" i="5"/>
  <c r="G315" i="5"/>
  <c r="F315" i="5"/>
  <c r="E315" i="5"/>
  <c r="G314" i="5"/>
  <c r="F314" i="5"/>
  <c r="E314" i="5"/>
  <c r="D314" i="5"/>
  <c r="C314" i="5"/>
  <c r="B314" i="5"/>
  <c r="J313" i="5"/>
  <c r="AP320" i="5" s="1"/>
  <c r="I313" i="5"/>
  <c r="H313" i="5"/>
  <c r="L312" i="5"/>
  <c r="U320" i="5" s="1"/>
  <c r="K312" i="5"/>
  <c r="J312" i="5"/>
  <c r="AQ320" i="5" s="1"/>
  <c r="I312" i="5"/>
  <c r="H312" i="5"/>
  <c r="C311" i="5"/>
  <c r="C310" i="5"/>
  <c r="B310" i="5"/>
  <c r="E309" i="5"/>
  <c r="BD309" i="5"/>
  <c r="BC309" i="5"/>
  <c r="AF309" i="5"/>
  <c r="L319" i="5" s="1"/>
  <c r="AD309" i="5"/>
  <c r="AS309" i="5" s="1"/>
  <c r="AE309" i="5"/>
  <c r="J319" i="5" s="1"/>
  <c r="AC309" i="5"/>
  <c r="J318" i="5" s="1"/>
  <c r="G309" i="5"/>
  <c r="D309" i="5"/>
  <c r="A309" i="5"/>
  <c r="Z308" i="5"/>
  <c r="W308" i="5"/>
  <c r="U308" i="5"/>
  <c r="P308" i="5"/>
  <c r="AY308" i="5"/>
  <c r="AZ308" i="5"/>
  <c r="AP308" i="5"/>
  <c r="X308" i="5"/>
  <c r="V308" i="5"/>
  <c r="R308" i="5"/>
  <c r="Q308" i="5"/>
  <c r="BA308" i="5"/>
  <c r="AQ308" i="5"/>
  <c r="AX308" i="5"/>
  <c r="C307" i="5"/>
  <c r="B307" i="5"/>
  <c r="J306" i="5"/>
  <c r="AN308" i="5" s="1"/>
  <c r="H306" i="5"/>
  <c r="E306" i="5"/>
  <c r="BD306" i="5"/>
  <c r="BC306" i="5"/>
  <c r="AF306" i="5"/>
  <c r="AT306" i="5" s="1"/>
  <c r="AD306" i="5"/>
  <c r="AS306" i="5" s="1"/>
  <c r="AE306" i="5"/>
  <c r="AC306" i="5"/>
  <c r="G306" i="5"/>
  <c r="D306" i="5"/>
  <c r="C306" i="5"/>
  <c r="A306" i="5"/>
  <c r="Z305" i="5"/>
  <c r="P305" i="5"/>
  <c r="AY305" i="5"/>
  <c r="AZ305" i="5"/>
  <c r="BA305" i="5"/>
  <c r="AX305" i="5"/>
  <c r="G304" i="5"/>
  <c r="E304" i="5"/>
  <c r="G303" i="5"/>
  <c r="E303" i="5"/>
  <c r="G300" i="5"/>
  <c r="F300" i="5"/>
  <c r="E300" i="5"/>
  <c r="G299" i="5"/>
  <c r="E299" i="5"/>
  <c r="D299" i="5"/>
  <c r="C299" i="5"/>
  <c r="B299" i="5"/>
  <c r="G298" i="5"/>
  <c r="E298" i="5"/>
  <c r="D298" i="5"/>
  <c r="C298" i="5"/>
  <c r="B298" i="5"/>
  <c r="J297" i="5"/>
  <c r="AO305" i="5" s="1"/>
  <c r="H297" i="5"/>
  <c r="L296" i="5"/>
  <c r="W305" i="5" s="1"/>
  <c r="K296" i="5"/>
  <c r="J296" i="5"/>
  <c r="V305" i="5" s="1"/>
  <c r="I296" i="5"/>
  <c r="H296" i="5"/>
  <c r="J295" i="5"/>
  <c r="X305" i="5" s="1"/>
  <c r="I295" i="5"/>
  <c r="H295" i="5"/>
  <c r="L294" i="5"/>
  <c r="U305" i="5" s="1"/>
  <c r="L302" i="5" s="1"/>
  <c r="K294" i="5"/>
  <c r="J294" i="5"/>
  <c r="AQ305" i="5" s="1"/>
  <c r="I294" i="5"/>
  <c r="H294" i="5"/>
  <c r="C293" i="5"/>
  <c r="C292" i="5"/>
  <c r="B292" i="5"/>
  <c r="E291" i="5"/>
  <c r="BD291" i="5"/>
  <c r="BC291" i="5"/>
  <c r="AF291" i="5"/>
  <c r="AT291" i="5" s="1"/>
  <c r="AD291" i="5"/>
  <c r="L303" i="5" s="1"/>
  <c r="AE291" i="5"/>
  <c r="J304" i="5" s="1"/>
  <c r="AC291" i="5"/>
  <c r="J303" i="5" s="1"/>
  <c r="G291" i="5"/>
  <c r="D291" i="5"/>
  <c r="A291" i="5"/>
  <c r="Z290" i="5"/>
  <c r="W290" i="5"/>
  <c r="U290" i="5"/>
  <c r="P290" i="5"/>
  <c r="AY290" i="5"/>
  <c r="AZ290" i="5"/>
  <c r="AP290" i="5"/>
  <c r="X290" i="5"/>
  <c r="V290" i="5"/>
  <c r="R290" i="5"/>
  <c r="Q290" i="5"/>
  <c r="BA290" i="5"/>
  <c r="AQ290" i="5"/>
  <c r="AX290" i="5"/>
  <c r="AN290" i="5"/>
  <c r="J288" i="5"/>
  <c r="I290" i="5" s="1"/>
  <c r="AO290" i="5" s="1"/>
  <c r="H288" i="5"/>
  <c r="E288" i="5"/>
  <c r="BD288" i="5"/>
  <c r="BC288" i="5"/>
  <c r="AF288" i="5"/>
  <c r="AT288" i="5" s="1"/>
  <c r="AD288" i="5"/>
  <c r="AS288" i="5" s="1"/>
  <c r="AE288" i="5"/>
  <c r="AC288" i="5"/>
  <c r="G288" i="5"/>
  <c r="D288" i="5"/>
  <c r="C288" i="5"/>
  <c r="A288" i="5"/>
  <c r="Z287" i="5"/>
  <c r="P287" i="5"/>
  <c r="AB287" i="5"/>
  <c r="AY287" i="5"/>
  <c r="AO287" i="5"/>
  <c r="AZ287" i="5"/>
  <c r="BA287" i="5"/>
  <c r="AX287" i="5"/>
  <c r="G286" i="5"/>
  <c r="E286" i="5"/>
  <c r="G285" i="5"/>
  <c r="E285" i="5"/>
  <c r="G282" i="5"/>
  <c r="F282" i="5"/>
  <c r="E282" i="5"/>
  <c r="G281" i="5"/>
  <c r="E281" i="5"/>
  <c r="D281" i="5"/>
  <c r="C281" i="5"/>
  <c r="B281" i="5"/>
  <c r="L280" i="5"/>
  <c r="W287" i="5" s="1"/>
  <c r="K280" i="5"/>
  <c r="J280" i="5"/>
  <c r="V287" i="5" s="1"/>
  <c r="I280" i="5"/>
  <c r="H280" i="5"/>
  <c r="J279" i="5"/>
  <c r="I279" i="5"/>
  <c r="H279" i="5"/>
  <c r="L278" i="5"/>
  <c r="U287" i="5" s="1"/>
  <c r="K278" i="5"/>
  <c r="J278" i="5"/>
  <c r="R287" i="5" s="1"/>
  <c r="I278" i="5"/>
  <c r="H278" i="5"/>
  <c r="C277" i="5"/>
  <c r="C276" i="5"/>
  <c r="B276" i="5"/>
  <c r="E275" i="5"/>
  <c r="BD275" i="5"/>
  <c r="BC275" i="5"/>
  <c r="AF275" i="5"/>
  <c r="L286" i="5" s="1"/>
  <c r="AD275" i="5"/>
  <c r="AS275" i="5" s="1"/>
  <c r="AE275" i="5"/>
  <c r="J286" i="5" s="1"/>
  <c r="AC275" i="5"/>
  <c r="J285" i="5" s="1"/>
  <c r="G275" i="5"/>
  <c r="D275" i="5"/>
  <c r="A275" i="5"/>
  <c r="Z274" i="5"/>
  <c r="P274" i="5"/>
  <c r="AY274" i="5"/>
  <c r="AZ274" i="5"/>
  <c r="BA274" i="5"/>
  <c r="AX274" i="5"/>
  <c r="G273" i="5"/>
  <c r="E273" i="5"/>
  <c r="G272" i="5"/>
  <c r="E272" i="5"/>
  <c r="G269" i="5"/>
  <c r="F269" i="5"/>
  <c r="E269" i="5"/>
  <c r="G268" i="5"/>
  <c r="E268" i="5"/>
  <c r="D268" i="5"/>
  <c r="C268" i="5"/>
  <c r="B268" i="5"/>
  <c r="J267" i="5"/>
  <c r="AB274" i="5" s="1"/>
  <c r="H267" i="5"/>
  <c r="L266" i="5"/>
  <c r="W274" i="5" s="1"/>
  <c r="K266" i="5"/>
  <c r="J266" i="5"/>
  <c r="V274" i="5" s="1"/>
  <c r="I266" i="5"/>
  <c r="H266" i="5"/>
  <c r="J265" i="5"/>
  <c r="AP274" i="5" s="1"/>
  <c r="I265" i="5"/>
  <c r="H265" i="5"/>
  <c r="L264" i="5"/>
  <c r="U274" i="5" s="1"/>
  <c r="L271" i="5" s="1"/>
  <c r="K264" i="5"/>
  <c r="J264" i="5"/>
  <c r="R274" i="5" s="1"/>
  <c r="I264" i="5"/>
  <c r="H264" i="5"/>
  <c r="C263" i="5"/>
  <c r="C262" i="5"/>
  <c r="B262" i="5"/>
  <c r="E261" i="5"/>
  <c r="BD261" i="5"/>
  <c r="BC261" i="5"/>
  <c r="AF261" i="5"/>
  <c r="L273" i="5" s="1"/>
  <c r="AD261" i="5"/>
  <c r="AS261" i="5" s="1"/>
  <c r="AE261" i="5"/>
  <c r="J273" i="5" s="1"/>
  <c r="AC261" i="5"/>
  <c r="J272" i="5" s="1"/>
  <c r="G261" i="5"/>
  <c r="D261" i="5"/>
  <c r="A261" i="5"/>
  <c r="Z260" i="5"/>
  <c r="P260" i="5"/>
  <c r="AY260" i="5"/>
  <c r="AZ260" i="5"/>
  <c r="BA260" i="5"/>
  <c r="AX260" i="5"/>
  <c r="G259" i="5"/>
  <c r="E259" i="5"/>
  <c r="G258" i="5"/>
  <c r="E258" i="5"/>
  <c r="G255" i="5"/>
  <c r="F255" i="5"/>
  <c r="E255" i="5"/>
  <c r="G254" i="5"/>
  <c r="E254" i="5"/>
  <c r="D254" i="5"/>
  <c r="C254" i="5"/>
  <c r="B254" i="5"/>
  <c r="G253" i="5"/>
  <c r="E253" i="5"/>
  <c r="D253" i="5"/>
  <c r="C253" i="5"/>
  <c r="B253" i="5"/>
  <c r="J252" i="5"/>
  <c r="AO260" i="5" s="1"/>
  <c r="H252" i="5"/>
  <c r="L251" i="5"/>
  <c r="W260" i="5" s="1"/>
  <c r="K251" i="5"/>
  <c r="J251" i="5"/>
  <c r="V260" i="5" s="1"/>
  <c r="I251" i="5"/>
  <c r="H251" i="5"/>
  <c r="J250" i="5"/>
  <c r="X260" i="5" s="1"/>
  <c r="I250" i="5"/>
  <c r="H250" i="5"/>
  <c r="L249" i="5"/>
  <c r="U260" i="5" s="1"/>
  <c r="L257" i="5" s="1"/>
  <c r="K249" i="5"/>
  <c r="J249" i="5"/>
  <c r="AQ260" i="5" s="1"/>
  <c r="I249" i="5"/>
  <c r="H249" i="5"/>
  <c r="C248" i="5"/>
  <c r="C247" i="5"/>
  <c r="B247" i="5"/>
  <c r="E246" i="5"/>
  <c r="BD246" i="5"/>
  <c r="BC246" i="5"/>
  <c r="AF246" i="5"/>
  <c r="AT246" i="5" s="1"/>
  <c r="AD246" i="5"/>
  <c r="L258" i="5" s="1"/>
  <c r="AE246" i="5"/>
  <c r="J259" i="5" s="1"/>
  <c r="AC246" i="5"/>
  <c r="J258" i="5" s="1"/>
  <c r="G246" i="5"/>
  <c r="D246" i="5"/>
  <c r="A246" i="5"/>
  <c r="Z245" i="5"/>
  <c r="W245" i="5"/>
  <c r="U245" i="5"/>
  <c r="P245" i="5"/>
  <c r="AB245" i="5"/>
  <c r="AY245" i="5"/>
  <c r="AO245" i="5"/>
  <c r="AZ245" i="5"/>
  <c r="AP245" i="5"/>
  <c r="X245" i="5"/>
  <c r="V245" i="5"/>
  <c r="R245" i="5"/>
  <c r="Q245" i="5"/>
  <c r="BA245" i="5"/>
  <c r="AQ245" i="5"/>
  <c r="AX245" i="5"/>
  <c r="J243" i="5"/>
  <c r="I245" i="5" s="1"/>
  <c r="O245" i="5" s="1"/>
  <c r="H243" i="5"/>
  <c r="E243" i="5"/>
  <c r="BD243" i="5"/>
  <c r="BC243" i="5"/>
  <c r="AF243" i="5"/>
  <c r="AT243" i="5" s="1"/>
  <c r="AD243" i="5"/>
  <c r="AS243" i="5" s="1"/>
  <c r="AE243" i="5"/>
  <c r="AC243" i="5"/>
  <c r="G243" i="5"/>
  <c r="D243" i="5"/>
  <c r="C243" i="5"/>
  <c r="A243" i="5"/>
  <c r="Z242" i="5"/>
  <c r="P242" i="5"/>
  <c r="AY242" i="5"/>
  <c r="AZ242" i="5"/>
  <c r="BA242" i="5"/>
  <c r="AX242" i="5"/>
  <c r="G241" i="5"/>
  <c r="E241" i="5"/>
  <c r="G240" i="5"/>
  <c r="E240" i="5"/>
  <c r="G237" i="5"/>
  <c r="F237" i="5"/>
  <c r="E237" i="5"/>
  <c r="J236" i="5"/>
  <c r="AO242" i="5" s="1"/>
  <c r="H236" i="5"/>
  <c r="L235" i="5"/>
  <c r="W242" i="5" s="1"/>
  <c r="K235" i="5"/>
  <c r="J235" i="5"/>
  <c r="V242" i="5" s="1"/>
  <c r="I235" i="5"/>
  <c r="H235" i="5"/>
  <c r="J234" i="5"/>
  <c r="X242" i="5" s="1"/>
  <c r="I234" i="5"/>
  <c r="H234" i="5"/>
  <c r="L233" i="5"/>
  <c r="U242" i="5" s="1"/>
  <c r="L239" i="5" s="1"/>
  <c r="K233" i="5"/>
  <c r="J233" i="5"/>
  <c r="AQ242" i="5" s="1"/>
  <c r="I233" i="5"/>
  <c r="H233" i="5"/>
  <c r="C232" i="5"/>
  <c r="C231" i="5"/>
  <c r="B231" i="5"/>
  <c r="E230" i="5"/>
  <c r="BD230" i="5"/>
  <c r="BC230" i="5"/>
  <c r="AF230" i="5"/>
  <c r="AT230" i="5" s="1"/>
  <c r="AD230" i="5"/>
  <c r="AS230" i="5" s="1"/>
  <c r="AE230" i="5"/>
  <c r="J241" i="5" s="1"/>
  <c r="AC230" i="5"/>
  <c r="J240" i="5" s="1"/>
  <c r="G230" i="5"/>
  <c r="D230" i="5"/>
  <c r="A230" i="5"/>
  <c r="L227" i="5"/>
  <c r="L226" i="5"/>
  <c r="J224" i="5"/>
  <c r="J223" i="5"/>
  <c r="J222" i="5"/>
  <c r="J217" i="5" s="1"/>
  <c r="J221" i="5"/>
  <c r="J220" i="5"/>
  <c r="J218" i="5"/>
  <c r="J216" i="5"/>
  <c r="Z211" i="5"/>
  <c r="P211" i="5"/>
  <c r="AY211" i="5"/>
  <c r="AZ211" i="5"/>
  <c r="BA211" i="5"/>
  <c r="AX211" i="5"/>
  <c r="G210" i="5"/>
  <c r="E210" i="5"/>
  <c r="G209" i="5"/>
  <c r="E209" i="5"/>
  <c r="G206" i="5"/>
  <c r="F206" i="5"/>
  <c r="E206" i="5"/>
  <c r="G205" i="5"/>
  <c r="E205" i="5"/>
  <c r="D205" i="5"/>
  <c r="C205" i="5"/>
  <c r="B205" i="5"/>
  <c r="G204" i="5"/>
  <c r="E204" i="5"/>
  <c r="D204" i="5"/>
  <c r="C204" i="5"/>
  <c r="B204" i="5"/>
  <c r="J203" i="5"/>
  <c r="AO211" i="5" s="1"/>
  <c r="H203" i="5"/>
  <c r="L202" i="5"/>
  <c r="W211" i="5" s="1"/>
  <c r="K202" i="5"/>
  <c r="J202" i="5"/>
  <c r="V211" i="5" s="1"/>
  <c r="I202" i="5"/>
  <c r="H202" i="5"/>
  <c r="J201" i="5"/>
  <c r="AP211" i="5" s="1"/>
  <c r="I201" i="5"/>
  <c r="H201" i="5"/>
  <c r="L200" i="5"/>
  <c r="U211" i="5" s="1"/>
  <c r="K200" i="5"/>
  <c r="J200" i="5"/>
  <c r="AQ211" i="5" s="1"/>
  <c r="I200" i="5"/>
  <c r="H200" i="5"/>
  <c r="C199" i="5"/>
  <c r="C198" i="5"/>
  <c r="B198" i="5"/>
  <c r="E197" i="5"/>
  <c r="BD197" i="5"/>
  <c r="BC197" i="5"/>
  <c r="AF197" i="5"/>
  <c r="L210" i="5" s="1"/>
  <c r="AD197" i="5"/>
  <c r="L209" i="5" s="1"/>
  <c r="AE197" i="5"/>
  <c r="J210" i="5" s="1"/>
  <c r="AC197" i="5"/>
  <c r="J209" i="5" s="1"/>
  <c r="G197" i="5"/>
  <c r="D197" i="5"/>
  <c r="A197" i="5"/>
  <c r="Z196" i="5"/>
  <c r="W196" i="5"/>
  <c r="U196" i="5"/>
  <c r="P196" i="5"/>
  <c r="AY196" i="5"/>
  <c r="AZ196" i="5"/>
  <c r="AP196" i="5"/>
  <c r="X196" i="5"/>
  <c r="V196" i="5"/>
  <c r="R196" i="5"/>
  <c r="Q196" i="5"/>
  <c r="BA196" i="5"/>
  <c r="AQ196" i="5"/>
  <c r="AX196" i="5"/>
  <c r="J194" i="5"/>
  <c r="AN196" i="5" s="1"/>
  <c r="H194" i="5"/>
  <c r="E194" i="5"/>
  <c r="BD194" i="5"/>
  <c r="BC194" i="5"/>
  <c r="AF194" i="5"/>
  <c r="AT194" i="5" s="1"/>
  <c r="AD194" i="5"/>
  <c r="AS194" i="5" s="1"/>
  <c r="AE194" i="5"/>
  <c r="AC194" i="5"/>
  <c r="G194" i="5"/>
  <c r="D194" i="5"/>
  <c r="C194" i="5"/>
  <c r="A194" i="5"/>
  <c r="Z193" i="5"/>
  <c r="U193" i="5"/>
  <c r="P193" i="5"/>
  <c r="AB193" i="5"/>
  <c r="AY193" i="5"/>
  <c r="AO193" i="5"/>
  <c r="AZ193" i="5"/>
  <c r="R193" i="5"/>
  <c r="Q193" i="5"/>
  <c r="BA193" i="5"/>
  <c r="AQ193" i="5"/>
  <c r="AX193" i="5"/>
  <c r="G192" i="5"/>
  <c r="E192" i="5"/>
  <c r="G191" i="5"/>
  <c r="E191" i="5"/>
  <c r="G188" i="5"/>
  <c r="E188" i="5"/>
  <c r="D188" i="5"/>
  <c r="C188" i="5"/>
  <c r="B188" i="5"/>
  <c r="L187" i="5"/>
  <c r="W193" i="5" s="1"/>
  <c r="K187" i="5"/>
  <c r="J187" i="5"/>
  <c r="V193" i="5" s="1"/>
  <c r="I187" i="5"/>
  <c r="H187" i="5"/>
  <c r="J186" i="5"/>
  <c r="J189" i="5" s="1"/>
  <c r="I186" i="5"/>
  <c r="H186" i="5"/>
  <c r="H189" i="5" s="1"/>
  <c r="C185" i="5"/>
  <c r="B185" i="5"/>
  <c r="E184" i="5"/>
  <c r="BD184" i="5"/>
  <c r="BC184" i="5"/>
  <c r="AF184" i="5"/>
  <c r="L192" i="5" s="1"/>
  <c r="AD184" i="5"/>
  <c r="L191" i="5" s="1"/>
  <c r="AE184" i="5"/>
  <c r="J192" i="5" s="1"/>
  <c r="AC184" i="5"/>
  <c r="J191" i="5" s="1"/>
  <c r="G184" i="5"/>
  <c r="D184" i="5"/>
  <c r="A184" i="5"/>
  <c r="Z183" i="5"/>
  <c r="W183" i="5"/>
  <c r="U183" i="5"/>
  <c r="P183" i="5"/>
  <c r="AY183" i="5"/>
  <c r="AZ183" i="5"/>
  <c r="AP183" i="5"/>
  <c r="X183" i="5"/>
  <c r="V183" i="5"/>
  <c r="R183" i="5"/>
  <c r="Q183" i="5"/>
  <c r="BA183" i="5"/>
  <c r="AQ183" i="5"/>
  <c r="AX183" i="5"/>
  <c r="J181" i="5"/>
  <c r="AN183" i="5" s="1"/>
  <c r="H181" i="5"/>
  <c r="E181" i="5"/>
  <c r="BD181" i="5"/>
  <c r="BC181" i="5"/>
  <c r="AF181" i="5"/>
  <c r="AT181" i="5" s="1"/>
  <c r="AD181" i="5"/>
  <c r="AS181" i="5" s="1"/>
  <c r="AE181" i="5"/>
  <c r="AC181" i="5"/>
  <c r="G181" i="5"/>
  <c r="D181" i="5"/>
  <c r="C181" i="5"/>
  <c r="A181" i="5"/>
  <c r="Z180" i="5"/>
  <c r="P180" i="5"/>
  <c r="AY180" i="5"/>
  <c r="AZ180" i="5"/>
  <c r="BA180" i="5"/>
  <c r="AX180" i="5"/>
  <c r="G179" i="5"/>
  <c r="E179" i="5"/>
  <c r="G178" i="5"/>
  <c r="E178" i="5"/>
  <c r="G175" i="5"/>
  <c r="F175" i="5"/>
  <c r="E175" i="5"/>
  <c r="G174" i="5"/>
  <c r="E174" i="5"/>
  <c r="D174" i="5"/>
  <c r="C174" i="5"/>
  <c r="B174" i="5"/>
  <c r="J173" i="5"/>
  <c r="AO180" i="5" s="1"/>
  <c r="H173" i="5"/>
  <c r="L172" i="5"/>
  <c r="W180" i="5" s="1"/>
  <c r="K172" i="5"/>
  <c r="J172" i="5"/>
  <c r="V180" i="5" s="1"/>
  <c r="I172" i="5"/>
  <c r="H172" i="5"/>
  <c r="J171" i="5"/>
  <c r="AP180" i="5" s="1"/>
  <c r="I171" i="5"/>
  <c r="H171" i="5"/>
  <c r="L170" i="5"/>
  <c r="U180" i="5" s="1"/>
  <c r="K170" i="5"/>
  <c r="J170" i="5"/>
  <c r="AQ180" i="5" s="1"/>
  <c r="I170" i="5"/>
  <c r="H170" i="5"/>
  <c r="C169" i="5"/>
  <c r="C168" i="5"/>
  <c r="B168" i="5"/>
  <c r="E167" i="5"/>
  <c r="BD167" i="5"/>
  <c r="BC167" i="5"/>
  <c r="AF167" i="5"/>
  <c r="AT167" i="5" s="1"/>
  <c r="AD167" i="5"/>
  <c r="AS167" i="5" s="1"/>
  <c r="AE167" i="5"/>
  <c r="J179" i="5" s="1"/>
  <c r="AC167" i="5"/>
  <c r="J178" i="5" s="1"/>
  <c r="G167" i="5"/>
  <c r="D167" i="5"/>
  <c r="A167" i="5"/>
  <c r="Z166" i="5"/>
  <c r="W166" i="5"/>
  <c r="U166" i="5"/>
  <c r="P166" i="5"/>
  <c r="AY166" i="5"/>
  <c r="AZ166" i="5"/>
  <c r="AP166" i="5"/>
  <c r="X166" i="5"/>
  <c r="V166" i="5"/>
  <c r="R166" i="5"/>
  <c r="Q166" i="5"/>
  <c r="BA166" i="5"/>
  <c r="AQ166" i="5"/>
  <c r="AX166" i="5"/>
  <c r="J164" i="5"/>
  <c r="AN166" i="5" s="1"/>
  <c r="H164" i="5"/>
  <c r="E164" i="5"/>
  <c r="BD164" i="5"/>
  <c r="BC164" i="5"/>
  <c r="AF164" i="5"/>
  <c r="AT164" i="5" s="1"/>
  <c r="AD164" i="5"/>
  <c r="AS164" i="5" s="1"/>
  <c r="AE164" i="5"/>
  <c r="AC164" i="5"/>
  <c r="G164" i="5"/>
  <c r="D164" i="5"/>
  <c r="C164" i="5"/>
  <c r="A164" i="5"/>
  <c r="Z163" i="5"/>
  <c r="W163" i="5"/>
  <c r="U163" i="5"/>
  <c r="P163" i="5"/>
  <c r="AY163" i="5"/>
  <c r="AZ163" i="5"/>
  <c r="AP163" i="5"/>
  <c r="X163" i="5"/>
  <c r="V163" i="5"/>
  <c r="R163" i="5"/>
  <c r="Q163" i="5"/>
  <c r="BA163" i="5"/>
  <c r="AQ163" i="5"/>
  <c r="AX163" i="5"/>
  <c r="J161" i="5"/>
  <c r="I163" i="5" s="1"/>
  <c r="H161" i="5"/>
  <c r="E161" i="5"/>
  <c r="BD161" i="5"/>
  <c r="BC161" i="5"/>
  <c r="AF161" i="5"/>
  <c r="AT161" i="5" s="1"/>
  <c r="AD161" i="5"/>
  <c r="AS161" i="5" s="1"/>
  <c r="AE161" i="5"/>
  <c r="AC161" i="5"/>
  <c r="G161" i="5"/>
  <c r="D161" i="5"/>
  <c r="C161" i="5"/>
  <c r="A161" i="5"/>
  <c r="Z160" i="5"/>
  <c r="W160" i="5"/>
  <c r="P160" i="5"/>
  <c r="AB160" i="5"/>
  <c r="AY160" i="5"/>
  <c r="AO160" i="5"/>
  <c r="AZ160" i="5"/>
  <c r="V160" i="5"/>
  <c r="BA160" i="5"/>
  <c r="AX160" i="5"/>
  <c r="G159" i="5"/>
  <c r="E159" i="5"/>
  <c r="G158" i="5"/>
  <c r="E158" i="5"/>
  <c r="G155" i="5"/>
  <c r="F155" i="5"/>
  <c r="E155" i="5"/>
  <c r="G154" i="5"/>
  <c r="F154" i="5"/>
  <c r="E154" i="5"/>
  <c r="D154" i="5"/>
  <c r="C154" i="5"/>
  <c r="B154" i="5"/>
  <c r="G153" i="5"/>
  <c r="F153" i="5"/>
  <c r="E153" i="5"/>
  <c r="D153" i="5"/>
  <c r="C153" i="5"/>
  <c r="B153" i="5"/>
  <c r="J152" i="5"/>
  <c r="X160" i="5" s="1"/>
  <c r="I152" i="5"/>
  <c r="H152" i="5"/>
  <c r="L151" i="5"/>
  <c r="U160" i="5" s="1"/>
  <c r="K151" i="5"/>
  <c r="J151" i="5"/>
  <c r="AQ160" i="5" s="1"/>
  <c r="I151" i="5"/>
  <c r="H151" i="5"/>
  <c r="C150" i="5"/>
  <c r="C149" i="5"/>
  <c r="B149" i="5"/>
  <c r="E148" i="5"/>
  <c r="BD148" i="5"/>
  <c r="BC148" i="5"/>
  <c r="AF148" i="5"/>
  <c r="L159" i="5" s="1"/>
  <c r="AD148" i="5"/>
  <c r="AS148" i="5" s="1"/>
  <c r="AE148" i="5"/>
  <c r="J159" i="5" s="1"/>
  <c r="AC148" i="5"/>
  <c r="J158" i="5" s="1"/>
  <c r="G148" i="5"/>
  <c r="D148" i="5"/>
  <c r="A148" i="5"/>
  <c r="Z147" i="5"/>
  <c r="P147" i="5"/>
  <c r="AY147" i="5"/>
  <c r="AZ147" i="5"/>
  <c r="BA147" i="5"/>
  <c r="AX147" i="5"/>
  <c r="G146" i="5"/>
  <c r="E146" i="5"/>
  <c r="G145" i="5"/>
  <c r="E145" i="5"/>
  <c r="G142" i="5"/>
  <c r="F142" i="5"/>
  <c r="E142" i="5"/>
  <c r="G141" i="5"/>
  <c r="E141" i="5"/>
  <c r="D141" i="5"/>
  <c r="C141" i="5"/>
  <c r="B141" i="5"/>
  <c r="G140" i="5"/>
  <c r="E140" i="5"/>
  <c r="D140" i="5"/>
  <c r="C140" i="5"/>
  <c r="B140" i="5"/>
  <c r="J139" i="5"/>
  <c r="AO147" i="5" s="1"/>
  <c r="H139" i="5"/>
  <c r="L138" i="5"/>
  <c r="W147" i="5" s="1"/>
  <c r="K138" i="5"/>
  <c r="J138" i="5"/>
  <c r="V147" i="5" s="1"/>
  <c r="I138" i="5"/>
  <c r="H138" i="5"/>
  <c r="J137" i="5"/>
  <c r="X147" i="5" s="1"/>
  <c r="I137" i="5"/>
  <c r="H137" i="5"/>
  <c r="L136" i="5"/>
  <c r="U147" i="5" s="1"/>
  <c r="L144" i="5" s="1"/>
  <c r="K136" i="5"/>
  <c r="J136" i="5"/>
  <c r="AQ147" i="5" s="1"/>
  <c r="I136" i="5"/>
  <c r="H136" i="5"/>
  <c r="C135" i="5"/>
  <c r="C134" i="5"/>
  <c r="B134" i="5"/>
  <c r="E133" i="5"/>
  <c r="BD133" i="5"/>
  <c r="BC133" i="5"/>
  <c r="AF133" i="5"/>
  <c r="L146" i="5" s="1"/>
  <c r="AD133" i="5"/>
  <c r="L145" i="5" s="1"/>
  <c r="AE133" i="5"/>
  <c r="J146" i="5" s="1"/>
  <c r="AC133" i="5"/>
  <c r="J145" i="5" s="1"/>
  <c r="G133" i="5"/>
  <c r="D133" i="5"/>
  <c r="A133" i="5"/>
  <c r="Z132" i="5"/>
  <c r="W132" i="5"/>
  <c r="P132" i="5"/>
  <c r="AB132" i="5"/>
  <c r="AY132" i="5"/>
  <c r="AO132" i="5"/>
  <c r="AZ132" i="5"/>
  <c r="V132" i="5"/>
  <c r="BA132" i="5"/>
  <c r="AX132" i="5"/>
  <c r="G131" i="5"/>
  <c r="E131" i="5"/>
  <c r="G130" i="5"/>
  <c r="E130" i="5"/>
  <c r="G127" i="5"/>
  <c r="F127" i="5"/>
  <c r="E127" i="5"/>
  <c r="G126" i="5"/>
  <c r="F126" i="5"/>
  <c r="E126" i="5"/>
  <c r="D126" i="5"/>
  <c r="C126" i="5"/>
  <c r="B126" i="5"/>
  <c r="G125" i="5"/>
  <c r="F125" i="5"/>
  <c r="E125" i="5"/>
  <c r="D125" i="5"/>
  <c r="C125" i="5"/>
  <c r="B125" i="5"/>
  <c r="J124" i="5"/>
  <c r="AP132" i="5" s="1"/>
  <c r="I124" i="5"/>
  <c r="H124" i="5"/>
  <c r="L123" i="5"/>
  <c r="U132" i="5" s="1"/>
  <c r="K123" i="5"/>
  <c r="J123" i="5"/>
  <c r="AQ132" i="5" s="1"/>
  <c r="I123" i="5"/>
  <c r="H123" i="5"/>
  <c r="C122" i="5"/>
  <c r="C121" i="5"/>
  <c r="B121" i="5"/>
  <c r="E120" i="5"/>
  <c r="BD120" i="5"/>
  <c r="BC120" i="5"/>
  <c r="AF120" i="5"/>
  <c r="L131" i="5" s="1"/>
  <c r="AD120" i="5"/>
  <c r="AS120" i="5" s="1"/>
  <c r="AE120" i="5"/>
  <c r="J131" i="5" s="1"/>
  <c r="AC120" i="5"/>
  <c r="J130" i="5" s="1"/>
  <c r="G120" i="5"/>
  <c r="D120" i="5"/>
  <c r="A120" i="5"/>
  <c r="Z119" i="5"/>
  <c r="W119" i="5"/>
  <c r="P119" i="5"/>
  <c r="AB119" i="5"/>
  <c r="AY119" i="5"/>
  <c r="AO119" i="5"/>
  <c r="AZ119" i="5"/>
  <c r="V119" i="5"/>
  <c r="BA119" i="5"/>
  <c r="AX119" i="5"/>
  <c r="G118" i="5"/>
  <c r="E118" i="5"/>
  <c r="G117" i="5"/>
  <c r="E117" i="5"/>
  <c r="G114" i="5"/>
  <c r="F114" i="5"/>
  <c r="E114" i="5"/>
  <c r="G113" i="5"/>
  <c r="F113" i="5"/>
  <c r="E113" i="5"/>
  <c r="D113" i="5"/>
  <c r="C113" i="5"/>
  <c r="B113" i="5"/>
  <c r="G112" i="5"/>
  <c r="F112" i="5"/>
  <c r="E112" i="5"/>
  <c r="D112" i="5"/>
  <c r="C112" i="5"/>
  <c r="B112" i="5"/>
  <c r="J111" i="5"/>
  <c r="AP119" i="5" s="1"/>
  <c r="I111" i="5"/>
  <c r="H111" i="5"/>
  <c r="L110" i="5"/>
  <c r="U119" i="5" s="1"/>
  <c r="K110" i="5"/>
  <c r="J110" i="5"/>
  <c r="Q119" i="5" s="1"/>
  <c r="I110" i="5"/>
  <c r="H110" i="5"/>
  <c r="C109" i="5"/>
  <c r="C108" i="5"/>
  <c r="B108" i="5"/>
  <c r="E107" i="5"/>
  <c r="BD107" i="5"/>
  <c r="BC107" i="5"/>
  <c r="AF107" i="5"/>
  <c r="AD107" i="5"/>
  <c r="AE107" i="5"/>
  <c r="J118" i="5" s="1"/>
  <c r="AC107" i="5"/>
  <c r="J117" i="5" s="1"/>
  <c r="G107" i="5"/>
  <c r="D107" i="5"/>
  <c r="A107" i="5"/>
  <c r="Z106" i="5"/>
  <c r="P106" i="5"/>
  <c r="AY106" i="5"/>
  <c r="AZ106" i="5"/>
  <c r="BA106" i="5"/>
  <c r="AX106" i="5"/>
  <c r="G105" i="5"/>
  <c r="E105" i="5"/>
  <c r="G104" i="5"/>
  <c r="E104" i="5"/>
  <c r="G101" i="5"/>
  <c r="F101" i="5"/>
  <c r="E101" i="5"/>
  <c r="G100" i="5"/>
  <c r="E100" i="5"/>
  <c r="D100" i="5"/>
  <c r="C100" i="5"/>
  <c r="B100" i="5"/>
  <c r="G99" i="5"/>
  <c r="E99" i="5"/>
  <c r="D99" i="5"/>
  <c r="C99" i="5"/>
  <c r="B99" i="5"/>
  <c r="J98" i="5"/>
  <c r="AO106" i="5" s="1"/>
  <c r="H98" i="5"/>
  <c r="L97" i="5"/>
  <c r="W106" i="5" s="1"/>
  <c r="K97" i="5"/>
  <c r="J97" i="5"/>
  <c r="V106" i="5" s="1"/>
  <c r="I97" i="5"/>
  <c r="H97" i="5"/>
  <c r="J96" i="5"/>
  <c r="X106" i="5" s="1"/>
  <c r="I96" i="5"/>
  <c r="H96" i="5"/>
  <c r="L95" i="5"/>
  <c r="U106" i="5" s="1"/>
  <c r="L103" i="5" s="1"/>
  <c r="K95" i="5"/>
  <c r="J95" i="5"/>
  <c r="AQ106" i="5" s="1"/>
  <c r="I95" i="5"/>
  <c r="H95" i="5"/>
  <c r="C94" i="5"/>
  <c r="C93" i="5"/>
  <c r="B93" i="5"/>
  <c r="E92" i="5"/>
  <c r="BD92" i="5"/>
  <c r="BC92" i="5"/>
  <c r="AF92" i="5"/>
  <c r="L105" i="5" s="1"/>
  <c r="AD92" i="5"/>
  <c r="L104" i="5" s="1"/>
  <c r="AE92" i="5"/>
  <c r="J105" i="5" s="1"/>
  <c r="AC92" i="5"/>
  <c r="J104" i="5" s="1"/>
  <c r="G92" i="5"/>
  <c r="D92" i="5"/>
  <c r="A92" i="5"/>
  <c r="Z91" i="5"/>
  <c r="W91" i="5"/>
  <c r="U91" i="5"/>
  <c r="P91" i="5"/>
  <c r="AY91" i="5"/>
  <c r="AZ91" i="5"/>
  <c r="AP91" i="5"/>
  <c r="X91" i="5"/>
  <c r="V91" i="5"/>
  <c r="R91" i="5"/>
  <c r="Q91" i="5"/>
  <c r="BA91" i="5"/>
  <c r="AQ91" i="5"/>
  <c r="AX91" i="5"/>
  <c r="J89" i="5"/>
  <c r="I91" i="5" s="1"/>
  <c r="H89" i="5"/>
  <c r="E89" i="5"/>
  <c r="BD89" i="5"/>
  <c r="BC89" i="5"/>
  <c r="AF89" i="5"/>
  <c r="AT89" i="5" s="1"/>
  <c r="AD89" i="5"/>
  <c r="AS89" i="5" s="1"/>
  <c r="AE89" i="5"/>
  <c r="AC89" i="5"/>
  <c r="G89" i="5"/>
  <c r="D89" i="5"/>
  <c r="C89" i="5"/>
  <c r="A89" i="5"/>
  <c r="Z88" i="5"/>
  <c r="P88" i="5"/>
  <c r="AY88" i="5"/>
  <c r="AZ88" i="5"/>
  <c r="BA88" i="5"/>
  <c r="AX88" i="5"/>
  <c r="G87" i="5"/>
  <c r="E87" i="5"/>
  <c r="G86" i="5"/>
  <c r="E86" i="5"/>
  <c r="G83" i="5"/>
  <c r="E83" i="5"/>
  <c r="G82" i="5"/>
  <c r="E82" i="5"/>
  <c r="G81" i="5"/>
  <c r="E81" i="5"/>
  <c r="D81" i="5"/>
  <c r="C81" i="5"/>
  <c r="B81" i="5"/>
  <c r="J80" i="5"/>
  <c r="AO88" i="5" s="1"/>
  <c r="H80" i="5"/>
  <c r="L79" i="5"/>
  <c r="W88" i="5" s="1"/>
  <c r="K79" i="5"/>
  <c r="J79" i="5"/>
  <c r="V88" i="5" s="1"/>
  <c r="H79" i="5"/>
  <c r="J78" i="5"/>
  <c r="X88" i="5" s="1"/>
  <c r="H78" i="5"/>
  <c r="L77" i="5"/>
  <c r="U88" i="5" s="1"/>
  <c r="K77" i="5"/>
  <c r="J77" i="5"/>
  <c r="R88" i="5" s="1"/>
  <c r="H77" i="5"/>
  <c r="E75" i="5"/>
  <c r="BD75" i="5"/>
  <c r="BC75" i="5"/>
  <c r="AF75" i="5"/>
  <c r="AD75" i="5"/>
  <c r="AS75" i="5" s="1"/>
  <c r="AE75" i="5"/>
  <c r="J87" i="5" s="1"/>
  <c r="AC75" i="5"/>
  <c r="J86" i="5" s="1"/>
  <c r="G75" i="5"/>
  <c r="D75" i="5"/>
  <c r="C75" i="5"/>
  <c r="A75" i="5"/>
  <c r="Z74" i="5"/>
  <c r="W74" i="5"/>
  <c r="U74" i="5"/>
  <c r="P74" i="5"/>
  <c r="AY74" i="5"/>
  <c r="AZ74" i="5"/>
  <c r="AP74" i="5"/>
  <c r="X74" i="5"/>
  <c r="V74" i="5"/>
  <c r="R74" i="5"/>
  <c r="Q74" i="5"/>
  <c r="BA74" i="5"/>
  <c r="AQ74" i="5"/>
  <c r="AX74" i="5"/>
  <c r="J72" i="5"/>
  <c r="I74" i="5" s="1"/>
  <c r="AO74" i="5" s="1"/>
  <c r="H72" i="5"/>
  <c r="E72" i="5"/>
  <c r="BD72" i="5"/>
  <c r="BC72" i="5"/>
  <c r="AF72" i="5"/>
  <c r="AT72" i="5" s="1"/>
  <c r="AD72" i="5"/>
  <c r="AS72" i="5" s="1"/>
  <c r="AE72" i="5"/>
  <c r="AC72" i="5"/>
  <c r="G72" i="5"/>
  <c r="D72" i="5"/>
  <c r="C72" i="5"/>
  <c r="A72" i="5"/>
  <c r="Z71" i="5"/>
  <c r="W71" i="5"/>
  <c r="U71" i="5"/>
  <c r="P71" i="5"/>
  <c r="AY71" i="5"/>
  <c r="AZ71" i="5"/>
  <c r="AP71" i="5"/>
  <c r="X71" i="5"/>
  <c r="V71" i="5"/>
  <c r="R71" i="5"/>
  <c r="Q71" i="5"/>
  <c r="BA71" i="5"/>
  <c r="AQ71" i="5"/>
  <c r="AX71" i="5"/>
  <c r="J69" i="5"/>
  <c r="AN71" i="5" s="1"/>
  <c r="H69" i="5"/>
  <c r="E69" i="5"/>
  <c r="BD69" i="5"/>
  <c r="BC69" i="5"/>
  <c r="AF69" i="5"/>
  <c r="AT69" i="5" s="1"/>
  <c r="AD69" i="5"/>
  <c r="AS69" i="5" s="1"/>
  <c r="AE69" i="5"/>
  <c r="AC69" i="5"/>
  <c r="G69" i="5"/>
  <c r="D69" i="5"/>
  <c r="C69" i="5"/>
  <c r="A69" i="5"/>
  <c r="Z68" i="5"/>
  <c r="P68" i="5"/>
  <c r="AY68" i="5"/>
  <c r="AZ68" i="5"/>
  <c r="BA68" i="5"/>
  <c r="AX68" i="5"/>
  <c r="G67" i="5"/>
  <c r="E67" i="5"/>
  <c r="G66" i="5"/>
  <c r="E66" i="5"/>
  <c r="G63" i="5"/>
  <c r="F63" i="5"/>
  <c r="E63" i="5"/>
  <c r="G62" i="5"/>
  <c r="E62" i="5"/>
  <c r="D62" i="5"/>
  <c r="C62" i="5"/>
  <c r="B62" i="5"/>
  <c r="J61" i="5"/>
  <c r="AB68" i="5" s="1"/>
  <c r="H61" i="5"/>
  <c r="L60" i="5"/>
  <c r="W68" i="5" s="1"/>
  <c r="K60" i="5"/>
  <c r="J60" i="5"/>
  <c r="V68" i="5" s="1"/>
  <c r="I60" i="5"/>
  <c r="H60" i="5"/>
  <c r="J59" i="5"/>
  <c r="AP68" i="5" s="1"/>
  <c r="I59" i="5"/>
  <c r="H59" i="5"/>
  <c r="L58" i="5"/>
  <c r="U68" i="5" s="1"/>
  <c r="L65" i="5" s="1"/>
  <c r="K58" i="5"/>
  <c r="J58" i="5"/>
  <c r="Q68" i="5" s="1"/>
  <c r="I58" i="5"/>
  <c r="H58" i="5"/>
  <c r="C57" i="5"/>
  <c r="C56" i="5"/>
  <c r="B56" i="5"/>
  <c r="E55" i="5"/>
  <c r="BD55" i="5"/>
  <c r="BC55" i="5"/>
  <c r="AF55" i="5"/>
  <c r="AT55" i="5" s="1"/>
  <c r="AD55" i="5"/>
  <c r="L66" i="5" s="1"/>
  <c r="AE55" i="5"/>
  <c r="J67" i="5" s="1"/>
  <c r="AC55" i="5"/>
  <c r="J66" i="5" s="1"/>
  <c r="G55" i="5"/>
  <c r="D55" i="5"/>
  <c r="A55" i="5"/>
  <c r="Z54" i="5"/>
  <c r="W54" i="5"/>
  <c r="U54" i="5"/>
  <c r="P54" i="5"/>
  <c r="AB54" i="5"/>
  <c r="AY54" i="5"/>
  <c r="AO54" i="5"/>
  <c r="AZ54" i="5"/>
  <c r="AP54" i="5"/>
  <c r="X54" i="5"/>
  <c r="V54" i="5"/>
  <c r="R54" i="5"/>
  <c r="Q54" i="5"/>
  <c r="BA54" i="5"/>
  <c r="AQ54" i="5"/>
  <c r="AX54" i="5"/>
  <c r="J52" i="5"/>
  <c r="I54" i="5" s="1"/>
  <c r="O54" i="5" s="1"/>
  <c r="H52" i="5"/>
  <c r="E52" i="5"/>
  <c r="BD52" i="5"/>
  <c r="BC52" i="5"/>
  <c r="AF52" i="5"/>
  <c r="AT52" i="5" s="1"/>
  <c r="AD52" i="5"/>
  <c r="AS52" i="5" s="1"/>
  <c r="AE52" i="5"/>
  <c r="AC52" i="5"/>
  <c r="G52" i="5"/>
  <c r="D52" i="5"/>
  <c r="C52" i="5"/>
  <c r="A52" i="5"/>
  <c r="Z51" i="5"/>
  <c r="P51" i="5"/>
  <c r="AY51" i="5"/>
  <c r="AZ51" i="5"/>
  <c r="BA51" i="5"/>
  <c r="AX51" i="5"/>
  <c r="G50" i="5"/>
  <c r="E50" i="5"/>
  <c r="G49" i="5"/>
  <c r="E49" i="5"/>
  <c r="G46" i="5"/>
  <c r="F46" i="5"/>
  <c r="E46" i="5"/>
  <c r="J45" i="5"/>
  <c r="AO51" i="5" s="1"/>
  <c r="H45" i="5"/>
  <c r="L44" i="5"/>
  <c r="W51" i="5" s="1"/>
  <c r="K44" i="5"/>
  <c r="J44" i="5"/>
  <c r="V51" i="5" s="1"/>
  <c r="I44" i="5"/>
  <c r="H44" i="5"/>
  <c r="J43" i="5"/>
  <c r="X51" i="5" s="1"/>
  <c r="I43" i="5"/>
  <c r="H43" i="5"/>
  <c r="L42" i="5"/>
  <c r="U51" i="5" s="1"/>
  <c r="L48" i="5" s="1"/>
  <c r="K42" i="5"/>
  <c r="J42" i="5"/>
  <c r="Q51" i="5" s="1"/>
  <c r="J48" i="5" s="1"/>
  <c r="I42" i="5"/>
  <c r="H42" i="5"/>
  <c r="C41" i="5"/>
  <c r="C40" i="5"/>
  <c r="B40" i="5"/>
  <c r="E39" i="5"/>
  <c r="BD39" i="5"/>
  <c r="BC39" i="5"/>
  <c r="AF39" i="5"/>
  <c r="AD39" i="5"/>
  <c r="AS39" i="5" s="1"/>
  <c r="AE39" i="5"/>
  <c r="AC39" i="5"/>
  <c r="J49" i="5" s="1"/>
  <c r="G39" i="5"/>
  <c r="D39" i="5"/>
  <c r="A39" i="5"/>
  <c r="J30" i="5"/>
  <c r="I30" i="5"/>
  <c r="B13" i="5"/>
  <c r="B11" i="5"/>
  <c r="A2" i="5"/>
  <c r="A1" i="5"/>
  <c r="J375" i="5" l="1"/>
  <c r="L157" i="5"/>
  <c r="AT92" i="5"/>
  <c r="AS133" i="5"/>
  <c r="H47" i="5"/>
  <c r="L374" i="5"/>
  <c r="J373" i="5"/>
  <c r="AS92" i="5"/>
  <c r="H238" i="5"/>
  <c r="L370" i="5"/>
  <c r="J116" i="5"/>
  <c r="L129" i="5"/>
  <c r="AN163" i="5"/>
  <c r="I166" i="5"/>
  <c r="AB166" i="5" s="1"/>
  <c r="AN245" i="5"/>
  <c r="H283" i="5"/>
  <c r="L285" i="5"/>
  <c r="I308" i="5"/>
  <c r="AB308" i="5" s="1"/>
  <c r="L179" i="5"/>
  <c r="L375" i="5"/>
  <c r="AQ68" i="5"/>
  <c r="H115" i="5"/>
  <c r="H156" i="5"/>
  <c r="H256" i="5"/>
  <c r="AP260" i="5"/>
  <c r="L304" i="5"/>
  <c r="AQ340" i="5"/>
  <c r="AO340" i="5"/>
  <c r="O74" i="5"/>
  <c r="AT120" i="5"/>
  <c r="I196" i="5"/>
  <c r="AO196" i="5" s="1"/>
  <c r="AN346" i="5"/>
  <c r="J50" i="5"/>
  <c r="L373" i="5"/>
  <c r="C28" i="5"/>
  <c r="R68" i="5"/>
  <c r="AB88" i="5"/>
  <c r="Q106" i="5"/>
  <c r="J103" i="5" s="1"/>
  <c r="Q147" i="5"/>
  <c r="J144" i="5" s="1"/>
  <c r="X180" i="5"/>
  <c r="AP242" i="5"/>
  <c r="H301" i="5"/>
  <c r="AB74" i="5"/>
  <c r="D28" i="5"/>
  <c r="L85" i="5"/>
  <c r="Q88" i="5"/>
  <c r="J85" i="5" s="1"/>
  <c r="AP106" i="5"/>
  <c r="X193" i="5"/>
  <c r="X274" i="5"/>
  <c r="L177" i="5"/>
  <c r="L372" i="5"/>
  <c r="I26" i="5"/>
  <c r="AP51" i="5"/>
  <c r="AN54" i="5"/>
  <c r="I68" i="5"/>
  <c r="O68" i="5" s="1"/>
  <c r="AS55" i="5"/>
  <c r="H64" i="5"/>
  <c r="L67" i="5"/>
  <c r="AN74" i="5"/>
  <c r="J84" i="5"/>
  <c r="AP88" i="5"/>
  <c r="H128" i="5"/>
  <c r="H143" i="5"/>
  <c r="J143" i="5"/>
  <c r="R147" i="5"/>
  <c r="AB147" i="5"/>
  <c r="AN160" i="5"/>
  <c r="L241" i="5"/>
  <c r="L259" i="5"/>
  <c r="AQ287" i="5"/>
  <c r="H336" i="5"/>
  <c r="I343" i="5"/>
  <c r="AO343" i="5" s="1"/>
  <c r="L367" i="5"/>
  <c r="J64" i="5"/>
  <c r="H84" i="5"/>
  <c r="AT133" i="5"/>
  <c r="AP147" i="5"/>
  <c r="L158" i="5"/>
  <c r="AS291" i="5"/>
  <c r="H316" i="5"/>
  <c r="L317" i="5"/>
  <c r="X320" i="5"/>
  <c r="Q340" i="5"/>
  <c r="J337" i="5" s="1"/>
  <c r="L371" i="5"/>
  <c r="Q160" i="5"/>
  <c r="J157" i="5" s="1"/>
  <c r="L190" i="5"/>
  <c r="J65" i="5"/>
  <c r="AO68" i="5"/>
  <c r="H102" i="5"/>
  <c r="J102" i="5"/>
  <c r="R106" i="5"/>
  <c r="AB106" i="5"/>
  <c r="X132" i="5"/>
  <c r="H176" i="5"/>
  <c r="I183" i="5"/>
  <c r="AB183" i="5" s="1"/>
  <c r="J190" i="5"/>
  <c r="O196" i="5"/>
  <c r="H207" i="5"/>
  <c r="L208" i="5"/>
  <c r="H270" i="5"/>
  <c r="Q287" i="5"/>
  <c r="J284" i="5" s="1"/>
  <c r="AP305" i="5"/>
  <c r="L338" i="5"/>
  <c r="J372" i="5"/>
  <c r="I340" i="5"/>
  <c r="O340" i="5" s="1"/>
  <c r="O323" i="5"/>
  <c r="AO323" i="5"/>
  <c r="AB323" i="5"/>
  <c r="I287" i="5"/>
  <c r="O287" i="5" s="1"/>
  <c r="L284" i="5"/>
  <c r="AT261" i="5"/>
  <c r="I274" i="5"/>
  <c r="O274" i="5" s="1"/>
  <c r="AQ274" i="5"/>
  <c r="AO274" i="5"/>
  <c r="X287" i="5"/>
  <c r="O290" i="5"/>
  <c r="AT309" i="5"/>
  <c r="AN320" i="5"/>
  <c r="Q320" i="5"/>
  <c r="J317" i="5" s="1"/>
  <c r="L318" i="5"/>
  <c r="AN323" i="5"/>
  <c r="I326" i="5"/>
  <c r="X340" i="5"/>
  <c r="AN242" i="5"/>
  <c r="Q242" i="5"/>
  <c r="AB242" i="5"/>
  <c r="L240" i="5"/>
  <c r="AS246" i="5"/>
  <c r="AN260" i="5"/>
  <c r="Q260" i="5"/>
  <c r="J257" i="5" s="1"/>
  <c r="AB260" i="5"/>
  <c r="AT275" i="5"/>
  <c r="AN287" i="5"/>
  <c r="AP287" i="5"/>
  <c r="AB290" i="5"/>
  <c r="AN305" i="5"/>
  <c r="Q305" i="5"/>
  <c r="J302" i="5" s="1"/>
  <c r="AB305" i="5"/>
  <c r="AO308" i="5"/>
  <c r="J316" i="5"/>
  <c r="R320" i="5"/>
  <c r="AN340" i="5"/>
  <c r="AP340" i="5"/>
  <c r="J238" i="5"/>
  <c r="R242" i="5"/>
  <c r="J256" i="5"/>
  <c r="R260" i="5"/>
  <c r="AN274" i="5"/>
  <c r="Q274" i="5"/>
  <c r="J271" i="5" s="1"/>
  <c r="L272" i="5"/>
  <c r="J283" i="5"/>
  <c r="J301" i="5"/>
  <c r="R305" i="5"/>
  <c r="O308" i="5"/>
  <c r="I320" i="5"/>
  <c r="O320" i="5" s="1"/>
  <c r="J336" i="5"/>
  <c r="I242" i="5"/>
  <c r="O242" i="5" s="1"/>
  <c r="I260" i="5"/>
  <c r="O260" i="5" s="1"/>
  <c r="J270" i="5"/>
  <c r="I305" i="5"/>
  <c r="O305" i="5" s="1"/>
  <c r="AT327" i="5"/>
  <c r="AN106" i="5"/>
  <c r="O91" i="5"/>
  <c r="AO91" i="5"/>
  <c r="J47" i="5"/>
  <c r="AN88" i="5"/>
  <c r="L86" i="5"/>
  <c r="AN91" i="5"/>
  <c r="AS107" i="5"/>
  <c r="L117" i="5"/>
  <c r="L116" i="5"/>
  <c r="I193" i="5"/>
  <c r="O193" i="5" s="1"/>
  <c r="AB51" i="5"/>
  <c r="AT75" i="5"/>
  <c r="L87" i="5"/>
  <c r="L118" i="5"/>
  <c r="AT107" i="5"/>
  <c r="AN119" i="5"/>
  <c r="AQ51" i="5"/>
  <c r="I51" i="5"/>
  <c r="O51" i="5" s="1"/>
  <c r="AN51" i="5"/>
  <c r="R51" i="5"/>
  <c r="L49" i="5"/>
  <c r="AT39" i="5"/>
  <c r="L50" i="5"/>
  <c r="I71" i="5"/>
  <c r="AQ88" i="5"/>
  <c r="I88" i="5"/>
  <c r="O88" i="5" s="1"/>
  <c r="AQ119" i="5"/>
  <c r="I119" i="5"/>
  <c r="O119" i="5" s="1"/>
  <c r="R119" i="5"/>
  <c r="J115" i="5"/>
  <c r="X119" i="5"/>
  <c r="AN147" i="5"/>
  <c r="O163" i="5"/>
  <c r="AO163" i="5"/>
  <c r="AB163" i="5"/>
  <c r="AB91" i="5"/>
  <c r="X211" i="5"/>
  <c r="X68" i="5"/>
  <c r="I106" i="5"/>
  <c r="O106" i="5" s="1"/>
  <c r="AN132" i="5"/>
  <c r="Q132" i="5"/>
  <c r="J129" i="5" s="1"/>
  <c r="L130" i="5"/>
  <c r="I147" i="5"/>
  <c r="O147" i="5" s="1"/>
  <c r="J156" i="5"/>
  <c r="R160" i="5"/>
  <c r="O166" i="5"/>
  <c r="AN180" i="5"/>
  <c r="Q180" i="5"/>
  <c r="J177" i="5" s="1"/>
  <c r="AB180" i="5"/>
  <c r="L178" i="5"/>
  <c r="AS184" i="5"/>
  <c r="AN193" i="5"/>
  <c r="AP193" i="5"/>
  <c r="AB196" i="5"/>
  <c r="AS197" i="5"/>
  <c r="AN211" i="5"/>
  <c r="Q211" i="5"/>
  <c r="J208" i="5" s="1"/>
  <c r="AB211" i="5"/>
  <c r="AP160" i="5"/>
  <c r="AO166" i="5"/>
  <c r="AN68" i="5"/>
  <c r="J128" i="5"/>
  <c r="R132" i="5"/>
  <c r="AT148" i="5"/>
  <c r="I160" i="5"/>
  <c r="O160" i="5" s="1"/>
  <c r="J176" i="5"/>
  <c r="R180" i="5"/>
  <c r="AT184" i="5"/>
  <c r="AT197" i="5"/>
  <c r="J207" i="5"/>
  <c r="R211" i="5"/>
  <c r="I132" i="5"/>
  <c r="O132" i="5" s="1"/>
  <c r="I180" i="5"/>
  <c r="O180" i="5" s="1"/>
  <c r="I211" i="5"/>
  <c r="O211" i="5" s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" i="3"/>
  <c r="CY1" i="3"/>
  <c r="CZ1" i="3"/>
  <c r="DA1" i="3"/>
  <c r="DB1" i="3"/>
  <c r="DC1" i="3"/>
  <c r="A2" i="3"/>
  <c r="CY2" i="3"/>
  <c r="CZ2" i="3"/>
  <c r="DB2" i="3" s="1"/>
  <c r="DA2" i="3"/>
  <c r="DC2" i="3"/>
  <c r="A3" i="3"/>
  <c r="CY3" i="3"/>
  <c r="CZ3" i="3"/>
  <c r="DB3" i="3" s="1"/>
  <c r="DA3" i="3"/>
  <c r="DC3" i="3"/>
  <c r="A4" i="3"/>
  <c r="CY4" i="3"/>
  <c r="CZ4" i="3"/>
  <c r="DB4" i="3" s="1"/>
  <c r="DA4" i="3"/>
  <c r="DC4" i="3"/>
  <c r="A5" i="3"/>
  <c r="CY5" i="3"/>
  <c r="CZ5" i="3"/>
  <c r="DA5" i="3"/>
  <c r="DB5" i="3"/>
  <c r="DC5" i="3"/>
  <c r="A6" i="3"/>
  <c r="CY6" i="3"/>
  <c r="CZ6" i="3"/>
  <c r="DA6" i="3"/>
  <c r="DB6" i="3"/>
  <c r="DC6" i="3"/>
  <c r="A7" i="3"/>
  <c r="CY7" i="3"/>
  <c r="CZ7" i="3"/>
  <c r="DB7" i="3" s="1"/>
  <c r="DA7" i="3"/>
  <c r="DC7" i="3"/>
  <c r="A8" i="3"/>
  <c r="CY8" i="3"/>
  <c r="CZ8" i="3"/>
  <c r="DB8" i="3" s="1"/>
  <c r="DA8" i="3"/>
  <c r="DC8" i="3"/>
  <c r="A9" i="3"/>
  <c r="CY9" i="3"/>
  <c r="CZ9" i="3"/>
  <c r="DA9" i="3"/>
  <c r="DB9" i="3"/>
  <c r="DC9" i="3"/>
  <c r="A10" i="3"/>
  <c r="CY10" i="3"/>
  <c r="CZ10" i="3"/>
  <c r="DA10" i="3"/>
  <c r="DB10" i="3"/>
  <c r="DC10" i="3"/>
  <c r="A11" i="3"/>
  <c r="CY11" i="3"/>
  <c r="CZ11" i="3"/>
  <c r="DB11" i="3" s="1"/>
  <c r="DA11" i="3"/>
  <c r="DC11" i="3"/>
  <c r="A12" i="3"/>
  <c r="CY12" i="3"/>
  <c r="CZ12" i="3"/>
  <c r="DB12" i="3" s="1"/>
  <c r="DA12" i="3"/>
  <c r="DC12" i="3"/>
  <c r="A13" i="3"/>
  <c r="CY13" i="3"/>
  <c r="CZ13" i="3"/>
  <c r="DA13" i="3"/>
  <c r="DB13" i="3"/>
  <c r="DC13" i="3"/>
  <c r="A14" i="3"/>
  <c r="CY14" i="3"/>
  <c r="CZ14" i="3"/>
  <c r="DA14" i="3"/>
  <c r="DB14" i="3"/>
  <c r="DC14" i="3"/>
  <c r="A15" i="3"/>
  <c r="CY15" i="3"/>
  <c r="CZ15" i="3"/>
  <c r="DB15" i="3" s="1"/>
  <c r="DA15" i="3"/>
  <c r="DC15" i="3"/>
  <c r="A16" i="3"/>
  <c r="CY16" i="3"/>
  <c r="CZ16" i="3"/>
  <c r="DB16" i="3" s="1"/>
  <c r="DA16" i="3"/>
  <c r="DC16" i="3"/>
  <c r="A17" i="3"/>
  <c r="CY17" i="3"/>
  <c r="CZ17" i="3"/>
  <c r="DA17" i="3"/>
  <c r="DB17" i="3"/>
  <c r="DC17" i="3"/>
  <c r="A18" i="3"/>
  <c r="CY18" i="3"/>
  <c r="CZ18" i="3"/>
  <c r="DA18" i="3"/>
  <c r="DB18" i="3"/>
  <c r="DC18" i="3"/>
  <c r="A19" i="3"/>
  <c r="CY19" i="3"/>
  <c r="CZ19" i="3"/>
  <c r="DB19" i="3" s="1"/>
  <c r="DA19" i="3"/>
  <c r="DC19" i="3"/>
  <c r="A20" i="3"/>
  <c r="CY20" i="3"/>
  <c r="CZ20" i="3"/>
  <c r="DB20" i="3" s="1"/>
  <c r="DA20" i="3"/>
  <c r="DC20" i="3"/>
  <c r="A21" i="3"/>
  <c r="CY21" i="3"/>
  <c r="CZ21" i="3"/>
  <c r="DA21" i="3"/>
  <c r="DB21" i="3"/>
  <c r="DC21" i="3"/>
  <c r="A22" i="3"/>
  <c r="CY22" i="3"/>
  <c r="CZ22" i="3"/>
  <c r="DA22" i="3"/>
  <c r="DB22" i="3"/>
  <c r="DC22" i="3"/>
  <c r="A23" i="3"/>
  <c r="CY23" i="3"/>
  <c r="CZ23" i="3"/>
  <c r="DB23" i="3" s="1"/>
  <c r="DA23" i="3"/>
  <c r="DC23" i="3"/>
  <c r="A24" i="3"/>
  <c r="CY24" i="3"/>
  <c r="CZ24" i="3"/>
  <c r="DB24" i="3" s="1"/>
  <c r="DA24" i="3"/>
  <c r="DC24" i="3"/>
  <c r="A25" i="3"/>
  <c r="CY25" i="3"/>
  <c r="CZ25" i="3"/>
  <c r="DA25" i="3"/>
  <c r="DB25" i="3"/>
  <c r="DC25" i="3"/>
  <c r="A26" i="3"/>
  <c r="CY26" i="3"/>
  <c r="CZ26" i="3"/>
  <c r="DA26" i="3"/>
  <c r="DB26" i="3"/>
  <c r="DC26" i="3"/>
  <c r="A27" i="3"/>
  <c r="CY27" i="3"/>
  <c r="CZ27" i="3"/>
  <c r="DB27" i="3" s="1"/>
  <c r="DA27" i="3"/>
  <c r="DC27" i="3"/>
  <c r="A28" i="3"/>
  <c r="CY28" i="3"/>
  <c r="CZ28" i="3"/>
  <c r="DB28" i="3" s="1"/>
  <c r="DA28" i="3"/>
  <c r="DC28" i="3"/>
  <c r="A29" i="3"/>
  <c r="CY29" i="3"/>
  <c r="CZ29" i="3"/>
  <c r="DA29" i="3"/>
  <c r="DB29" i="3"/>
  <c r="DC29" i="3"/>
  <c r="A30" i="3"/>
  <c r="CY30" i="3"/>
  <c r="CZ30" i="3"/>
  <c r="DA30" i="3"/>
  <c r="DB30" i="3"/>
  <c r="DC30" i="3"/>
  <c r="A31" i="3"/>
  <c r="CY31" i="3"/>
  <c r="CZ31" i="3"/>
  <c r="DB31" i="3" s="1"/>
  <c r="DA31" i="3"/>
  <c r="DC31" i="3"/>
  <c r="A32" i="3"/>
  <c r="CY32" i="3"/>
  <c r="CZ32" i="3"/>
  <c r="DB32" i="3" s="1"/>
  <c r="DA32" i="3"/>
  <c r="DC32" i="3"/>
  <c r="A33" i="3"/>
  <c r="CY33" i="3"/>
  <c r="CZ33" i="3"/>
  <c r="DA33" i="3"/>
  <c r="DB33" i="3"/>
  <c r="DC33" i="3"/>
  <c r="A34" i="3"/>
  <c r="CY34" i="3"/>
  <c r="CZ34" i="3"/>
  <c r="DA34" i="3"/>
  <c r="DB34" i="3"/>
  <c r="DC34" i="3"/>
  <c r="A35" i="3"/>
  <c r="CY35" i="3"/>
  <c r="CZ35" i="3"/>
  <c r="DB35" i="3" s="1"/>
  <c r="DA35" i="3"/>
  <c r="DC35" i="3"/>
  <c r="A36" i="3"/>
  <c r="CY36" i="3"/>
  <c r="CZ36" i="3"/>
  <c r="DB36" i="3" s="1"/>
  <c r="DA36" i="3"/>
  <c r="DC36" i="3"/>
  <c r="A37" i="3"/>
  <c r="CY37" i="3"/>
  <c r="CZ37" i="3"/>
  <c r="DA37" i="3"/>
  <c r="DB37" i="3"/>
  <c r="DC37" i="3"/>
  <c r="A38" i="3"/>
  <c r="CY38" i="3"/>
  <c r="CZ38" i="3"/>
  <c r="DA38" i="3"/>
  <c r="DB38" i="3"/>
  <c r="DC38" i="3"/>
  <c r="A39" i="3"/>
  <c r="CY39" i="3"/>
  <c r="CZ39" i="3"/>
  <c r="DB39" i="3" s="1"/>
  <c r="DA39" i="3"/>
  <c r="DC39" i="3"/>
  <c r="A40" i="3"/>
  <c r="CY40" i="3"/>
  <c r="CZ40" i="3"/>
  <c r="DB40" i="3" s="1"/>
  <c r="DA40" i="3"/>
  <c r="DC40" i="3"/>
  <c r="A41" i="3"/>
  <c r="CY41" i="3"/>
  <c r="CZ41" i="3"/>
  <c r="DA41" i="3"/>
  <c r="DB41" i="3"/>
  <c r="DC41" i="3"/>
  <c r="A42" i="3"/>
  <c r="CY42" i="3"/>
  <c r="CZ42" i="3"/>
  <c r="DA42" i="3"/>
  <c r="DB42" i="3"/>
  <c r="DC42" i="3"/>
  <c r="A43" i="3"/>
  <c r="CY43" i="3"/>
  <c r="CZ43" i="3"/>
  <c r="DB43" i="3" s="1"/>
  <c r="DA43" i="3"/>
  <c r="DC43" i="3"/>
  <c r="A44" i="3"/>
  <c r="CY44" i="3"/>
  <c r="CZ44" i="3"/>
  <c r="DB44" i="3" s="1"/>
  <c r="DA44" i="3"/>
  <c r="DC44" i="3"/>
  <c r="A45" i="3"/>
  <c r="CY45" i="3"/>
  <c r="CZ45" i="3"/>
  <c r="DA45" i="3"/>
  <c r="DB45" i="3"/>
  <c r="DC45" i="3"/>
  <c r="A46" i="3"/>
  <c r="CY46" i="3"/>
  <c r="CZ46" i="3"/>
  <c r="DA46" i="3"/>
  <c r="DB46" i="3"/>
  <c r="DC46" i="3"/>
  <c r="A47" i="3"/>
  <c r="CY47" i="3"/>
  <c r="CZ47" i="3"/>
  <c r="DB47" i="3" s="1"/>
  <c r="DA47" i="3"/>
  <c r="DC47" i="3"/>
  <c r="A48" i="3"/>
  <c r="CY48" i="3"/>
  <c r="CZ48" i="3"/>
  <c r="DB48" i="3" s="1"/>
  <c r="DA48" i="3"/>
  <c r="DC48" i="3"/>
  <c r="A49" i="3"/>
  <c r="CY49" i="3"/>
  <c r="CZ49" i="3"/>
  <c r="DA49" i="3"/>
  <c r="DB49" i="3"/>
  <c r="DC49" i="3"/>
  <c r="A50" i="3"/>
  <c r="CY50" i="3"/>
  <c r="CZ50" i="3"/>
  <c r="DA50" i="3"/>
  <c r="DB50" i="3"/>
  <c r="DC50" i="3"/>
  <c r="A51" i="3"/>
  <c r="CY51" i="3"/>
  <c r="CZ51" i="3"/>
  <c r="DB51" i="3" s="1"/>
  <c r="DA51" i="3"/>
  <c r="DC51" i="3"/>
  <c r="A52" i="3"/>
  <c r="CY52" i="3"/>
  <c r="CZ52" i="3"/>
  <c r="DB52" i="3" s="1"/>
  <c r="DA52" i="3"/>
  <c r="DC52" i="3"/>
  <c r="A53" i="3"/>
  <c r="CY53" i="3"/>
  <c r="CZ53" i="3"/>
  <c r="DA53" i="3"/>
  <c r="DB53" i="3"/>
  <c r="DC53" i="3"/>
  <c r="A54" i="3"/>
  <c r="CY54" i="3"/>
  <c r="CZ54" i="3"/>
  <c r="DA54" i="3"/>
  <c r="DB54" i="3"/>
  <c r="DC54" i="3"/>
  <c r="A55" i="3"/>
  <c r="CY55" i="3"/>
  <c r="CZ55" i="3"/>
  <c r="DB55" i="3" s="1"/>
  <c r="DA55" i="3"/>
  <c r="DC55" i="3"/>
  <c r="A56" i="3"/>
  <c r="CY56" i="3"/>
  <c r="CZ56" i="3"/>
  <c r="DB56" i="3" s="1"/>
  <c r="DA56" i="3"/>
  <c r="DC56" i="3"/>
  <c r="A57" i="3"/>
  <c r="CY57" i="3"/>
  <c r="CZ57" i="3"/>
  <c r="DA57" i="3"/>
  <c r="DB57" i="3"/>
  <c r="DC57" i="3"/>
  <c r="A58" i="3"/>
  <c r="CY58" i="3"/>
  <c r="CZ58" i="3"/>
  <c r="DA58" i="3"/>
  <c r="DB58" i="3"/>
  <c r="DC58" i="3"/>
  <c r="A59" i="3"/>
  <c r="CY59" i="3"/>
  <c r="CZ59" i="3"/>
  <c r="DB59" i="3" s="1"/>
  <c r="DA59" i="3"/>
  <c r="DC59" i="3"/>
  <c r="A60" i="3"/>
  <c r="CY60" i="3"/>
  <c r="CZ60" i="3"/>
  <c r="DB60" i="3" s="1"/>
  <c r="DA60" i="3"/>
  <c r="DC60" i="3"/>
  <c r="A61" i="3"/>
  <c r="CY61" i="3"/>
  <c r="CZ61" i="3"/>
  <c r="DA61" i="3"/>
  <c r="DB61" i="3"/>
  <c r="DC61" i="3"/>
  <c r="A62" i="3"/>
  <c r="CY62" i="3"/>
  <c r="CZ62" i="3"/>
  <c r="DA62" i="3"/>
  <c r="DB62" i="3"/>
  <c r="DC62" i="3"/>
  <c r="A63" i="3"/>
  <c r="CY63" i="3"/>
  <c r="CZ63" i="3"/>
  <c r="DB63" i="3" s="1"/>
  <c r="DA63" i="3"/>
  <c r="DC63" i="3"/>
  <c r="A64" i="3"/>
  <c r="CY64" i="3"/>
  <c r="CZ64" i="3"/>
  <c r="DB64" i="3" s="1"/>
  <c r="DA64" i="3"/>
  <c r="DC64" i="3"/>
  <c r="A65" i="3"/>
  <c r="CY65" i="3"/>
  <c r="CZ65" i="3"/>
  <c r="DA65" i="3"/>
  <c r="DB65" i="3"/>
  <c r="DC65" i="3"/>
  <c r="A66" i="3"/>
  <c r="CY66" i="3"/>
  <c r="CZ66" i="3"/>
  <c r="DA66" i="3"/>
  <c r="DB66" i="3"/>
  <c r="DC66" i="3"/>
  <c r="A67" i="3"/>
  <c r="CY67" i="3"/>
  <c r="CZ67" i="3"/>
  <c r="DB67" i="3" s="1"/>
  <c r="DA67" i="3"/>
  <c r="DC67" i="3"/>
  <c r="A68" i="3"/>
  <c r="CY68" i="3"/>
  <c r="CZ68" i="3"/>
  <c r="DB68" i="3" s="1"/>
  <c r="DA68" i="3"/>
  <c r="DC68" i="3"/>
  <c r="A69" i="3"/>
  <c r="CY69" i="3"/>
  <c r="CZ69" i="3"/>
  <c r="DA69" i="3"/>
  <c r="DB69" i="3"/>
  <c r="DC69" i="3"/>
  <c r="A70" i="3"/>
  <c r="CY70" i="3"/>
  <c r="CZ70" i="3"/>
  <c r="DA70" i="3"/>
  <c r="DB70" i="3"/>
  <c r="DC70" i="3"/>
  <c r="A71" i="3"/>
  <c r="CY71" i="3"/>
  <c r="CZ71" i="3"/>
  <c r="DB71" i="3" s="1"/>
  <c r="DA71" i="3"/>
  <c r="DC71" i="3"/>
  <c r="A72" i="3"/>
  <c r="CY72" i="3"/>
  <c r="CZ72" i="3"/>
  <c r="DB72" i="3" s="1"/>
  <c r="DA72" i="3"/>
  <c r="DC72" i="3"/>
  <c r="A73" i="3"/>
  <c r="CY73" i="3"/>
  <c r="CZ73" i="3"/>
  <c r="DA73" i="3"/>
  <c r="DB73" i="3"/>
  <c r="DC73" i="3"/>
  <c r="A74" i="3"/>
  <c r="CY74" i="3"/>
  <c r="CZ74" i="3"/>
  <c r="DA74" i="3"/>
  <c r="DB74" i="3"/>
  <c r="DC74" i="3"/>
  <c r="A75" i="3"/>
  <c r="CY75" i="3"/>
  <c r="CZ75" i="3"/>
  <c r="DB75" i="3" s="1"/>
  <c r="DA75" i="3"/>
  <c r="DC75" i="3"/>
  <c r="A76" i="3"/>
  <c r="CY76" i="3"/>
  <c r="CZ76" i="3"/>
  <c r="DB76" i="3" s="1"/>
  <c r="DA76" i="3"/>
  <c r="DC76" i="3"/>
  <c r="A77" i="3"/>
  <c r="CY77" i="3"/>
  <c r="CZ77" i="3"/>
  <c r="DA77" i="3"/>
  <c r="DB77" i="3"/>
  <c r="DC77" i="3"/>
  <c r="A78" i="3"/>
  <c r="CY78" i="3"/>
  <c r="CZ78" i="3"/>
  <c r="DA78" i="3"/>
  <c r="DB78" i="3"/>
  <c r="DC78" i="3"/>
  <c r="A79" i="3"/>
  <c r="CY79" i="3"/>
  <c r="CZ79" i="3"/>
  <c r="DB79" i="3" s="1"/>
  <c r="DA79" i="3"/>
  <c r="DC79" i="3"/>
  <c r="A80" i="3"/>
  <c r="CY80" i="3"/>
  <c r="CZ80" i="3"/>
  <c r="DB80" i="3" s="1"/>
  <c r="DA80" i="3"/>
  <c r="DC80" i="3"/>
  <c r="A81" i="3"/>
  <c r="CY81" i="3"/>
  <c r="CZ81" i="3"/>
  <c r="DA81" i="3"/>
  <c r="DB81" i="3"/>
  <c r="DC81" i="3"/>
  <c r="A82" i="3"/>
  <c r="CY82" i="3"/>
  <c r="CZ82" i="3"/>
  <c r="DA82" i="3"/>
  <c r="DB82" i="3"/>
  <c r="DC82" i="3"/>
  <c r="A83" i="3"/>
  <c r="CY83" i="3"/>
  <c r="CZ83" i="3"/>
  <c r="DB83" i="3" s="1"/>
  <c r="DA83" i="3"/>
  <c r="DC83" i="3"/>
  <c r="A84" i="3"/>
  <c r="CY84" i="3"/>
  <c r="CZ84" i="3"/>
  <c r="DB84" i="3" s="1"/>
  <c r="DA84" i="3"/>
  <c r="DC84" i="3"/>
  <c r="A85" i="3"/>
  <c r="CY85" i="3"/>
  <c r="CZ85" i="3"/>
  <c r="DA85" i="3"/>
  <c r="DB85" i="3"/>
  <c r="DC85" i="3"/>
  <c r="A86" i="3"/>
  <c r="CY86" i="3"/>
  <c r="CZ86" i="3"/>
  <c r="DA86" i="3"/>
  <c r="DB86" i="3"/>
  <c r="DC86" i="3"/>
  <c r="A87" i="3"/>
  <c r="CY87" i="3"/>
  <c r="CZ87" i="3"/>
  <c r="DB87" i="3" s="1"/>
  <c r="DA87" i="3"/>
  <c r="DC87" i="3"/>
  <c r="A88" i="3"/>
  <c r="CY88" i="3"/>
  <c r="CZ88" i="3"/>
  <c r="DB88" i="3" s="1"/>
  <c r="DA88" i="3"/>
  <c r="DC88" i="3"/>
  <c r="A89" i="3"/>
  <c r="CY89" i="3"/>
  <c r="CZ89" i="3"/>
  <c r="DA89" i="3"/>
  <c r="DB89" i="3"/>
  <c r="DC89" i="3"/>
  <c r="A90" i="3"/>
  <c r="CY90" i="3"/>
  <c r="CZ90" i="3"/>
  <c r="DA90" i="3"/>
  <c r="DB90" i="3"/>
  <c r="DC90" i="3"/>
  <c r="A91" i="3"/>
  <c r="CY91" i="3"/>
  <c r="CZ91" i="3"/>
  <c r="DB91" i="3" s="1"/>
  <c r="DA91" i="3"/>
  <c r="DC91" i="3"/>
  <c r="A92" i="3"/>
  <c r="CY92" i="3"/>
  <c r="CZ92" i="3"/>
  <c r="DB92" i="3" s="1"/>
  <c r="DA92" i="3"/>
  <c r="DC92" i="3"/>
  <c r="A93" i="3"/>
  <c r="CY93" i="3"/>
  <c r="CZ93" i="3"/>
  <c r="DA93" i="3"/>
  <c r="DB93" i="3"/>
  <c r="DC93" i="3"/>
  <c r="A94" i="3"/>
  <c r="CY94" i="3"/>
  <c r="CZ94" i="3"/>
  <c r="DA94" i="3"/>
  <c r="DB94" i="3"/>
  <c r="DC94" i="3"/>
  <c r="A95" i="3"/>
  <c r="CY95" i="3"/>
  <c r="CZ95" i="3"/>
  <c r="DB95" i="3" s="1"/>
  <c r="DA95" i="3"/>
  <c r="DC95" i="3"/>
  <c r="A96" i="3"/>
  <c r="CY96" i="3"/>
  <c r="CZ96" i="3"/>
  <c r="DB96" i="3" s="1"/>
  <c r="DA96" i="3"/>
  <c r="DC96" i="3"/>
  <c r="A97" i="3"/>
  <c r="CY97" i="3"/>
  <c r="CZ97" i="3"/>
  <c r="DA97" i="3"/>
  <c r="DB97" i="3"/>
  <c r="DC97" i="3"/>
  <c r="A98" i="3"/>
  <c r="CY98" i="3"/>
  <c r="CZ98" i="3"/>
  <c r="DA98" i="3"/>
  <c r="DB98" i="3"/>
  <c r="DC98" i="3"/>
  <c r="A99" i="3"/>
  <c r="CY99" i="3"/>
  <c r="CZ99" i="3"/>
  <c r="DB99" i="3" s="1"/>
  <c r="DA99" i="3"/>
  <c r="DC99" i="3"/>
  <c r="A100" i="3"/>
  <c r="CY100" i="3"/>
  <c r="CZ100" i="3"/>
  <c r="DB100" i="3" s="1"/>
  <c r="DA100" i="3"/>
  <c r="DC100" i="3"/>
  <c r="A101" i="3"/>
  <c r="CY101" i="3"/>
  <c r="CZ101" i="3"/>
  <c r="DA101" i="3"/>
  <c r="DB101" i="3"/>
  <c r="DC101" i="3"/>
  <c r="A102" i="3"/>
  <c r="CY102" i="3"/>
  <c r="CZ102" i="3"/>
  <c r="DA102" i="3"/>
  <c r="DB102" i="3"/>
  <c r="DC102" i="3"/>
  <c r="A103" i="3"/>
  <c r="CY103" i="3"/>
  <c r="CZ103" i="3"/>
  <c r="DB103" i="3" s="1"/>
  <c r="DA103" i="3"/>
  <c r="DC103" i="3"/>
  <c r="A104" i="3"/>
  <c r="CY104" i="3"/>
  <c r="CZ104" i="3"/>
  <c r="DB104" i="3" s="1"/>
  <c r="DA104" i="3"/>
  <c r="DC104" i="3"/>
  <c r="A105" i="3"/>
  <c r="CY105" i="3"/>
  <c r="CZ105" i="3"/>
  <c r="DA105" i="3"/>
  <c r="DB105" i="3"/>
  <c r="DC105" i="3"/>
  <c r="A106" i="3"/>
  <c r="CY106" i="3"/>
  <c r="CZ106" i="3"/>
  <c r="DA106" i="3"/>
  <c r="DB106" i="3"/>
  <c r="DC106" i="3"/>
  <c r="A107" i="3"/>
  <c r="CY107" i="3"/>
  <c r="CZ107" i="3"/>
  <c r="DB107" i="3" s="1"/>
  <c r="DA107" i="3"/>
  <c r="DC107" i="3"/>
  <c r="A108" i="3"/>
  <c r="CY108" i="3"/>
  <c r="CZ108" i="3"/>
  <c r="DB108" i="3" s="1"/>
  <c r="DA108" i="3"/>
  <c r="DC108" i="3"/>
  <c r="A109" i="3"/>
  <c r="CY109" i="3"/>
  <c r="CZ109" i="3"/>
  <c r="DA109" i="3"/>
  <c r="DB109" i="3"/>
  <c r="DC109" i="3"/>
  <c r="A110" i="3"/>
  <c r="CY110" i="3"/>
  <c r="CZ110" i="3"/>
  <c r="DA110" i="3"/>
  <c r="DB110" i="3"/>
  <c r="DC110" i="3"/>
  <c r="A111" i="3"/>
  <c r="CY111" i="3"/>
  <c r="CZ111" i="3"/>
  <c r="DB111" i="3" s="1"/>
  <c r="DA111" i="3"/>
  <c r="DC111" i="3"/>
  <c r="A112" i="3"/>
  <c r="CY112" i="3"/>
  <c r="CZ112" i="3"/>
  <c r="DB112" i="3" s="1"/>
  <c r="DA112" i="3"/>
  <c r="DC112" i="3"/>
  <c r="A113" i="3"/>
  <c r="CY113" i="3"/>
  <c r="CZ113" i="3"/>
  <c r="DA113" i="3"/>
  <c r="DB113" i="3"/>
  <c r="DC113" i="3"/>
  <c r="A114" i="3"/>
  <c r="CY114" i="3"/>
  <c r="CZ114" i="3"/>
  <c r="DA114" i="3"/>
  <c r="DB114" i="3"/>
  <c r="DC114" i="3"/>
  <c r="A115" i="3"/>
  <c r="CY115" i="3"/>
  <c r="CZ115" i="3"/>
  <c r="DB115" i="3" s="1"/>
  <c r="DA115" i="3"/>
  <c r="DC115" i="3"/>
  <c r="A116" i="3"/>
  <c r="CY116" i="3"/>
  <c r="CZ116" i="3"/>
  <c r="DB116" i="3" s="1"/>
  <c r="DA116" i="3"/>
  <c r="DC116" i="3"/>
  <c r="A117" i="3"/>
  <c r="CY117" i="3"/>
  <c r="CZ117" i="3"/>
  <c r="DA117" i="3"/>
  <c r="DB117" i="3"/>
  <c r="DC117" i="3"/>
  <c r="A118" i="3"/>
  <c r="CY118" i="3"/>
  <c r="CZ118" i="3"/>
  <c r="DA118" i="3"/>
  <c r="DB118" i="3"/>
  <c r="DC118" i="3"/>
  <c r="A119" i="3"/>
  <c r="CY119" i="3"/>
  <c r="CZ119" i="3"/>
  <c r="DB119" i="3" s="1"/>
  <c r="DA119" i="3"/>
  <c r="DC119" i="3"/>
  <c r="A120" i="3"/>
  <c r="CY120" i="3"/>
  <c r="CZ120" i="3"/>
  <c r="DB120" i="3" s="1"/>
  <c r="DA120" i="3"/>
  <c r="DC120" i="3"/>
  <c r="A121" i="3"/>
  <c r="CY121" i="3"/>
  <c r="CZ121" i="3"/>
  <c r="DA121" i="3"/>
  <c r="DB121" i="3"/>
  <c r="DC121" i="3"/>
  <c r="A122" i="3"/>
  <c r="CY122" i="3"/>
  <c r="CZ122" i="3"/>
  <c r="DA122" i="3"/>
  <c r="DB122" i="3"/>
  <c r="DC122" i="3"/>
  <c r="A123" i="3"/>
  <c r="CY123" i="3"/>
  <c r="CZ123" i="3"/>
  <c r="DB123" i="3" s="1"/>
  <c r="DA123" i="3"/>
  <c r="DC123" i="3"/>
  <c r="A124" i="3"/>
  <c r="CY124" i="3"/>
  <c r="CZ124" i="3"/>
  <c r="DB124" i="3" s="1"/>
  <c r="DA124" i="3"/>
  <c r="DC124" i="3"/>
  <c r="A125" i="3"/>
  <c r="CY125" i="3"/>
  <c r="CZ125" i="3"/>
  <c r="DA125" i="3"/>
  <c r="DB125" i="3"/>
  <c r="DC125" i="3"/>
  <c r="A126" i="3"/>
  <c r="CY126" i="3"/>
  <c r="CZ126" i="3"/>
  <c r="DA126" i="3"/>
  <c r="DB126" i="3"/>
  <c r="DC126" i="3"/>
  <c r="A127" i="3"/>
  <c r="CY127" i="3"/>
  <c r="CZ127" i="3"/>
  <c r="DB127" i="3" s="1"/>
  <c r="DA127" i="3"/>
  <c r="DC127" i="3"/>
  <c r="A128" i="3"/>
  <c r="CY128" i="3"/>
  <c r="CZ128" i="3"/>
  <c r="DB128" i="3" s="1"/>
  <c r="DA128" i="3"/>
  <c r="DC128" i="3"/>
  <c r="A129" i="3"/>
  <c r="CY129" i="3"/>
  <c r="CZ129" i="3"/>
  <c r="DA129" i="3"/>
  <c r="DB129" i="3"/>
  <c r="DC129" i="3"/>
  <c r="A130" i="3"/>
  <c r="CY130" i="3"/>
  <c r="CZ130" i="3"/>
  <c r="DA130" i="3"/>
  <c r="DB130" i="3"/>
  <c r="DC130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G18" i="1"/>
  <c r="EH18" i="1"/>
  <c r="EI18" i="1"/>
  <c r="EJ18" i="1"/>
  <c r="EK18" i="1"/>
  <c r="EL18" i="1"/>
  <c r="EM18" i="1"/>
  <c r="EN18" i="1"/>
  <c r="EO18" i="1"/>
  <c r="EP18" i="1"/>
  <c r="EQ18" i="1"/>
  <c r="ER18" i="1"/>
  <c r="ES18" i="1"/>
  <c r="ET18" i="1"/>
  <c r="EU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G22" i="1"/>
  <c r="EH22" i="1"/>
  <c r="EI22" i="1"/>
  <c r="EJ22" i="1"/>
  <c r="EK22" i="1"/>
  <c r="EL22" i="1"/>
  <c r="EM22" i="1"/>
  <c r="EN22" i="1"/>
  <c r="EO22" i="1"/>
  <c r="EP22" i="1"/>
  <c r="EQ22" i="1"/>
  <c r="ER22" i="1"/>
  <c r="ES22" i="1"/>
  <c r="ET22" i="1"/>
  <c r="EU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FP22" i="1"/>
  <c r="FQ22" i="1"/>
  <c r="FR22" i="1"/>
  <c r="FS22" i="1"/>
  <c r="FT22" i="1"/>
  <c r="FU22" i="1"/>
  <c r="FV22" i="1"/>
  <c r="FW22" i="1"/>
  <c r="FX22" i="1"/>
  <c r="FY22" i="1"/>
  <c r="FZ22" i="1"/>
  <c r="GA22" i="1"/>
  <c r="GB22" i="1"/>
  <c r="GC22" i="1"/>
  <c r="GD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D24" i="1"/>
  <c r="E26" i="1"/>
  <c r="Z26" i="1"/>
  <c r="AA26" i="1"/>
  <c r="AM26" i="1"/>
  <c r="AN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DG26" i="1"/>
  <c r="DH26" i="1"/>
  <c r="DI26" i="1"/>
  <c r="DJ26" i="1"/>
  <c r="DK26" i="1"/>
  <c r="DL26" i="1"/>
  <c r="DM26" i="1"/>
  <c r="DN26" i="1"/>
  <c r="DO26" i="1"/>
  <c r="DP26" i="1"/>
  <c r="DQ26" i="1"/>
  <c r="DR26" i="1"/>
  <c r="DS26" i="1"/>
  <c r="DT26" i="1"/>
  <c r="DU26" i="1"/>
  <c r="DV26" i="1"/>
  <c r="DW26" i="1"/>
  <c r="DX26" i="1"/>
  <c r="DY26" i="1"/>
  <c r="DZ26" i="1"/>
  <c r="EA26" i="1"/>
  <c r="EB26" i="1"/>
  <c r="EC26" i="1"/>
  <c r="ED26" i="1"/>
  <c r="EE26" i="1"/>
  <c r="EF26" i="1"/>
  <c r="EG26" i="1"/>
  <c r="EH26" i="1"/>
  <c r="EI26" i="1"/>
  <c r="EJ26" i="1"/>
  <c r="EK26" i="1"/>
  <c r="EL26" i="1"/>
  <c r="EM26" i="1"/>
  <c r="EN26" i="1"/>
  <c r="EO26" i="1"/>
  <c r="EP26" i="1"/>
  <c r="EQ26" i="1"/>
  <c r="ER26" i="1"/>
  <c r="ES26" i="1"/>
  <c r="ET26" i="1"/>
  <c r="EU26" i="1"/>
  <c r="EV26" i="1"/>
  <c r="EW26" i="1"/>
  <c r="EX26" i="1"/>
  <c r="EY26" i="1"/>
  <c r="EZ26" i="1"/>
  <c r="FA26" i="1"/>
  <c r="FB26" i="1"/>
  <c r="FC26" i="1"/>
  <c r="FD26" i="1"/>
  <c r="FE26" i="1"/>
  <c r="FF26" i="1"/>
  <c r="FG26" i="1"/>
  <c r="FH26" i="1"/>
  <c r="FI26" i="1"/>
  <c r="FJ26" i="1"/>
  <c r="FK26" i="1"/>
  <c r="FL26" i="1"/>
  <c r="FM26" i="1"/>
  <c r="FN26" i="1"/>
  <c r="FO26" i="1"/>
  <c r="FP26" i="1"/>
  <c r="FQ26" i="1"/>
  <c r="FR26" i="1"/>
  <c r="FS26" i="1"/>
  <c r="FT26" i="1"/>
  <c r="FU26" i="1"/>
  <c r="FV26" i="1"/>
  <c r="FW26" i="1"/>
  <c r="FX26" i="1"/>
  <c r="FY26" i="1"/>
  <c r="FZ26" i="1"/>
  <c r="GA26" i="1"/>
  <c r="GB26" i="1"/>
  <c r="GC26" i="1"/>
  <c r="GD26" i="1"/>
  <c r="GE26" i="1"/>
  <c r="GF26" i="1"/>
  <c r="GG26" i="1"/>
  <c r="GH26" i="1"/>
  <c r="GI26" i="1"/>
  <c r="GJ26" i="1"/>
  <c r="GK26" i="1"/>
  <c r="GL26" i="1"/>
  <c r="GM26" i="1"/>
  <c r="GN26" i="1"/>
  <c r="GO26" i="1"/>
  <c r="GP26" i="1"/>
  <c r="GQ26" i="1"/>
  <c r="GR26" i="1"/>
  <c r="GS26" i="1"/>
  <c r="GT26" i="1"/>
  <c r="GU26" i="1"/>
  <c r="GV26" i="1"/>
  <c r="GW26" i="1"/>
  <c r="GX26" i="1"/>
  <c r="C28" i="1"/>
  <c r="D28" i="1"/>
  <c r="I28" i="1"/>
  <c r="K28" i="1"/>
  <c r="AC28" i="1"/>
  <c r="AE28" i="1"/>
  <c r="AF28" i="1"/>
  <c r="CT28" i="1" s="1"/>
  <c r="AG28" i="1"/>
  <c r="AH28" i="1"/>
  <c r="AI28" i="1"/>
  <c r="CW28" i="1" s="1"/>
  <c r="AJ28" i="1"/>
  <c r="CX28" i="1" s="1"/>
  <c r="CQ28" i="1"/>
  <c r="P28" i="1" s="1"/>
  <c r="CU28" i="1"/>
  <c r="CV28" i="1"/>
  <c r="U28" i="1" s="1"/>
  <c r="FR28" i="1"/>
  <c r="GL28" i="1"/>
  <c r="GO28" i="1"/>
  <c r="GP28" i="1"/>
  <c r="GV28" i="1"/>
  <c r="HC28" i="1"/>
  <c r="I29" i="1"/>
  <c r="K29" i="1"/>
  <c r="O29" i="1"/>
  <c r="P29" i="1"/>
  <c r="Q29" i="1"/>
  <c r="R29" i="1"/>
  <c r="S29" i="1"/>
  <c r="HJ29" i="1" s="1"/>
  <c r="T29" i="1"/>
  <c r="U29" i="1"/>
  <c r="V29" i="1"/>
  <c r="W29" i="1"/>
  <c r="X29" i="1"/>
  <c r="Y29" i="1"/>
  <c r="AB29" i="1"/>
  <c r="AC29" i="1"/>
  <c r="AD29" i="1"/>
  <c r="AE29" i="1"/>
  <c r="AF29" i="1"/>
  <c r="AG29" i="1"/>
  <c r="AH29" i="1"/>
  <c r="AI29" i="1"/>
  <c r="AJ29" i="1"/>
  <c r="CP29" i="1"/>
  <c r="FR29" i="1"/>
  <c r="GL29" i="1"/>
  <c r="GO29" i="1"/>
  <c r="GP29" i="1"/>
  <c r="GV29" i="1"/>
  <c r="GX29" i="1"/>
  <c r="HI29" i="1"/>
  <c r="C30" i="1"/>
  <c r="D30" i="1"/>
  <c r="I30" i="1"/>
  <c r="K30" i="1"/>
  <c r="T30" i="1"/>
  <c r="AC30" i="1"/>
  <c r="AD30" i="1"/>
  <c r="AE30" i="1"/>
  <c r="CS30" i="1" s="1"/>
  <c r="R30" i="1" s="1"/>
  <c r="HI30" i="1" s="1"/>
  <c r="AF30" i="1"/>
  <c r="CT30" i="1" s="1"/>
  <c r="S30" i="1" s="1"/>
  <c r="CZ30" i="1" s="1"/>
  <c r="Y30" i="1" s="1"/>
  <c r="AG30" i="1"/>
  <c r="AH30" i="1"/>
  <c r="CV30" i="1" s="1"/>
  <c r="U30" i="1" s="1"/>
  <c r="AI30" i="1"/>
  <c r="CW30" i="1" s="1"/>
  <c r="V30" i="1" s="1"/>
  <c r="AJ30" i="1"/>
  <c r="CX30" i="1" s="1"/>
  <c r="W30" i="1" s="1"/>
  <c r="CQ30" i="1"/>
  <c r="P30" i="1" s="1"/>
  <c r="CU30" i="1"/>
  <c r="FR30" i="1"/>
  <c r="GL30" i="1"/>
  <c r="GO30" i="1"/>
  <c r="GP30" i="1"/>
  <c r="GV30" i="1"/>
  <c r="HC30" i="1" s="1"/>
  <c r="GX30" i="1" s="1"/>
  <c r="I31" i="1"/>
  <c r="K31" i="1"/>
  <c r="R31" i="1"/>
  <c r="HI31" i="1" s="1"/>
  <c r="AC31" i="1"/>
  <c r="CQ31" i="1" s="1"/>
  <c r="P31" i="1" s="1"/>
  <c r="AD31" i="1"/>
  <c r="CR31" i="1" s="1"/>
  <c r="Q31" i="1" s="1"/>
  <c r="AE31" i="1"/>
  <c r="AF31" i="1"/>
  <c r="CT31" i="1" s="1"/>
  <c r="S31" i="1" s="1"/>
  <c r="AG31" i="1"/>
  <c r="CU31" i="1" s="1"/>
  <c r="T31" i="1" s="1"/>
  <c r="AH31" i="1"/>
  <c r="CV31" i="1" s="1"/>
  <c r="U31" i="1" s="1"/>
  <c r="AI31" i="1"/>
  <c r="AJ31" i="1"/>
  <c r="CX31" i="1" s="1"/>
  <c r="W31" i="1" s="1"/>
  <c r="CS31" i="1"/>
  <c r="CW31" i="1"/>
  <c r="V31" i="1" s="1"/>
  <c r="FR31" i="1"/>
  <c r="GL31" i="1"/>
  <c r="GO31" i="1"/>
  <c r="GP31" i="1"/>
  <c r="GV31" i="1"/>
  <c r="HC31" i="1"/>
  <c r="GX31" i="1" s="1"/>
  <c r="I32" i="1"/>
  <c r="K32" i="1"/>
  <c r="P32" i="1"/>
  <c r="T32" i="1"/>
  <c r="AC32" i="1"/>
  <c r="AD32" i="1"/>
  <c r="AE32" i="1"/>
  <c r="CS32" i="1" s="1"/>
  <c r="R32" i="1" s="1"/>
  <c r="HI32" i="1" s="1"/>
  <c r="AF32" i="1"/>
  <c r="CT32" i="1" s="1"/>
  <c r="S32" i="1" s="1"/>
  <c r="AG32" i="1"/>
  <c r="AH32" i="1"/>
  <c r="CV32" i="1" s="1"/>
  <c r="U32" i="1" s="1"/>
  <c r="AI32" i="1"/>
  <c r="CW32" i="1" s="1"/>
  <c r="V32" i="1" s="1"/>
  <c r="AJ32" i="1"/>
  <c r="CX32" i="1" s="1"/>
  <c r="W32" i="1" s="1"/>
  <c r="CQ32" i="1"/>
  <c r="CU32" i="1"/>
  <c r="FR32" i="1"/>
  <c r="GL32" i="1"/>
  <c r="GO32" i="1"/>
  <c r="GP32" i="1"/>
  <c r="GV32" i="1"/>
  <c r="HC32" i="1" s="1"/>
  <c r="GX32" i="1" s="1"/>
  <c r="C33" i="1"/>
  <c r="D33" i="1"/>
  <c r="I33" i="1"/>
  <c r="I34" i="1" s="1"/>
  <c r="K33" i="1"/>
  <c r="P33" i="1"/>
  <c r="AC33" i="1"/>
  <c r="AE33" i="1"/>
  <c r="CS33" i="1" s="1"/>
  <c r="R33" i="1" s="1"/>
  <c r="HI33" i="1" s="1"/>
  <c r="AF33" i="1"/>
  <c r="CT33" i="1" s="1"/>
  <c r="S33" i="1" s="1"/>
  <c r="AG33" i="1"/>
  <c r="AH33" i="1"/>
  <c r="AI33" i="1"/>
  <c r="CW33" i="1" s="1"/>
  <c r="V33" i="1" s="1"/>
  <c r="AJ33" i="1"/>
  <c r="CX33" i="1" s="1"/>
  <c r="W33" i="1" s="1"/>
  <c r="CQ33" i="1"/>
  <c r="CU33" i="1"/>
  <c r="T33" i="1" s="1"/>
  <c r="CV33" i="1"/>
  <c r="U33" i="1" s="1"/>
  <c r="FR33" i="1"/>
  <c r="GL33" i="1"/>
  <c r="GO33" i="1"/>
  <c r="GP33" i="1"/>
  <c r="GV33" i="1"/>
  <c r="HC33" i="1" s="1"/>
  <c r="GX33" i="1"/>
  <c r="S34" i="1"/>
  <c r="CZ34" i="1" s="1"/>
  <c r="Y34" i="1" s="1"/>
  <c r="T34" i="1"/>
  <c r="AC34" i="1"/>
  <c r="AD34" i="1"/>
  <c r="CR34" i="1" s="1"/>
  <c r="Q34" i="1" s="1"/>
  <c r="AE34" i="1"/>
  <c r="CS34" i="1" s="1"/>
  <c r="R34" i="1" s="1"/>
  <c r="AF34" i="1"/>
  <c r="AG34" i="1"/>
  <c r="CU34" i="1" s="1"/>
  <c r="AH34" i="1"/>
  <c r="CV34" i="1" s="1"/>
  <c r="U34" i="1" s="1"/>
  <c r="AI34" i="1"/>
  <c r="CW34" i="1" s="1"/>
  <c r="V34" i="1" s="1"/>
  <c r="AJ34" i="1"/>
  <c r="CQ34" i="1"/>
  <c r="P34" i="1" s="1"/>
  <c r="CT34" i="1"/>
  <c r="CX34" i="1"/>
  <c r="W34" i="1" s="1"/>
  <c r="CY34" i="1"/>
  <c r="X34" i="1" s="1"/>
  <c r="FR34" i="1"/>
  <c r="GL34" i="1"/>
  <c r="GO34" i="1"/>
  <c r="GP34" i="1"/>
  <c r="GV34" i="1"/>
  <c r="HC34" i="1" s="1"/>
  <c r="GX34" i="1" s="1"/>
  <c r="HI34" i="1"/>
  <c r="HJ34" i="1"/>
  <c r="I35" i="1"/>
  <c r="K35" i="1"/>
  <c r="AB35" i="1"/>
  <c r="AC35" i="1"/>
  <c r="CQ35" i="1" s="1"/>
  <c r="P35" i="1" s="1"/>
  <c r="AE35" i="1"/>
  <c r="AD35" i="1" s="1"/>
  <c r="AF35" i="1"/>
  <c r="CT35" i="1" s="1"/>
  <c r="S35" i="1" s="1"/>
  <c r="AG35" i="1"/>
  <c r="CU35" i="1" s="1"/>
  <c r="T35" i="1" s="1"/>
  <c r="AH35" i="1"/>
  <c r="AI35" i="1"/>
  <c r="AJ35" i="1"/>
  <c r="CX35" i="1" s="1"/>
  <c r="W35" i="1" s="1"/>
  <c r="CR35" i="1"/>
  <c r="Q35" i="1" s="1"/>
  <c r="CV35" i="1"/>
  <c r="U35" i="1" s="1"/>
  <c r="CW35" i="1"/>
  <c r="V35" i="1" s="1"/>
  <c r="FR35" i="1"/>
  <c r="GL35" i="1"/>
  <c r="GO35" i="1"/>
  <c r="GP35" i="1"/>
  <c r="GV35" i="1"/>
  <c r="HC35" i="1"/>
  <c r="GX35" i="1" s="1"/>
  <c r="C36" i="1"/>
  <c r="D36" i="1"/>
  <c r="I36" i="1"/>
  <c r="K36" i="1"/>
  <c r="AB36" i="1"/>
  <c r="AC36" i="1"/>
  <c r="CQ36" i="1" s="1"/>
  <c r="P36" i="1" s="1"/>
  <c r="AE36" i="1"/>
  <c r="AD36" i="1" s="1"/>
  <c r="AF36" i="1"/>
  <c r="CT36" i="1" s="1"/>
  <c r="S36" i="1" s="1"/>
  <c r="AG36" i="1"/>
  <c r="CU36" i="1" s="1"/>
  <c r="T36" i="1" s="1"/>
  <c r="AH36" i="1"/>
  <c r="AI36" i="1"/>
  <c r="AJ36" i="1"/>
  <c r="CX36" i="1" s="1"/>
  <c r="W36" i="1" s="1"/>
  <c r="CR36" i="1"/>
  <c r="Q36" i="1" s="1"/>
  <c r="CV36" i="1"/>
  <c r="U36" i="1" s="1"/>
  <c r="CW36" i="1"/>
  <c r="V36" i="1" s="1"/>
  <c r="FR36" i="1"/>
  <c r="GL36" i="1"/>
  <c r="GO36" i="1"/>
  <c r="GP36" i="1"/>
  <c r="GV36" i="1"/>
  <c r="HC36" i="1"/>
  <c r="GX36" i="1" s="1"/>
  <c r="AC37" i="1"/>
  <c r="AE37" i="1"/>
  <c r="CS37" i="1" s="1"/>
  <c r="AF37" i="1"/>
  <c r="CT37" i="1" s="1"/>
  <c r="AG37" i="1"/>
  <c r="AH37" i="1"/>
  <c r="AI37" i="1"/>
  <c r="CW37" i="1" s="1"/>
  <c r="AJ37" i="1"/>
  <c r="CX37" i="1" s="1"/>
  <c r="CQ37" i="1"/>
  <c r="CU37" i="1"/>
  <c r="CV37" i="1"/>
  <c r="FR37" i="1"/>
  <c r="GL37" i="1"/>
  <c r="GO37" i="1"/>
  <c r="GP37" i="1"/>
  <c r="GV37" i="1"/>
  <c r="HC37" i="1"/>
  <c r="AC38" i="1"/>
  <c r="AE38" i="1"/>
  <c r="AD38" i="1" s="1"/>
  <c r="CR38" i="1" s="1"/>
  <c r="AF38" i="1"/>
  <c r="AG38" i="1"/>
  <c r="AH38" i="1"/>
  <c r="AI38" i="1"/>
  <c r="AJ38" i="1"/>
  <c r="CX38" i="1" s="1"/>
  <c r="CQ38" i="1"/>
  <c r="CS38" i="1"/>
  <c r="CT38" i="1"/>
  <c r="CU38" i="1"/>
  <c r="CV38" i="1"/>
  <c r="CW38" i="1"/>
  <c r="FR38" i="1"/>
  <c r="GL38" i="1"/>
  <c r="GO38" i="1"/>
  <c r="GP38" i="1"/>
  <c r="GV38" i="1"/>
  <c r="HC38" i="1"/>
  <c r="C39" i="1"/>
  <c r="D39" i="1"/>
  <c r="I39" i="1"/>
  <c r="K39" i="1"/>
  <c r="AC39" i="1"/>
  <c r="AE39" i="1"/>
  <c r="AD39" i="1" s="1"/>
  <c r="CR39" i="1" s="1"/>
  <c r="Q39" i="1" s="1"/>
  <c r="AF39" i="1"/>
  <c r="CT39" i="1" s="1"/>
  <c r="S39" i="1" s="1"/>
  <c r="AG39" i="1"/>
  <c r="AH39" i="1"/>
  <c r="AI39" i="1"/>
  <c r="AJ39" i="1"/>
  <c r="CX39" i="1" s="1"/>
  <c r="W39" i="1" s="1"/>
  <c r="CQ39" i="1"/>
  <c r="P39" i="1" s="1"/>
  <c r="CS39" i="1"/>
  <c r="R39" i="1" s="1"/>
  <c r="HI39" i="1" s="1"/>
  <c r="CU39" i="1"/>
  <c r="T39" i="1" s="1"/>
  <c r="CV39" i="1"/>
  <c r="U39" i="1" s="1"/>
  <c r="CW39" i="1"/>
  <c r="V39" i="1" s="1"/>
  <c r="FR39" i="1"/>
  <c r="GL39" i="1"/>
  <c r="GO39" i="1"/>
  <c r="GP39" i="1"/>
  <c r="GV39" i="1"/>
  <c r="HC39" i="1"/>
  <c r="GX39" i="1" s="1"/>
  <c r="AC40" i="1"/>
  <c r="AD40" i="1"/>
  <c r="AE40" i="1"/>
  <c r="CS40" i="1" s="1"/>
  <c r="AF40" i="1"/>
  <c r="AG40" i="1"/>
  <c r="AH40" i="1"/>
  <c r="CV40" i="1" s="1"/>
  <c r="AI40" i="1"/>
  <c r="CW40" i="1" s="1"/>
  <c r="AJ40" i="1"/>
  <c r="CQ40" i="1"/>
  <c r="CR40" i="1"/>
  <c r="CT40" i="1"/>
  <c r="CU40" i="1"/>
  <c r="CX40" i="1"/>
  <c r="FR40" i="1"/>
  <c r="GL40" i="1"/>
  <c r="GO40" i="1"/>
  <c r="GP40" i="1"/>
  <c r="GV40" i="1"/>
  <c r="HC40" i="1" s="1"/>
  <c r="AC41" i="1"/>
  <c r="AD41" i="1"/>
  <c r="CR41" i="1" s="1"/>
  <c r="AE41" i="1"/>
  <c r="AF41" i="1"/>
  <c r="AG41" i="1"/>
  <c r="AH41" i="1"/>
  <c r="CV41" i="1" s="1"/>
  <c r="AI41" i="1"/>
  <c r="AJ41" i="1"/>
  <c r="CQ41" i="1"/>
  <c r="CS41" i="1"/>
  <c r="CT41" i="1"/>
  <c r="CU41" i="1"/>
  <c r="CW41" i="1"/>
  <c r="CX41" i="1"/>
  <c r="FR41" i="1"/>
  <c r="GL41" i="1"/>
  <c r="GO41" i="1"/>
  <c r="GP41" i="1"/>
  <c r="GV41" i="1"/>
  <c r="HC41" i="1" s="1"/>
  <c r="C42" i="1"/>
  <c r="D42" i="1"/>
  <c r="I42" i="1"/>
  <c r="K42" i="1"/>
  <c r="T42" i="1"/>
  <c r="AC42" i="1"/>
  <c r="AD42" i="1"/>
  <c r="CR42" i="1" s="1"/>
  <c r="Q42" i="1" s="1"/>
  <c r="AE42" i="1"/>
  <c r="AF42" i="1"/>
  <c r="AG42" i="1"/>
  <c r="AH42" i="1"/>
  <c r="CV42" i="1" s="1"/>
  <c r="U42" i="1" s="1"/>
  <c r="AI42" i="1"/>
  <c r="AJ42" i="1"/>
  <c r="CX42" i="1" s="1"/>
  <c r="W42" i="1" s="1"/>
  <c r="CQ42" i="1"/>
  <c r="P42" i="1" s="1"/>
  <c r="CP42" i="1" s="1"/>
  <c r="O42" i="1" s="1"/>
  <c r="CS42" i="1"/>
  <c r="R42" i="1" s="1"/>
  <c r="CT42" i="1"/>
  <c r="S42" i="1" s="1"/>
  <c r="CU42" i="1"/>
  <c r="CW42" i="1"/>
  <c r="V42" i="1" s="1"/>
  <c r="FR42" i="1"/>
  <c r="GL42" i="1"/>
  <c r="GO42" i="1"/>
  <c r="GP42" i="1"/>
  <c r="GV42" i="1"/>
  <c r="HC42" i="1" s="1"/>
  <c r="GX42" i="1" s="1"/>
  <c r="HI42" i="1"/>
  <c r="I43" i="1"/>
  <c r="AC43" i="1"/>
  <c r="CQ43" i="1" s="1"/>
  <c r="P43" i="1" s="1"/>
  <c r="AE43" i="1"/>
  <c r="AD43" i="1" s="1"/>
  <c r="AB43" i="1" s="1"/>
  <c r="AF43" i="1"/>
  <c r="AG43" i="1"/>
  <c r="CU43" i="1" s="1"/>
  <c r="T43" i="1" s="1"/>
  <c r="AH43" i="1"/>
  <c r="AI43" i="1"/>
  <c r="CW43" i="1" s="1"/>
  <c r="V43" i="1" s="1"/>
  <c r="AJ43" i="1"/>
  <c r="CS43" i="1"/>
  <c r="R43" i="1" s="1"/>
  <c r="HI43" i="1" s="1"/>
  <c r="CT43" i="1"/>
  <c r="S43" i="1" s="1"/>
  <c r="CV43" i="1"/>
  <c r="U43" i="1" s="1"/>
  <c r="CX43" i="1"/>
  <c r="W43" i="1" s="1"/>
  <c r="FR43" i="1"/>
  <c r="GL43" i="1"/>
  <c r="GO43" i="1"/>
  <c r="GP43" i="1"/>
  <c r="GV43" i="1"/>
  <c r="GX43" i="1"/>
  <c r="HC43" i="1"/>
  <c r="I44" i="1"/>
  <c r="P44" i="1"/>
  <c r="R44" i="1"/>
  <c r="HI44" i="1" s="1"/>
  <c r="AC44" i="1"/>
  <c r="AD44" i="1"/>
  <c r="AB44" i="1" s="1"/>
  <c r="AE44" i="1"/>
  <c r="AF44" i="1"/>
  <c r="CT44" i="1" s="1"/>
  <c r="S44" i="1" s="1"/>
  <c r="CY44" i="1" s="1"/>
  <c r="X44" i="1" s="1"/>
  <c r="AG44" i="1"/>
  <c r="AH44" i="1"/>
  <c r="CV44" i="1" s="1"/>
  <c r="U44" i="1" s="1"/>
  <c r="AI44" i="1"/>
  <c r="AJ44" i="1"/>
  <c r="CX44" i="1" s="1"/>
  <c r="W44" i="1" s="1"/>
  <c r="CQ44" i="1"/>
  <c r="CR44" i="1"/>
  <c r="Q44" i="1" s="1"/>
  <c r="CS44" i="1"/>
  <c r="CU44" i="1"/>
  <c r="T44" i="1" s="1"/>
  <c r="CW44" i="1"/>
  <c r="V44" i="1" s="1"/>
  <c r="CZ44" i="1"/>
  <c r="Y44" i="1" s="1"/>
  <c r="FR44" i="1"/>
  <c r="GL44" i="1"/>
  <c r="GO44" i="1"/>
  <c r="GP44" i="1"/>
  <c r="GV44" i="1"/>
  <c r="GX44" i="1"/>
  <c r="HC44" i="1"/>
  <c r="HJ44" i="1"/>
  <c r="HL44" i="1" s="1"/>
  <c r="C45" i="1"/>
  <c r="D45" i="1"/>
  <c r="I45" i="1"/>
  <c r="K45" i="1"/>
  <c r="AC45" i="1"/>
  <c r="AE45" i="1"/>
  <c r="CS45" i="1" s="1"/>
  <c r="R45" i="1" s="1"/>
  <c r="HI45" i="1" s="1"/>
  <c r="AF45" i="1"/>
  <c r="AG45" i="1"/>
  <c r="CU45" i="1" s="1"/>
  <c r="T45" i="1" s="1"/>
  <c r="AH45" i="1"/>
  <c r="AI45" i="1"/>
  <c r="CW45" i="1" s="1"/>
  <c r="V45" i="1" s="1"/>
  <c r="AJ45" i="1"/>
  <c r="CT45" i="1"/>
  <c r="S45" i="1" s="1"/>
  <c r="CV45" i="1"/>
  <c r="U45" i="1" s="1"/>
  <c r="CX45" i="1"/>
  <c r="W45" i="1" s="1"/>
  <c r="FR45" i="1"/>
  <c r="GL45" i="1"/>
  <c r="GO45" i="1"/>
  <c r="GP45" i="1"/>
  <c r="GV45" i="1"/>
  <c r="GX45" i="1"/>
  <c r="HC45" i="1"/>
  <c r="I46" i="1"/>
  <c r="AC46" i="1"/>
  <c r="AD46" i="1"/>
  <c r="CR46" i="1" s="1"/>
  <c r="Q46" i="1" s="1"/>
  <c r="AE46" i="1"/>
  <c r="AF46" i="1"/>
  <c r="AB46" i="1" s="1"/>
  <c r="AG46" i="1"/>
  <c r="AH46" i="1"/>
  <c r="CV46" i="1" s="1"/>
  <c r="U46" i="1" s="1"/>
  <c r="AI46" i="1"/>
  <c r="AJ46" i="1"/>
  <c r="CX46" i="1" s="1"/>
  <c r="W46" i="1" s="1"/>
  <c r="CQ46" i="1"/>
  <c r="P46" i="1" s="1"/>
  <c r="CS46" i="1"/>
  <c r="R46" i="1" s="1"/>
  <c r="HI46" i="1" s="1"/>
  <c r="CU46" i="1"/>
  <c r="T46" i="1" s="1"/>
  <c r="CW46" i="1"/>
  <c r="V46" i="1" s="1"/>
  <c r="FR46" i="1"/>
  <c r="GL46" i="1"/>
  <c r="GO46" i="1"/>
  <c r="GP46" i="1"/>
  <c r="GV46" i="1"/>
  <c r="HC46" i="1"/>
  <c r="GX46" i="1" s="1"/>
  <c r="I47" i="1"/>
  <c r="AC47" i="1"/>
  <c r="CQ47" i="1" s="1"/>
  <c r="P47" i="1" s="1"/>
  <c r="CP47" i="1" s="1"/>
  <c r="O47" i="1" s="1"/>
  <c r="AE47" i="1"/>
  <c r="AD47" i="1" s="1"/>
  <c r="CR47" i="1" s="1"/>
  <c r="Q47" i="1" s="1"/>
  <c r="AF47" i="1"/>
  <c r="AG47" i="1"/>
  <c r="CU47" i="1" s="1"/>
  <c r="T47" i="1" s="1"/>
  <c r="AH47" i="1"/>
  <c r="AI47" i="1"/>
  <c r="CW47" i="1" s="1"/>
  <c r="V47" i="1" s="1"/>
  <c r="AJ47" i="1"/>
  <c r="CT47" i="1"/>
  <c r="S47" i="1" s="1"/>
  <c r="CV47" i="1"/>
  <c r="U47" i="1" s="1"/>
  <c r="CX47" i="1"/>
  <c r="W47" i="1" s="1"/>
  <c r="FR47" i="1"/>
  <c r="GL47" i="1"/>
  <c r="GO47" i="1"/>
  <c r="GP47" i="1"/>
  <c r="GV47" i="1"/>
  <c r="GX47" i="1"/>
  <c r="HC47" i="1"/>
  <c r="C48" i="1"/>
  <c r="D48" i="1"/>
  <c r="I48" i="1"/>
  <c r="K48" i="1"/>
  <c r="AC48" i="1"/>
  <c r="CQ48" i="1" s="1"/>
  <c r="P48" i="1" s="1"/>
  <c r="AE48" i="1"/>
  <c r="AD48" i="1" s="1"/>
  <c r="CR48" i="1" s="1"/>
  <c r="Q48" i="1" s="1"/>
  <c r="AF48" i="1"/>
  <c r="AG48" i="1"/>
  <c r="CU48" i="1" s="1"/>
  <c r="T48" i="1" s="1"/>
  <c r="AH48" i="1"/>
  <c r="AI48" i="1"/>
  <c r="CW48" i="1" s="1"/>
  <c r="V48" i="1" s="1"/>
  <c r="AJ48" i="1"/>
  <c r="CT48" i="1"/>
  <c r="S48" i="1" s="1"/>
  <c r="CV48" i="1"/>
  <c r="U48" i="1" s="1"/>
  <c r="CX48" i="1"/>
  <c r="W48" i="1" s="1"/>
  <c r="FR48" i="1"/>
  <c r="GL48" i="1"/>
  <c r="GO48" i="1"/>
  <c r="GP48" i="1"/>
  <c r="GV48" i="1"/>
  <c r="GX48" i="1"/>
  <c r="HC48" i="1"/>
  <c r="I49" i="1"/>
  <c r="P49" i="1"/>
  <c r="AC49" i="1"/>
  <c r="AD49" i="1"/>
  <c r="AE49" i="1"/>
  <c r="AF49" i="1"/>
  <c r="CT49" i="1" s="1"/>
  <c r="S49" i="1" s="1"/>
  <c r="CY49" i="1" s="1"/>
  <c r="X49" i="1" s="1"/>
  <c r="AG49" i="1"/>
  <c r="AH49" i="1"/>
  <c r="CV49" i="1" s="1"/>
  <c r="U49" i="1" s="1"/>
  <c r="AI49" i="1"/>
  <c r="AJ49" i="1"/>
  <c r="CX49" i="1" s="1"/>
  <c r="W49" i="1" s="1"/>
  <c r="CQ49" i="1"/>
  <c r="CS49" i="1"/>
  <c r="R49" i="1" s="1"/>
  <c r="HI49" i="1" s="1"/>
  <c r="CU49" i="1"/>
  <c r="T49" i="1" s="1"/>
  <c r="CW49" i="1"/>
  <c r="V49" i="1" s="1"/>
  <c r="FR49" i="1"/>
  <c r="GL49" i="1"/>
  <c r="GO49" i="1"/>
  <c r="GP49" i="1"/>
  <c r="GV49" i="1"/>
  <c r="HC49" i="1"/>
  <c r="GX49" i="1" s="1"/>
  <c r="AC50" i="1"/>
  <c r="AE50" i="1"/>
  <c r="AF50" i="1"/>
  <c r="AG50" i="1"/>
  <c r="CU50" i="1" s="1"/>
  <c r="AH50" i="1"/>
  <c r="AI50" i="1"/>
  <c r="CW50" i="1" s="1"/>
  <c r="AJ50" i="1"/>
  <c r="CT50" i="1"/>
  <c r="CV50" i="1"/>
  <c r="CX50" i="1"/>
  <c r="FR50" i="1"/>
  <c r="GL50" i="1"/>
  <c r="GO50" i="1"/>
  <c r="GP50" i="1"/>
  <c r="GV50" i="1"/>
  <c r="HC50" i="1"/>
  <c r="I51" i="1"/>
  <c r="K51" i="1"/>
  <c r="S51" i="1"/>
  <c r="W51" i="1"/>
  <c r="AC51" i="1"/>
  <c r="AE51" i="1"/>
  <c r="AF51" i="1"/>
  <c r="AG51" i="1"/>
  <c r="CU51" i="1" s="1"/>
  <c r="AH51" i="1"/>
  <c r="AI51" i="1"/>
  <c r="CW51" i="1" s="1"/>
  <c r="AJ51" i="1"/>
  <c r="CT51" i="1"/>
  <c r="CV51" i="1"/>
  <c r="U51" i="1" s="1"/>
  <c r="CX51" i="1"/>
  <c r="FR51" i="1"/>
  <c r="GL51" i="1"/>
  <c r="GO51" i="1"/>
  <c r="GP51" i="1"/>
  <c r="GV51" i="1"/>
  <c r="HC51" i="1" s="1"/>
  <c r="GX51" i="1" s="1"/>
  <c r="I52" i="1"/>
  <c r="K52" i="1"/>
  <c r="AC52" i="1"/>
  <c r="CQ52" i="1" s="1"/>
  <c r="P52" i="1" s="1"/>
  <c r="CP52" i="1" s="1"/>
  <c r="O52" i="1" s="1"/>
  <c r="AE52" i="1"/>
  <c r="AD52" i="1" s="1"/>
  <c r="CR52" i="1" s="1"/>
  <c r="Q52" i="1" s="1"/>
  <c r="AF52" i="1"/>
  <c r="AG52" i="1"/>
  <c r="CU52" i="1" s="1"/>
  <c r="T52" i="1" s="1"/>
  <c r="AH52" i="1"/>
  <c r="AI52" i="1"/>
  <c r="CW52" i="1" s="1"/>
  <c r="V52" i="1" s="1"/>
  <c r="AJ52" i="1"/>
  <c r="CT52" i="1"/>
  <c r="S52" i="1" s="1"/>
  <c r="CV52" i="1"/>
  <c r="U52" i="1" s="1"/>
  <c r="CX52" i="1"/>
  <c r="W52" i="1" s="1"/>
  <c r="FR52" i="1"/>
  <c r="GL52" i="1"/>
  <c r="GO52" i="1"/>
  <c r="GP52" i="1"/>
  <c r="GV52" i="1"/>
  <c r="GX52" i="1"/>
  <c r="HC52" i="1"/>
  <c r="C53" i="1"/>
  <c r="D53" i="1"/>
  <c r="I53" i="1"/>
  <c r="K53" i="1"/>
  <c r="AC53" i="1"/>
  <c r="CQ53" i="1" s="1"/>
  <c r="P53" i="1" s="1"/>
  <c r="AE53" i="1"/>
  <c r="AD53" i="1" s="1"/>
  <c r="CR53" i="1" s="1"/>
  <c r="Q53" i="1" s="1"/>
  <c r="AF53" i="1"/>
  <c r="AG53" i="1"/>
  <c r="CU53" i="1" s="1"/>
  <c r="T53" i="1" s="1"/>
  <c r="AH53" i="1"/>
  <c r="AI53" i="1"/>
  <c r="CW53" i="1" s="1"/>
  <c r="V53" i="1" s="1"/>
  <c r="AJ53" i="1"/>
  <c r="CT53" i="1"/>
  <c r="S53" i="1" s="1"/>
  <c r="CV53" i="1"/>
  <c r="U53" i="1" s="1"/>
  <c r="CX53" i="1"/>
  <c r="W53" i="1" s="1"/>
  <c r="FR53" i="1"/>
  <c r="GL53" i="1"/>
  <c r="GO53" i="1"/>
  <c r="GP53" i="1"/>
  <c r="GV53" i="1"/>
  <c r="GX53" i="1"/>
  <c r="HC53" i="1"/>
  <c r="I54" i="1"/>
  <c r="K54" i="1"/>
  <c r="AC54" i="1"/>
  <c r="AE54" i="1"/>
  <c r="CS54" i="1" s="1"/>
  <c r="R54" i="1" s="1"/>
  <c r="HI54" i="1" s="1"/>
  <c r="AF54" i="1"/>
  <c r="AG54" i="1"/>
  <c r="CU54" i="1" s="1"/>
  <c r="T54" i="1" s="1"/>
  <c r="AH54" i="1"/>
  <c r="AI54" i="1"/>
  <c r="CW54" i="1" s="1"/>
  <c r="V54" i="1" s="1"/>
  <c r="AJ54" i="1"/>
  <c r="CT54" i="1"/>
  <c r="S54" i="1" s="1"/>
  <c r="CV54" i="1"/>
  <c r="U54" i="1" s="1"/>
  <c r="CX54" i="1"/>
  <c r="W54" i="1" s="1"/>
  <c r="FR54" i="1"/>
  <c r="GL54" i="1"/>
  <c r="GO54" i="1"/>
  <c r="GP54" i="1"/>
  <c r="GV54" i="1"/>
  <c r="HC54" i="1" s="1"/>
  <c r="GX54" i="1" s="1"/>
  <c r="C55" i="1"/>
  <c r="D55" i="1"/>
  <c r="I55" i="1"/>
  <c r="K55" i="1"/>
  <c r="AC55" i="1"/>
  <c r="AE55" i="1"/>
  <c r="CS55" i="1" s="1"/>
  <c r="R55" i="1" s="1"/>
  <c r="HI55" i="1" s="1"/>
  <c r="AF55" i="1"/>
  <c r="AG55" i="1"/>
  <c r="CU55" i="1" s="1"/>
  <c r="T55" i="1" s="1"/>
  <c r="AH55" i="1"/>
  <c r="AI55" i="1"/>
  <c r="CW55" i="1" s="1"/>
  <c r="V55" i="1" s="1"/>
  <c r="AJ55" i="1"/>
  <c r="CT55" i="1"/>
  <c r="S55" i="1" s="1"/>
  <c r="CV55" i="1"/>
  <c r="U55" i="1" s="1"/>
  <c r="CX55" i="1"/>
  <c r="W55" i="1" s="1"/>
  <c r="FR55" i="1"/>
  <c r="GL55" i="1"/>
  <c r="GO55" i="1"/>
  <c r="GP55" i="1"/>
  <c r="GV55" i="1"/>
  <c r="GX55" i="1"/>
  <c r="HC55" i="1"/>
  <c r="I56" i="1"/>
  <c r="AC56" i="1"/>
  <c r="AD56" i="1"/>
  <c r="CR56" i="1" s="1"/>
  <c r="Q56" i="1" s="1"/>
  <c r="AE56" i="1"/>
  <c r="AF56" i="1"/>
  <c r="CT56" i="1" s="1"/>
  <c r="S56" i="1" s="1"/>
  <c r="AG56" i="1"/>
  <c r="AH56" i="1"/>
  <c r="CV56" i="1" s="1"/>
  <c r="U56" i="1" s="1"/>
  <c r="AI56" i="1"/>
  <c r="AJ56" i="1"/>
  <c r="CX56" i="1" s="1"/>
  <c r="W56" i="1" s="1"/>
  <c r="CQ56" i="1"/>
  <c r="P56" i="1" s="1"/>
  <c r="CS56" i="1"/>
  <c r="R56" i="1" s="1"/>
  <c r="HI56" i="1" s="1"/>
  <c r="CU56" i="1"/>
  <c r="T56" i="1" s="1"/>
  <c r="CW56" i="1"/>
  <c r="V56" i="1" s="1"/>
  <c r="FR56" i="1"/>
  <c r="GL56" i="1"/>
  <c r="GO56" i="1"/>
  <c r="GP56" i="1"/>
  <c r="GV56" i="1"/>
  <c r="HC56" i="1" s="1"/>
  <c r="GX56" i="1" s="1"/>
  <c r="I57" i="1"/>
  <c r="K57" i="1"/>
  <c r="AC57" i="1"/>
  <c r="AD57" i="1"/>
  <c r="CR57" i="1" s="1"/>
  <c r="Q57" i="1" s="1"/>
  <c r="AE57" i="1"/>
  <c r="AF57" i="1"/>
  <c r="CT57" i="1" s="1"/>
  <c r="S57" i="1" s="1"/>
  <c r="AG57" i="1"/>
  <c r="AH57" i="1"/>
  <c r="CV57" i="1" s="1"/>
  <c r="U57" i="1" s="1"/>
  <c r="AI57" i="1"/>
  <c r="AJ57" i="1"/>
  <c r="CX57" i="1" s="1"/>
  <c r="W57" i="1" s="1"/>
  <c r="CQ57" i="1"/>
  <c r="P57" i="1" s="1"/>
  <c r="CP57" i="1" s="1"/>
  <c r="O57" i="1" s="1"/>
  <c r="CS57" i="1"/>
  <c r="R57" i="1" s="1"/>
  <c r="HI57" i="1" s="1"/>
  <c r="CU57" i="1"/>
  <c r="T57" i="1" s="1"/>
  <c r="CW57" i="1"/>
  <c r="V57" i="1" s="1"/>
  <c r="FR57" i="1"/>
  <c r="GL57" i="1"/>
  <c r="GO57" i="1"/>
  <c r="GP57" i="1"/>
  <c r="GV57" i="1"/>
  <c r="HC57" i="1"/>
  <c r="GX57" i="1" s="1"/>
  <c r="C58" i="1"/>
  <c r="D58" i="1"/>
  <c r="I58" i="1"/>
  <c r="K58" i="1"/>
  <c r="AC58" i="1"/>
  <c r="AD58" i="1"/>
  <c r="CR58" i="1" s="1"/>
  <c r="Q58" i="1" s="1"/>
  <c r="AE58" i="1"/>
  <c r="AF58" i="1"/>
  <c r="CT58" i="1" s="1"/>
  <c r="S58" i="1" s="1"/>
  <c r="AG58" i="1"/>
  <c r="AH58" i="1"/>
  <c r="CV58" i="1" s="1"/>
  <c r="U58" i="1" s="1"/>
  <c r="AI58" i="1"/>
  <c r="AJ58" i="1"/>
  <c r="CX58" i="1" s="1"/>
  <c r="W58" i="1" s="1"/>
  <c r="CQ58" i="1"/>
  <c r="P58" i="1" s="1"/>
  <c r="CS58" i="1"/>
  <c r="R58" i="1" s="1"/>
  <c r="HI58" i="1" s="1"/>
  <c r="CU58" i="1"/>
  <c r="T58" i="1" s="1"/>
  <c r="CW58" i="1"/>
  <c r="V58" i="1" s="1"/>
  <c r="FR58" i="1"/>
  <c r="GL58" i="1"/>
  <c r="GO58" i="1"/>
  <c r="GP58" i="1"/>
  <c r="GV58" i="1"/>
  <c r="HC58" i="1"/>
  <c r="GX58" i="1" s="1"/>
  <c r="B60" i="1"/>
  <c r="B26" i="1" s="1"/>
  <c r="C60" i="1"/>
  <c r="C26" i="1" s="1"/>
  <c r="D60" i="1"/>
  <c r="D26" i="1" s="1"/>
  <c r="F60" i="1"/>
  <c r="F26" i="1" s="1"/>
  <c r="G60" i="1"/>
  <c r="G26" i="1" s="1"/>
  <c r="BX60" i="1"/>
  <c r="BX26" i="1" s="1"/>
  <c r="BY60" i="1"/>
  <c r="BY26" i="1" s="1"/>
  <c r="BZ60" i="1"/>
  <c r="BZ26" i="1" s="1"/>
  <c r="CC60" i="1"/>
  <c r="CC26" i="1" s="1"/>
  <c r="CD60" i="1"/>
  <c r="CD26" i="1" s="1"/>
  <c r="CG60" i="1"/>
  <c r="CG26" i="1" s="1"/>
  <c r="CK60" i="1"/>
  <c r="CK26" i="1" s="1"/>
  <c r="CL60" i="1"/>
  <c r="CL26" i="1" s="1"/>
  <c r="CM60" i="1"/>
  <c r="CM26" i="1" s="1"/>
  <c r="D90" i="1"/>
  <c r="E92" i="1"/>
  <c r="Z92" i="1"/>
  <c r="AA92" i="1"/>
  <c r="AM92" i="1"/>
  <c r="AN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CN92" i="1"/>
  <c r="CO92" i="1"/>
  <c r="CP92" i="1"/>
  <c r="CQ92" i="1"/>
  <c r="CR92" i="1"/>
  <c r="CS92" i="1"/>
  <c r="CT92" i="1"/>
  <c r="CU92" i="1"/>
  <c r="CV92" i="1"/>
  <c r="CW92" i="1"/>
  <c r="CX92" i="1"/>
  <c r="CY92" i="1"/>
  <c r="CZ92" i="1"/>
  <c r="DA92" i="1"/>
  <c r="DB92" i="1"/>
  <c r="DC92" i="1"/>
  <c r="DD92" i="1"/>
  <c r="DE92" i="1"/>
  <c r="DF92" i="1"/>
  <c r="DG92" i="1"/>
  <c r="DH92" i="1"/>
  <c r="DI92" i="1"/>
  <c r="DJ92" i="1"/>
  <c r="DK92" i="1"/>
  <c r="DL92" i="1"/>
  <c r="DM92" i="1"/>
  <c r="DN92" i="1"/>
  <c r="DO92" i="1"/>
  <c r="DP92" i="1"/>
  <c r="DQ92" i="1"/>
  <c r="DR92" i="1"/>
  <c r="DS92" i="1"/>
  <c r="DT92" i="1"/>
  <c r="DU92" i="1"/>
  <c r="DV92" i="1"/>
  <c r="DW92" i="1"/>
  <c r="DX92" i="1"/>
  <c r="DY92" i="1"/>
  <c r="DZ92" i="1"/>
  <c r="EA92" i="1"/>
  <c r="EB92" i="1"/>
  <c r="EC92" i="1"/>
  <c r="ED92" i="1"/>
  <c r="EE92" i="1"/>
  <c r="EF92" i="1"/>
  <c r="EG92" i="1"/>
  <c r="EH92" i="1"/>
  <c r="EI92" i="1"/>
  <c r="EJ92" i="1"/>
  <c r="EK92" i="1"/>
  <c r="EL92" i="1"/>
  <c r="EM92" i="1"/>
  <c r="EN92" i="1"/>
  <c r="EO92" i="1"/>
  <c r="EP92" i="1"/>
  <c r="EQ92" i="1"/>
  <c r="ER92" i="1"/>
  <c r="ES92" i="1"/>
  <c r="ET92" i="1"/>
  <c r="EU92" i="1"/>
  <c r="EV92" i="1"/>
  <c r="EW92" i="1"/>
  <c r="EX92" i="1"/>
  <c r="EY92" i="1"/>
  <c r="EZ92" i="1"/>
  <c r="FA92" i="1"/>
  <c r="FB92" i="1"/>
  <c r="FC92" i="1"/>
  <c r="FD92" i="1"/>
  <c r="FE92" i="1"/>
  <c r="FF92" i="1"/>
  <c r="FG92" i="1"/>
  <c r="FH92" i="1"/>
  <c r="FI92" i="1"/>
  <c r="FJ92" i="1"/>
  <c r="FK92" i="1"/>
  <c r="FL92" i="1"/>
  <c r="FM92" i="1"/>
  <c r="FN92" i="1"/>
  <c r="FO92" i="1"/>
  <c r="FP92" i="1"/>
  <c r="FQ92" i="1"/>
  <c r="FR92" i="1"/>
  <c r="FS92" i="1"/>
  <c r="FT92" i="1"/>
  <c r="FU92" i="1"/>
  <c r="FV92" i="1"/>
  <c r="FW92" i="1"/>
  <c r="FX92" i="1"/>
  <c r="FY92" i="1"/>
  <c r="FZ92" i="1"/>
  <c r="GA92" i="1"/>
  <c r="GB92" i="1"/>
  <c r="GC92" i="1"/>
  <c r="GD92" i="1"/>
  <c r="GE92" i="1"/>
  <c r="GF92" i="1"/>
  <c r="GG92" i="1"/>
  <c r="GH92" i="1"/>
  <c r="GI92" i="1"/>
  <c r="GJ92" i="1"/>
  <c r="GK92" i="1"/>
  <c r="GL92" i="1"/>
  <c r="GM92" i="1"/>
  <c r="GN92" i="1"/>
  <c r="GO92" i="1"/>
  <c r="GP92" i="1"/>
  <c r="GQ92" i="1"/>
  <c r="GR92" i="1"/>
  <c r="GS92" i="1"/>
  <c r="GT92" i="1"/>
  <c r="GU92" i="1"/>
  <c r="GV92" i="1"/>
  <c r="GW92" i="1"/>
  <c r="GX92" i="1"/>
  <c r="C94" i="1"/>
  <c r="D94" i="1"/>
  <c r="I94" i="1"/>
  <c r="K94" i="1"/>
  <c r="AC94" i="1"/>
  <c r="CQ94" i="1" s="1"/>
  <c r="P94" i="1" s="1"/>
  <c r="AE94" i="1"/>
  <c r="AD94" i="1" s="1"/>
  <c r="AF94" i="1"/>
  <c r="CT94" i="1" s="1"/>
  <c r="S94" i="1" s="1"/>
  <c r="AG94" i="1"/>
  <c r="CU94" i="1" s="1"/>
  <c r="T94" i="1" s="1"/>
  <c r="AH94" i="1"/>
  <c r="AI94" i="1"/>
  <c r="AJ94" i="1"/>
  <c r="CX94" i="1" s="1"/>
  <c r="W94" i="1" s="1"/>
  <c r="CS94" i="1"/>
  <c r="R94" i="1" s="1"/>
  <c r="HI94" i="1" s="1"/>
  <c r="CV94" i="1"/>
  <c r="U94" i="1" s="1"/>
  <c r="CW94" i="1"/>
  <c r="V94" i="1" s="1"/>
  <c r="FR94" i="1"/>
  <c r="GL94" i="1"/>
  <c r="GO94" i="1"/>
  <c r="GP94" i="1"/>
  <c r="GV94" i="1"/>
  <c r="HC94" i="1"/>
  <c r="GX94" i="1" s="1"/>
  <c r="I95" i="1"/>
  <c r="GN95" i="1" s="1"/>
  <c r="K95" i="1"/>
  <c r="O95" i="1"/>
  <c r="P95" i="1"/>
  <c r="Q95" i="1"/>
  <c r="R95" i="1"/>
  <c r="S95" i="1"/>
  <c r="T95" i="1"/>
  <c r="U95" i="1"/>
  <c r="V95" i="1"/>
  <c r="W95" i="1"/>
  <c r="X95" i="1"/>
  <c r="Y95" i="1"/>
  <c r="AB95" i="1"/>
  <c r="AC95" i="1"/>
  <c r="AD95" i="1"/>
  <c r="AE95" i="1"/>
  <c r="AF95" i="1"/>
  <c r="AG95" i="1"/>
  <c r="AH95" i="1"/>
  <c r="AI95" i="1"/>
  <c r="AJ95" i="1"/>
  <c r="CP95" i="1"/>
  <c r="GM95" i="1" s="1"/>
  <c r="FR95" i="1"/>
  <c r="GL95" i="1"/>
  <c r="GO95" i="1"/>
  <c r="GP95" i="1"/>
  <c r="GV95" i="1"/>
  <c r="GX95" i="1"/>
  <c r="HI95" i="1"/>
  <c r="HJ95" i="1"/>
  <c r="C96" i="1"/>
  <c r="D96" i="1"/>
  <c r="I96" i="1"/>
  <c r="K96" i="1"/>
  <c r="AC96" i="1"/>
  <c r="AE96" i="1"/>
  <c r="AD96" i="1" s="1"/>
  <c r="AF96" i="1"/>
  <c r="CT96" i="1" s="1"/>
  <c r="S96" i="1" s="1"/>
  <c r="AG96" i="1"/>
  <c r="AH96" i="1"/>
  <c r="AI96" i="1"/>
  <c r="AJ96" i="1"/>
  <c r="CX96" i="1" s="1"/>
  <c r="W96" i="1" s="1"/>
  <c r="CQ96" i="1"/>
  <c r="P96" i="1" s="1"/>
  <c r="CS96" i="1"/>
  <c r="R96" i="1" s="1"/>
  <c r="HI96" i="1" s="1"/>
  <c r="CU96" i="1"/>
  <c r="T96" i="1" s="1"/>
  <c r="CV96" i="1"/>
  <c r="U96" i="1" s="1"/>
  <c r="CW96" i="1"/>
  <c r="V96" i="1" s="1"/>
  <c r="FR96" i="1"/>
  <c r="GL96" i="1"/>
  <c r="GO96" i="1"/>
  <c r="GP96" i="1"/>
  <c r="GV96" i="1"/>
  <c r="HC96" i="1"/>
  <c r="GX96" i="1" s="1"/>
  <c r="C97" i="1"/>
  <c r="D97" i="1"/>
  <c r="I97" i="1"/>
  <c r="I98" i="1" s="1"/>
  <c r="K97" i="1"/>
  <c r="AC97" i="1"/>
  <c r="AE97" i="1"/>
  <c r="AD97" i="1" s="1"/>
  <c r="AF97" i="1"/>
  <c r="CT97" i="1" s="1"/>
  <c r="S97" i="1" s="1"/>
  <c r="AG97" i="1"/>
  <c r="AH97" i="1"/>
  <c r="AI97" i="1"/>
  <c r="AJ97" i="1"/>
  <c r="CX97" i="1" s="1"/>
  <c r="W97" i="1" s="1"/>
  <c r="CQ97" i="1"/>
  <c r="P97" i="1" s="1"/>
  <c r="CS97" i="1"/>
  <c r="R97" i="1" s="1"/>
  <c r="HI97" i="1" s="1"/>
  <c r="CU97" i="1"/>
  <c r="T97" i="1" s="1"/>
  <c r="CV97" i="1"/>
  <c r="U97" i="1" s="1"/>
  <c r="CW97" i="1"/>
  <c r="V97" i="1" s="1"/>
  <c r="FR97" i="1"/>
  <c r="GL97" i="1"/>
  <c r="GO97" i="1"/>
  <c r="GP97" i="1"/>
  <c r="GV97" i="1"/>
  <c r="HC97" i="1"/>
  <c r="GX97" i="1" s="1"/>
  <c r="AC98" i="1"/>
  <c r="AE98" i="1"/>
  <c r="AD98" i="1" s="1"/>
  <c r="CR98" i="1" s="1"/>
  <c r="Q98" i="1" s="1"/>
  <c r="AF98" i="1"/>
  <c r="AG98" i="1"/>
  <c r="AH98" i="1"/>
  <c r="AI98" i="1"/>
  <c r="CW98" i="1" s="1"/>
  <c r="V98" i="1" s="1"/>
  <c r="AJ98" i="1"/>
  <c r="CQ98" i="1"/>
  <c r="P98" i="1" s="1"/>
  <c r="CT98" i="1"/>
  <c r="S98" i="1" s="1"/>
  <c r="CU98" i="1"/>
  <c r="T98" i="1" s="1"/>
  <c r="CV98" i="1"/>
  <c r="CX98" i="1"/>
  <c r="W98" i="1" s="1"/>
  <c r="FR98" i="1"/>
  <c r="GL98" i="1"/>
  <c r="GO98" i="1"/>
  <c r="GP98" i="1"/>
  <c r="GV98" i="1"/>
  <c r="HC98" i="1" s="1"/>
  <c r="GX98" i="1" s="1"/>
  <c r="C99" i="1"/>
  <c r="D99" i="1"/>
  <c r="I99" i="1"/>
  <c r="K99" i="1"/>
  <c r="AC99" i="1"/>
  <c r="AB99" i="1" s="1"/>
  <c r="AE99" i="1"/>
  <c r="AD99" i="1" s="1"/>
  <c r="CR99" i="1" s="1"/>
  <c r="Q99" i="1" s="1"/>
  <c r="AF99" i="1"/>
  <c r="CT99" i="1" s="1"/>
  <c r="S99" i="1" s="1"/>
  <c r="AG99" i="1"/>
  <c r="AH99" i="1"/>
  <c r="AI99" i="1"/>
  <c r="CW99" i="1" s="1"/>
  <c r="V99" i="1" s="1"/>
  <c r="AJ99" i="1"/>
  <c r="CX99" i="1" s="1"/>
  <c r="W99" i="1" s="1"/>
  <c r="CQ99" i="1"/>
  <c r="P99" i="1" s="1"/>
  <c r="CU99" i="1"/>
  <c r="T99" i="1" s="1"/>
  <c r="CV99" i="1"/>
  <c r="U99" i="1" s="1"/>
  <c r="FR99" i="1"/>
  <c r="GL99" i="1"/>
  <c r="GO99" i="1"/>
  <c r="GP99" i="1"/>
  <c r="GV99" i="1"/>
  <c r="HC99" i="1" s="1"/>
  <c r="GX99" i="1" s="1"/>
  <c r="I100" i="1"/>
  <c r="AC100" i="1"/>
  <c r="AB100" i="1" s="1"/>
  <c r="AD100" i="1"/>
  <c r="CR100" i="1" s="1"/>
  <c r="Q100" i="1" s="1"/>
  <c r="AE100" i="1"/>
  <c r="AF100" i="1"/>
  <c r="AG100" i="1"/>
  <c r="AH100" i="1"/>
  <c r="CV100" i="1" s="1"/>
  <c r="U100" i="1" s="1"/>
  <c r="AI100" i="1"/>
  <c r="AJ100" i="1"/>
  <c r="CQ100" i="1"/>
  <c r="P100" i="1" s="1"/>
  <c r="CP100" i="1" s="1"/>
  <c r="O100" i="1" s="1"/>
  <c r="CS100" i="1"/>
  <c r="R100" i="1" s="1"/>
  <c r="HI100" i="1" s="1"/>
  <c r="CT100" i="1"/>
  <c r="S100" i="1" s="1"/>
  <c r="CU100" i="1"/>
  <c r="T100" i="1" s="1"/>
  <c r="CW100" i="1"/>
  <c r="V100" i="1" s="1"/>
  <c r="CX100" i="1"/>
  <c r="W100" i="1" s="1"/>
  <c r="FR100" i="1"/>
  <c r="GL100" i="1"/>
  <c r="GO100" i="1"/>
  <c r="GP100" i="1"/>
  <c r="GV100" i="1"/>
  <c r="HC100" i="1" s="1"/>
  <c r="GX100" i="1" s="1"/>
  <c r="I101" i="1"/>
  <c r="K101" i="1"/>
  <c r="AC101" i="1"/>
  <c r="AE101" i="1"/>
  <c r="AD101" i="1" s="1"/>
  <c r="AF101" i="1"/>
  <c r="CT101" i="1" s="1"/>
  <c r="S101" i="1" s="1"/>
  <c r="AG101" i="1"/>
  <c r="AH101" i="1"/>
  <c r="AI101" i="1"/>
  <c r="AJ101" i="1"/>
  <c r="CX101" i="1" s="1"/>
  <c r="W101" i="1" s="1"/>
  <c r="CQ101" i="1"/>
  <c r="P101" i="1" s="1"/>
  <c r="CS101" i="1"/>
  <c r="R101" i="1" s="1"/>
  <c r="HI101" i="1" s="1"/>
  <c r="CU101" i="1"/>
  <c r="T101" i="1" s="1"/>
  <c r="CV101" i="1"/>
  <c r="U101" i="1" s="1"/>
  <c r="CW101" i="1"/>
  <c r="V101" i="1" s="1"/>
  <c r="FR101" i="1"/>
  <c r="GL101" i="1"/>
  <c r="GO101" i="1"/>
  <c r="GP101" i="1"/>
  <c r="GV101" i="1"/>
  <c r="HC101" i="1"/>
  <c r="GX101" i="1" s="1"/>
  <c r="C102" i="1"/>
  <c r="D102" i="1"/>
  <c r="I102" i="1"/>
  <c r="K102" i="1"/>
  <c r="AC102" i="1"/>
  <c r="AE102" i="1"/>
  <c r="AD102" i="1" s="1"/>
  <c r="AF102" i="1"/>
  <c r="CT102" i="1" s="1"/>
  <c r="S102" i="1" s="1"/>
  <c r="AG102" i="1"/>
  <c r="AH102" i="1"/>
  <c r="AI102" i="1"/>
  <c r="AJ102" i="1"/>
  <c r="CX102" i="1" s="1"/>
  <c r="W102" i="1" s="1"/>
  <c r="CQ102" i="1"/>
  <c r="P102" i="1" s="1"/>
  <c r="CS102" i="1"/>
  <c r="R102" i="1" s="1"/>
  <c r="HI102" i="1" s="1"/>
  <c r="CU102" i="1"/>
  <c r="T102" i="1" s="1"/>
  <c r="CV102" i="1"/>
  <c r="U102" i="1" s="1"/>
  <c r="CW102" i="1"/>
  <c r="V102" i="1" s="1"/>
  <c r="FR102" i="1"/>
  <c r="GL102" i="1"/>
  <c r="GO102" i="1"/>
  <c r="GP102" i="1"/>
  <c r="GV102" i="1"/>
  <c r="HC102" i="1"/>
  <c r="GX102" i="1" s="1"/>
  <c r="I103" i="1"/>
  <c r="AC103" i="1"/>
  <c r="AE103" i="1"/>
  <c r="AD103" i="1" s="1"/>
  <c r="AF103" i="1"/>
  <c r="CT103" i="1" s="1"/>
  <c r="S103" i="1" s="1"/>
  <c r="AG103" i="1"/>
  <c r="AH103" i="1"/>
  <c r="AI103" i="1"/>
  <c r="CW103" i="1" s="1"/>
  <c r="V103" i="1" s="1"/>
  <c r="AJ103" i="1"/>
  <c r="CX103" i="1" s="1"/>
  <c r="W103" i="1" s="1"/>
  <c r="CQ103" i="1"/>
  <c r="P103" i="1" s="1"/>
  <c r="CU103" i="1"/>
  <c r="T103" i="1" s="1"/>
  <c r="CV103" i="1"/>
  <c r="U103" i="1" s="1"/>
  <c r="FR103" i="1"/>
  <c r="GL103" i="1"/>
  <c r="GO103" i="1"/>
  <c r="GP103" i="1"/>
  <c r="GV103" i="1"/>
  <c r="GX103" i="1"/>
  <c r="HC103" i="1"/>
  <c r="I104" i="1"/>
  <c r="K104" i="1"/>
  <c r="AC104" i="1"/>
  <c r="CQ104" i="1" s="1"/>
  <c r="P104" i="1" s="1"/>
  <c r="AE104" i="1"/>
  <c r="CS104" i="1" s="1"/>
  <c r="R104" i="1" s="1"/>
  <c r="HI104" i="1" s="1"/>
  <c r="AF104" i="1"/>
  <c r="AG104" i="1"/>
  <c r="CU104" i="1" s="1"/>
  <c r="T104" i="1" s="1"/>
  <c r="AH104" i="1"/>
  <c r="AI104" i="1"/>
  <c r="CW104" i="1" s="1"/>
  <c r="V104" i="1" s="1"/>
  <c r="AJ104" i="1"/>
  <c r="CT104" i="1"/>
  <c r="S104" i="1" s="1"/>
  <c r="CV104" i="1"/>
  <c r="U104" i="1" s="1"/>
  <c r="CX104" i="1"/>
  <c r="W104" i="1" s="1"/>
  <c r="FR104" i="1"/>
  <c r="GL104" i="1"/>
  <c r="GO104" i="1"/>
  <c r="GP104" i="1"/>
  <c r="GV104" i="1"/>
  <c r="GX104" i="1"/>
  <c r="HC104" i="1"/>
  <c r="C105" i="1"/>
  <c r="D105" i="1"/>
  <c r="I105" i="1"/>
  <c r="K105" i="1"/>
  <c r="AC105" i="1"/>
  <c r="AB105" i="1" s="1"/>
  <c r="AE105" i="1"/>
  <c r="AD105" i="1" s="1"/>
  <c r="CR105" i="1" s="1"/>
  <c r="Q105" i="1" s="1"/>
  <c r="AF105" i="1"/>
  <c r="AG105" i="1"/>
  <c r="CU105" i="1" s="1"/>
  <c r="T105" i="1" s="1"/>
  <c r="AH105" i="1"/>
  <c r="AI105" i="1"/>
  <c r="CW105" i="1" s="1"/>
  <c r="V105" i="1" s="1"/>
  <c r="AJ105" i="1"/>
  <c r="CS105" i="1"/>
  <c r="R105" i="1" s="1"/>
  <c r="HI105" i="1" s="1"/>
  <c r="CT105" i="1"/>
  <c r="S105" i="1" s="1"/>
  <c r="CV105" i="1"/>
  <c r="U105" i="1" s="1"/>
  <c r="CX105" i="1"/>
  <c r="W105" i="1" s="1"/>
  <c r="FR105" i="1"/>
  <c r="GL105" i="1"/>
  <c r="GO105" i="1"/>
  <c r="GP105" i="1"/>
  <c r="GV105" i="1"/>
  <c r="GX105" i="1"/>
  <c r="HC105" i="1"/>
  <c r="I106" i="1"/>
  <c r="AC106" i="1"/>
  <c r="AD106" i="1"/>
  <c r="CR106" i="1" s="1"/>
  <c r="Q106" i="1" s="1"/>
  <c r="AE106" i="1"/>
  <c r="AF106" i="1"/>
  <c r="CT106" i="1" s="1"/>
  <c r="S106" i="1" s="1"/>
  <c r="AG106" i="1"/>
  <c r="AH106" i="1"/>
  <c r="CV106" i="1" s="1"/>
  <c r="U106" i="1" s="1"/>
  <c r="AI106" i="1"/>
  <c r="AJ106" i="1"/>
  <c r="CX106" i="1" s="1"/>
  <c r="W106" i="1" s="1"/>
  <c r="CQ106" i="1"/>
  <c r="P106" i="1" s="1"/>
  <c r="CS106" i="1"/>
  <c r="R106" i="1" s="1"/>
  <c r="HI106" i="1" s="1"/>
  <c r="CU106" i="1"/>
  <c r="T106" i="1" s="1"/>
  <c r="CW106" i="1"/>
  <c r="V106" i="1" s="1"/>
  <c r="FR106" i="1"/>
  <c r="GL106" i="1"/>
  <c r="GO106" i="1"/>
  <c r="GP106" i="1"/>
  <c r="GV106" i="1"/>
  <c r="HC106" i="1"/>
  <c r="GX106" i="1" s="1"/>
  <c r="I107" i="1"/>
  <c r="K107" i="1"/>
  <c r="AC107" i="1"/>
  <c r="AD107" i="1"/>
  <c r="AB107" i="1" s="1"/>
  <c r="AE107" i="1"/>
  <c r="AF107" i="1"/>
  <c r="CT107" i="1" s="1"/>
  <c r="S107" i="1" s="1"/>
  <c r="AG107" i="1"/>
  <c r="AH107" i="1"/>
  <c r="CV107" i="1" s="1"/>
  <c r="U107" i="1" s="1"/>
  <c r="AI107" i="1"/>
  <c r="AJ107" i="1"/>
  <c r="CX107" i="1" s="1"/>
  <c r="W107" i="1" s="1"/>
  <c r="CQ107" i="1"/>
  <c r="P107" i="1" s="1"/>
  <c r="CS107" i="1"/>
  <c r="R107" i="1" s="1"/>
  <c r="HI107" i="1" s="1"/>
  <c r="CU107" i="1"/>
  <c r="T107" i="1" s="1"/>
  <c r="CW107" i="1"/>
  <c r="V107" i="1" s="1"/>
  <c r="FR107" i="1"/>
  <c r="GL107" i="1"/>
  <c r="GO107" i="1"/>
  <c r="GP107" i="1"/>
  <c r="GV107" i="1"/>
  <c r="HC107" i="1"/>
  <c r="GX107" i="1" s="1"/>
  <c r="I108" i="1"/>
  <c r="K108" i="1"/>
  <c r="AC108" i="1"/>
  <c r="AD108" i="1"/>
  <c r="CR108" i="1" s="1"/>
  <c r="Q108" i="1" s="1"/>
  <c r="AE108" i="1"/>
  <c r="AF108" i="1"/>
  <c r="AB108" i="1" s="1"/>
  <c r="AG108" i="1"/>
  <c r="AH108" i="1"/>
  <c r="CV108" i="1" s="1"/>
  <c r="U108" i="1" s="1"/>
  <c r="AI108" i="1"/>
  <c r="AJ108" i="1"/>
  <c r="CX108" i="1" s="1"/>
  <c r="W108" i="1" s="1"/>
  <c r="CQ108" i="1"/>
  <c r="P108" i="1" s="1"/>
  <c r="CS108" i="1"/>
  <c r="R108" i="1" s="1"/>
  <c r="HI108" i="1" s="1"/>
  <c r="CU108" i="1"/>
  <c r="T108" i="1" s="1"/>
  <c r="CW108" i="1"/>
  <c r="V108" i="1" s="1"/>
  <c r="FR108" i="1"/>
  <c r="GL108" i="1"/>
  <c r="GO108" i="1"/>
  <c r="GP108" i="1"/>
  <c r="GV108" i="1"/>
  <c r="HC108" i="1"/>
  <c r="GX108" i="1" s="1"/>
  <c r="C109" i="1"/>
  <c r="D109" i="1"/>
  <c r="I109" i="1"/>
  <c r="K109" i="1"/>
  <c r="AC109" i="1"/>
  <c r="AD109" i="1"/>
  <c r="CR109" i="1" s="1"/>
  <c r="Q109" i="1" s="1"/>
  <c r="AE109" i="1"/>
  <c r="AF109" i="1"/>
  <c r="CT109" i="1" s="1"/>
  <c r="S109" i="1" s="1"/>
  <c r="AG109" i="1"/>
  <c r="AH109" i="1"/>
  <c r="CV109" i="1" s="1"/>
  <c r="U109" i="1" s="1"/>
  <c r="AI109" i="1"/>
  <c r="AJ109" i="1"/>
  <c r="CX109" i="1" s="1"/>
  <c r="W109" i="1" s="1"/>
  <c r="CQ109" i="1"/>
  <c r="P109" i="1" s="1"/>
  <c r="CS109" i="1"/>
  <c r="R109" i="1" s="1"/>
  <c r="HI109" i="1" s="1"/>
  <c r="CU109" i="1"/>
  <c r="T109" i="1" s="1"/>
  <c r="CW109" i="1"/>
  <c r="V109" i="1" s="1"/>
  <c r="FR109" i="1"/>
  <c r="GL109" i="1"/>
  <c r="GO109" i="1"/>
  <c r="GP109" i="1"/>
  <c r="GV109" i="1"/>
  <c r="HC109" i="1"/>
  <c r="GX109" i="1" s="1"/>
  <c r="I110" i="1"/>
  <c r="K110" i="1"/>
  <c r="AC110" i="1"/>
  <c r="AD110" i="1"/>
  <c r="AB110" i="1" s="1"/>
  <c r="AE110" i="1"/>
  <c r="AF110" i="1"/>
  <c r="CT110" i="1" s="1"/>
  <c r="S110" i="1" s="1"/>
  <c r="AG110" i="1"/>
  <c r="AH110" i="1"/>
  <c r="CV110" i="1" s="1"/>
  <c r="U110" i="1" s="1"/>
  <c r="AI110" i="1"/>
  <c r="AJ110" i="1"/>
  <c r="CX110" i="1" s="1"/>
  <c r="W110" i="1" s="1"/>
  <c r="CQ110" i="1"/>
  <c r="P110" i="1" s="1"/>
  <c r="CS110" i="1"/>
  <c r="R110" i="1" s="1"/>
  <c r="HI110" i="1" s="1"/>
  <c r="CU110" i="1"/>
  <c r="T110" i="1" s="1"/>
  <c r="CW110" i="1"/>
  <c r="V110" i="1" s="1"/>
  <c r="FR110" i="1"/>
  <c r="GL110" i="1"/>
  <c r="GO110" i="1"/>
  <c r="GP110" i="1"/>
  <c r="GV110" i="1"/>
  <c r="HC110" i="1" s="1"/>
  <c r="GX110" i="1" s="1"/>
  <c r="I111" i="1"/>
  <c r="K111" i="1"/>
  <c r="O111" i="1"/>
  <c r="P111" i="1"/>
  <c r="Q111" i="1"/>
  <c r="R111" i="1"/>
  <c r="S111" i="1"/>
  <c r="T111" i="1"/>
  <c r="U111" i="1"/>
  <c r="V111" i="1"/>
  <c r="W111" i="1"/>
  <c r="X111" i="1"/>
  <c r="Y111" i="1"/>
  <c r="AB111" i="1"/>
  <c r="CP111" i="1" s="1"/>
  <c r="AC111" i="1"/>
  <c r="AD111" i="1"/>
  <c r="AE111" i="1"/>
  <c r="AF111" i="1"/>
  <c r="AG111" i="1"/>
  <c r="AH111" i="1"/>
  <c r="AI111" i="1"/>
  <c r="AJ111" i="1"/>
  <c r="FR111" i="1"/>
  <c r="GL111" i="1"/>
  <c r="GO111" i="1"/>
  <c r="GP111" i="1"/>
  <c r="GV111" i="1"/>
  <c r="GX111" i="1"/>
  <c r="HI111" i="1"/>
  <c r="HJ111" i="1"/>
  <c r="B113" i="1"/>
  <c r="B92" i="1" s="1"/>
  <c r="C113" i="1"/>
  <c r="C92" i="1" s="1"/>
  <c r="D113" i="1"/>
  <c r="D92" i="1" s="1"/>
  <c r="F113" i="1"/>
  <c r="F92" i="1" s="1"/>
  <c r="G113" i="1"/>
  <c r="G92" i="1" s="1"/>
  <c r="BX113" i="1"/>
  <c r="BX92" i="1" s="1"/>
  <c r="BY113" i="1"/>
  <c r="BY92" i="1" s="1"/>
  <c r="BZ113" i="1"/>
  <c r="BZ92" i="1" s="1"/>
  <c r="CC113" i="1"/>
  <c r="CC92" i="1" s="1"/>
  <c r="CD113" i="1"/>
  <c r="CD92" i="1" s="1"/>
  <c r="CG113" i="1"/>
  <c r="CG92" i="1" s="1"/>
  <c r="CK113" i="1"/>
  <c r="CK92" i="1" s="1"/>
  <c r="CL113" i="1"/>
  <c r="CL92" i="1" s="1"/>
  <c r="CM113" i="1"/>
  <c r="CM92" i="1" s="1"/>
  <c r="B143" i="1"/>
  <c r="B22" i="1" s="1"/>
  <c r="C143" i="1"/>
  <c r="C22" i="1" s="1"/>
  <c r="D143" i="1"/>
  <c r="D22" i="1" s="1"/>
  <c r="F143" i="1"/>
  <c r="F22" i="1" s="1"/>
  <c r="G143" i="1"/>
  <c r="G22" i="1" s="1"/>
  <c r="B175" i="1"/>
  <c r="B18" i="1" s="1"/>
  <c r="C175" i="1"/>
  <c r="C18" i="1" s="1"/>
  <c r="D175" i="1"/>
  <c r="D18" i="1" s="1"/>
  <c r="F175" i="1"/>
  <c r="F18" i="1" s="1"/>
  <c r="G175" i="1"/>
  <c r="G18" i="1" s="1"/>
  <c r="E18" i="2"/>
  <c r="F18" i="2"/>
  <c r="G18" i="2"/>
  <c r="H18" i="2"/>
  <c r="I18" i="2"/>
  <c r="J18" i="2"/>
  <c r="J368" i="5" l="1"/>
  <c r="L368" i="5" s="1"/>
  <c r="J239" i="5"/>
  <c r="J350" i="5"/>
  <c r="J348" i="5" s="1"/>
  <c r="J354" i="5"/>
  <c r="J215" i="5"/>
  <c r="J213" i="5" s="1"/>
  <c r="AB343" i="5"/>
  <c r="J26" i="5"/>
  <c r="AO183" i="5"/>
  <c r="O183" i="5"/>
  <c r="J371" i="5"/>
  <c r="J219" i="5"/>
  <c r="J367" i="5"/>
  <c r="D27" i="5"/>
  <c r="O343" i="5"/>
  <c r="AB326" i="5"/>
  <c r="O326" i="5"/>
  <c r="AO326" i="5"/>
  <c r="AB71" i="5"/>
  <c r="O71" i="5"/>
  <c r="AO71" i="5"/>
  <c r="CY109" i="1"/>
  <c r="X109" i="1" s="1"/>
  <c r="HJ109" i="1"/>
  <c r="CZ109" i="1"/>
  <c r="Y109" i="1" s="1"/>
  <c r="GM111" i="1"/>
  <c r="GN111" i="1"/>
  <c r="CP106" i="1"/>
  <c r="O106" i="1" s="1"/>
  <c r="CY107" i="1"/>
  <c r="X107" i="1" s="1"/>
  <c r="HJ107" i="1"/>
  <c r="CZ107" i="1"/>
  <c r="Y107" i="1" s="1"/>
  <c r="CY106" i="1"/>
  <c r="X106" i="1" s="1"/>
  <c r="HJ106" i="1"/>
  <c r="CZ106" i="1"/>
  <c r="Y106" i="1" s="1"/>
  <c r="CZ104" i="1"/>
  <c r="Y104" i="1" s="1"/>
  <c r="CY104" i="1"/>
  <c r="X104" i="1" s="1"/>
  <c r="HJ104" i="1"/>
  <c r="AG113" i="1"/>
  <c r="CY110" i="1"/>
  <c r="X110" i="1" s="1"/>
  <c r="HJ110" i="1"/>
  <c r="CZ110" i="1"/>
  <c r="Y110" i="1" s="1"/>
  <c r="CP109" i="1"/>
  <c r="O109" i="1" s="1"/>
  <c r="CJ113" i="1"/>
  <c r="CZ105" i="1"/>
  <c r="Y105" i="1" s="1"/>
  <c r="CY105" i="1"/>
  <c r="X105" i="1" s="1"/>
  <c r="HJ105" i="1"/>
  <c r="AJ113" i="1"/>
  <c r="AI113" i="1"/>
  <c r="BC113" i="1"/>
  <c r="AU113" i="1"/>
  <c r="AQ113" i="1"/>
  <c r="CR110" i="1"/>
  <c r="Q110" i="1" s="1"/>
  <c r="CP110" i="1" s="1"/>
  <c r="O110" i="1" s="1"/>
  <c r="CT108" i="1"/>
  <c r="S108" i="1" s="1"/>
  <c r="CP108" i="1" s="1"/>
  <c r="O108" i="1" s="1"/>
  <c r="CR107" i="1"/>
  <c r="Q107" i="1" s="1"/>
  <c r="CP107" i="1" s="1"/>
  <c r="O107" i="1" s="1"/>
  <c r="CQ105" i="1"/>
  <c r="P105" i="1" s="1"/>
  <c r="CP105" i="1" s="1"/>
  <c r="O105" i="1" s="1"/>
  <c r="AD104" i="1"/>
  <c r="CR104" i="1" s="1"/>
  <c r="Q104" i="1" s="1"/>
  <c r="CP104" i="1" s="1"/>
  <c r="O104" i="1" s="1"/>
  <c r="CZ102" i="1"/>
  <c r="Y102" i="1" s="1"/>
  <c r="CY102" i="1"/>
  <c r="X102" i="1" s="1"/>
  <c r="HJ102" i="1"/>
  <c r="U98" i="1"/>
  <c r="AH113" i="1" s="1"/>
  <c r="CZ96" i="1"/>
  <c r="Y96" i="1" s="1"/>
  <c r="CY96" i="1"/>
  <c r="X96" i="1" s="1"/>
  <c r="HJ96" i="1"/>
  <c r="AB94" i="1"/>
  <c r="CR94" i="1"/>
  <c r="Q94" i="1" s="1"/>
  <c r="CY57" i="1"/>
  <c r="X57" i="1" s="1"/>
  <c r="HJ57" i="1"/>
  <c r="CZ57" i="1"/>
  <c r="Y57" i="1" s="1"/>
  <c r="CY54" i="1"/>
  <c r="X54" i="1" s="1"/>
  <c r="HJ54" i="1"/>
  <c r="CZ54" i="1"/>
  <c r="Y54" i="1" s="1"/>
  <c r="HJ52" i="1"/>
  <c r="BB113" i="1"/>
  <c r="AX113" i="1"/>
  <c r="AT113" i="1"/>
  <c r="AP113" i="1"/>
  <c r="AB109" i="1"/>
  <c r="AB106" i="1"/>
  <c r="AB104" i="1"/>
  <c r="HJ103" i="1"/>
  <c r="CR102" i="1"/>
  <c r="Q102" i="1" s="1"/>
  <c r="AB102" i="1"/>
  <c r="CR96" i="1"/>
  <c r="Q96" i="1" s="1"/>
  <c r="AB96" i="1"/>
  <c r="CP94" i="1"/>
  <c r="O94" i="1" s="1"/>
  <c r="CP58" i="1"/>
  <c r="O58" i="1" s="1"/>
  <c r="CY55" i="1"/>
  <c r="X55" i="1" s="1"/>
  <c r="HJ55" i="1"/>
  <c r="CZ55" i="1"/>
  <c r="Y55" i="1" s="1"/>
  <c r="AO113" i="1"/>
  <c r="CX125" i="3"/>
  <c r="CX124" i="3"/>
  <c r="CX128" i="3"/>
  <c r="CX123" i="3"/>
  <c r="CX127" i="3"/>
  <c r="CX129" i="3"/>
  <c r="CX130" i="3"/>
  <c r="CX126" i="3"/>
  <c r="CR103" i="1"/>
  <c r="Q103" i="1" s="1"/>
  <c r="CP103" i="1" s="1"/>
  <c r="O103" i="1" s="1"/>
  <c r="AB103" i="1"/>
  <c r="CZ101" i="1"/>
  <c r="Y101" i="1" s="1"/>
  <c r="CY101" i="1"/>
  <c r="X101" i="1" s="1"/>
  <c r="HJ101" i="1"/>
  <c r="CP99" i="1"/>
  <c r="O99" i="1" s="1"/>
  <c r="HJ98" i="1"/>
  <c r="AB98" i="1"/>
  <c r="CZ97" i="1"/>
  <c r="Y97" i="1" s="1"/>
  <c r="CY97" i="1"/>
  <c r="X97" i="1" s="1"/>
  <c r="HJ97" i="1"/>
  <c r="CY58" i="1"/>
  <c r="X58" i="1" s="1"/>
  <c r="HJ58" i="1"/>
  <c r="CZ58" i="1"/>
  <c r="Y58" i="1" s="1"/>
  <c r="CP56" i="1"/>
  <c r="O56" i="1" s="1"/>
  <c r="CP53" i="1"/>
  <c r="O53" i="1" s="1"/>
  <c r="CI113" i="1"/>
  <c r="BD113" i="1"/>
  <c r="CX121" i="3"/>
  <c r="CX120" i="3"/>
  <c r="CX122" i="3"/>
  <c r="CP102" i="1"/>
  <c r="O102" i="1" s="1"/>
  <c r="CR101" i="1"/>
  <c r="Q101" i="1" s="1"/>
  <c r="CP101" i="1" s="1"/>
  <c r="O101" i="1" s="1"/>
  <c r="AB101" i="1"/>
  <c r="CY100" i="1"/>
  <c r="X100" i="1" s="1"/>
  <c r="GM100" i="1" s="1"/>
  <c r="HJ100" i="1"/>
  <c r="CZ100" i="1"/>
  <c r="Y100" i="1" s="1"/>
  <c r="HJ99" i="1"/>
  <c r="CP98" i="1"/>
  <c r="O98" i="1" s="1"/>
  <c r="CR97" i="1"/>
  <c r="Q97" i="1" s="1"/>
  <c r="CP97" i="1" s="1"/>
  <c r="O97" i="1" s="1"/>
  <c r="AB97" i="1"/>
  <c r="CP96" i="1"/>
  <c r="O96" i="1" s="1"/>
  <c r="CY94" i="1"/>
  <c r="X94" i="1" s="1"/>
  <c r="HJ94" i="1"/>
  <c r="CZ94" i="1"/>
  <c r="Y94" i="1" s="1"/>
  <c r="GM57" i="1"/>
  <c r="GN57" i="1"/>
  <c r="CZ56" i="1"/>
  <c r="Y56" i="1" s="1"/>
  <c r="CY56" i="1"/>
  <c r="X56" i="1" s="1"/>
  <c r="HJ56" i="1"/>
  <c r="HJ53" i="1"/>
  <c r="CX85" i="3"/>
  <c r="CX89" i="3"/>
  <c r="CX88" i="3"/>
  <c r="CX87" i="3"/>
  <c r="CX86" i="3"/>
  <c r="AO60" i="1"/>
  <c r="AB58" i="1"/>
  <c r="AB57" i="1"/>
  <c r="CX72" i="3"/>
  <c r="CX71" i="3"/>
  <c r="CX70" i="3"/>
  <c r="CS50" i="1"/>
  <c r="AD50" i="1"/>
  <c r="CR50" i="1" s="1"/>
  <c r="AB49" i="1"/>
  <c r="CR49" i="1"/>
  <c r="Q49" i="1" s="1"/>
  <c r="CP49" i="1" s="1"/>
  <c r="O49" i="1" s="1"/>
  <c r="CZ45" i="1"/>
  <c r="Y45" i="1" s="1"/>
  <c r="CZ42" i="1"/>
  <c r="Y42" i="1" s="1"/>
  <c r="CY42" i="1"/>
  <c r="X42" i="1" s="1"/>
  <c r="HJ42" i="1"/>
  <c r="CS103" i="1"/>
  <c r="R103" i="1" s="1"/>
  <c r="HI103" i="1" s="1"/>
  <c r="CS99" i="1"/>
  <c r="R99" i="1" s="1"/>
  <c r="HI99" i="1" s="1"/>
  <c r="CS98" i="1"/>
  <c r="R98" i="1" s="1"/>
  <c r="CZ98" i="1" s="1"/>
  <c r="Y98" i="1" s="1"/>
  <c r="CI60" i="1"/>
  <c r="BD60" i="1"/>
  <c r="CX73" i="3"/>
  <c r="CX77" i="3"/>
  <c r="CX81" i="3"/>
  <c r="CX76" i="3"/>
  <c r="CX80" i="3"/>
  <c r="CX84" i="3"/>
  <c r="CX75" i="3"/>
  <c r="CX79" i="3"/>
  <c r="CX83" i="3"/>
  <c r="CX74" i="3"/>
  <c r="CX78" i="3"/>
  <c r="CX82" i="3"/>
  <c r="CQ55" i="1"/>
  <c r="P55" i="1" s="1"/>
  <c r="CP55" i="1" s="1"/>
  <c r="O55" i="1" s="1"/>
  <c r="AD55" i="1"/>
  <c r="CR55" i="1" s="1"/>
  <c r="Q55" i="1" s="1"/>
  <c r="CQ54" i="1"/>
  <c r="P54" i="1" s="1"/>
  <c r="CP54" i="1" s="1"/>
  <c r="O54" i="1" s="1"/>
  <c r="AD54" i="1"/>
  <c r="CR54" i="1" s="1"/>
  <c r="Q54" i="1" s="1"/>
  <c r="CS53" i="1"/>
  <c r="R53" i="1" s="1"/>
  <c r="HI53" i="1" s="1"/>
  <c r="AB53" i="1"/>
  <c r="CS52" i="1"/>
  <c r="R52" i="1" s="1"/>
  <c r="HI52" i="1" s="1"/>
  <c r="AB52" i="1"/>
  <c r="V51" i="1"/>
  <c r="AD51" i="1"/>
  <c r="CR51" i="1" s="1"/>
  <c r="Q51" i="1" s="1"/>
  <c r="CS51" i="1"/>
  <c r="R51" i="1" s="1"/>
  <c r="AB50" i="1"/>
  <c r="CQ50" i="1"/>
  <c r="HJ49" i="1"/>
  <c r="CP48" i="1"/>
  <c r="O48" i="1" s="1"/>
  <c r="CX109" i="3"/>
  <c r="CX112" i="3"/>
  <c r="CX111" i="3"/>
  <c r="CX110" i="3"/>
  <c r="BC60" i="1"/>
  <c r="AU60" i="1"/>
  <c r="AQ60" i="1"/>
  <c r="AB56" i="1"/>
  <c r="CX65" i="3"/>
  <c r="CX69" i="3"/>
  <c r="CX64" i="3"/>
  <c r="CX68" i="3"/>
  <c r="CX63" i="3"/>
  <c r="CX67" i="3"/>
  <c r="CX62" i="3"/>
  <c r="CX66" i="3"/>
  <c r="CQ51" i="1"/>
  <c r="P51" i="1" s="1"/>
  <c r="CP51" i="1" s="1"/>
  <c r="O51" i="1" s="1"/>
  <c r="AB51" i="1"/>
  <c r="CY51" i="1"/>
  <c r="X51" i="1" s="1"/>
  <c r="HJ51" i="1"/>
  <c r="CZ49" i="1"/>
  <c r="Y49" i="1" s="1"/>
  <c r="HJ48" i="1"/>
  <c r="CY43" i="1"/>
  <c r="X43" i="1" s="1"/>
  <c r="HJ43" i="1"/>
  <c r="CZ43" i="1"/>
  <c r="Y43" i="1" s="1"/>
  <c r="GN42" i="1"/>
  <c r="GM42" i="1"/>
  <c r="CX113" i="3"/>
  <c r="CX117" i="3"/>
  <c r="CX116" i="3"/>
  <c r="CX115" i="3"/>
  <c r="CX119" i="3"/>
  <c r="CX114" i="3"/>
  <c r="CX118" i="3"/>
  <c r="CX105" i="3"/>
  <c r="CX104" i="3"/>
  <c r="CX108" i="3"/>
  <c r="CX103" i="3"/>
  <c r="CX107" i="3"/>
  <c r="CX102" i="3"/>
  <c r="CX106" i="3"/>
  <c r="CX93" i="3"/>
  <c r="CX97" i="3"/>
  <c r="CX101" i="3"/>
  <c r="CX92" i="3"/>
  <c r="CX96" i="3"/>
  <c r="CX100" i="3"/>
  <c r="CX91" i="3"/>
  <c r="CX95" i="3"/>
  <c r="CX99" i="3"/>
  <c r="CX90" i="3"/>
  <c r="CX94" i="3"/>
  <c r="CX98" i="3"/>
  <c r="BB60" i="1"/>
  <c r="AX60" i="1"/>
  <c r="AT60" i="1"/>
  <c r="AP60" i="1"/>
  <c r="T51" i="1"/>
  <c r="CZ48" i="1"/>
  <c r="Y48" i="1" s="1"/>
  <c r="HJ47" i="1"/>
  <c r="CS48" i="1"/>
  <c r="R48" i="1" s="1"/>
  <c r="HI48" i="1" s="1"/>
  <c r="AB48" i="1"/>
  <c r="CS47" i="1"/>
  <c r="R47" i="1" s="1"/>
  <c r="HI47" i="1" s="1"/>
  <c r="AB47" i="1"/>
  <c r="CT46" i="1"/>
  <c r="S46" i="1" s="1"/>
  <c r="HJ45" i="1"/>
  <c r="CY45" i="1"/>
  <c r="X45" i="1" s="1"/>
  <c r="CQ45" i="1"/>
  <c r="P45" i="1" s="1"/>
  <c r="CP45" i="1" s="1"/>
  <c r="O45" i="1" s="1"/>
  <c r="AD45" i="1"/>
  <c r="CR45" i="1" s="1"/>
  <c r="Q45" i="1" s="1"/>
  <c r="CX45" i="3"/>
  <c r="CX49" i="3"/>
  <c r="CX53" i="3"/>
  <c r="CX57" i="3"/>
  <c r="CX44" i="3"/>
  <c r="CX48" i="3"/>
  <c r="CX52" i="3"/>
  <c r="CX56" i="3"/>
  <c r="CX47" i="3"/>
  <c r="CX51" i="3"/>
  <c r="CX55" i="3"/>
  <c r="CX46" i="3"/>
  <c r="CX50" i="3"/>
  <c r="CX54" i="3"/>
  <c r="HK44" i="1"/>
  <c r="AB41" i="1"/>
  <c r="AB40" i="1"/>
  <c r="CP39" i="1"/>
  <c r="O39" i="1" s="1"/>
  <c r="AB39" i="1"/>
  <c r="HK34" i="1"/>
  <c r="HL34" i="1"/>
  <c r="CZ32" i="1"/>
  <c r="Y32" i="1" s="1"/>
  <c r="HJ32" i="1"/>
  <c r="CY32" i="1"/>
  <c r="X32" i="1" s="1"/>
  <c r="CX61" i="3"/>
  <c r="CX60" i="3"/>
  <c r="CX59" i="3"/>
  <c r="CX58" i="3"/>
  <c r="CY39" i="1"/>
  <c r="X39" i="1" s="1"/>
  <c r="HJ39" i="1"/>
  <c r="CZ39" i="1"/>
  <c r="Y39" i="1" s="1"/>
  <c r="I50" i="1"/>
  <c r="S50" i="1" s="1"/>
  <c r="CR43" i="1"/>
  <c r="Q43" i="1" s="1"/>
  <c r="CP43" i="1" s="1"/>
  <c r="O43" i="1" s="1"/>
  <c r="AB42" i="1"/>
  <c r="CP34" i="1"/>
  <c r="O34" i="1" s="1"/>
  <c r="CP44" i="1"/>
  <c r="O44" i="1" s="1"/>
  <c r="CY33" i="1"/>
  <c r="X33" i="1" s="1"/>
  <c r="CZ33" i="1"/>
  <c r="Y33" i="1" s="1"/>
  <c r="HJ33" i="1"/>
  <c r="GM29" i="1"/>
  <c r="GN29" i="1"/>
  <c r="CX1" i="3"/>
  <c r="CX5" i="3"/>
  <c r="CX4" i="3"/>
  <c r="CX3" i="3"/>
  <c r="CX2" i="3"/>
  <c r="CX37" i="3"/>
  <c r="CX36" i="3"/>
  <c r="CX39" i="3"/>
  <c r="CX38" i="3"/>
  <c r="HJ36" i="1"/>
  <c r="HJ35" i="1"/>
  <c r="AB34" i="1"/>
  <c r="CP31" i="1"/>
  <c r="O31" i="1" s="1"/>
  <c r="GX28" i="1"/>
  <c r="W28" i="1"/>
  <c r="S28" i="1"/>
  <c r="I41" i="1"/>
  <c r="T41" i="1" s="1"/>
  <c r="AD37" i="1"/>
  <c r="AD33" i="1"/>
  <c r="CR32" i="1"/>
  <c r="Q32" i="1" s="1"/>
  <c r="AB32" i="1"/>
  <c r="CP32" i="1"/>
  <c r="O32" i="1" s="1"/>
  <c r="CY31" i="1"/>
  <c r="X31" i="1" s="1"/>
  <c r="HJ31" i="1"/>
  <c r="CZ31" i="1"/>
  <c r="Y31" i="1" s="1"/>
  <c r="AB31" i="1"/>
  <c r="CY30" i="1"/>
  <c r="X30" i="1" s="1"/>
  <c r="T28" i="1"/>
  <c r="V28" i="1"/>
  <c r="CS28" i="1"/>
  <c r="R28" i="1" s="1"/>
  <c r="AD28" i="1"/>
  <c r="CX41" i="3"/>
  <c r="CX40" i="3"/>
  <c r="CX43" i="3"/>
  <c r="CX42" i="3"/>
  <c r="I40" i="1"/>
  <c r="GX40" i="1" s="1"/>
  <c r="AB38" i="1"/>
  <c r="CS36" i="1"/>
  <c r="R36" i="1" s="1"/>
  <c r="CP36" i="1"/>
  <c r="O36" i="1" s="1"/>
  <c r="CX25" i="3"/>
  <c r="CX29" i="3"/>
  <c r="CX33" i="3"/>
  <c r="CX24" i="3"/>
  <c r="CX28" i="3"/>
  <c r="CX32" i="3"/>
  <c r="CX23" i="3"/>
  <c r="CX27" i="3"/>
  <c r="CX31" i="3"/>
  <c r="CX35" i="3"/>
  <c r="CX22" i="3"/>
  <c r="CX26" i="3"/>
  <c r="CX30" i="3"/>
  <c r="CX34" i="3"/>
  <c r="I37" i="1"/>
  <c r="P37" i="1" s="1"/>
  <c r="I38" i="1"/>
  <c r="V38" i="1" s="1"/>
  <c r="CS35" i="1"/>
  <c r="R35" i="1" s="1"/>
  <c r="CY35" i="1" s="1"/>
  <c r="X35" i="1" s="1"/>
  <c r="CP35" i="1"/>
  <c r="O35" i="1" s="1"/>
  <c r="HJ30" i="1"/>
  <c r="CR30" i="1"/>
  <c r="Q30" i="1" s="1"/>
  <c r="CP30" i="1" s="1"/>
  <c r="O30" i="1" s="1"/>
  <c r="AB30" i="1"/>
  <c r="CX17" i="3"/>
  <c r="CX21" i="3"/>
  <c r="CX16" i="3"/>
  <c r="CX20" i="3"/>
  <c r="CX15" i="3"/>
  <c r="CX19" i="3"/>
  <c r="CX14" i="3"/>
  <c r="CX18" i="3"/>
  <c r="CX9" i="3"/>
  <c r="CX13" i="3"/>
  <c r="CX8" i="3"/>
  <c r="CX12" i="3"/>
  <c r="CX7" i="3"/>
  <c r="CX11" i="3"/>
  <c r="CX6" i="3"/>
  <c r="CX10" i="3"/>
  <c r="D24" i="5" l="1"/>
  <c r="J369" i="5"/>
  <c r="L369" i="5" s="1"/>
  <c r="L365" i="5" s="1"/>
  <c r="L379" i="5" s="1"/>
  <c r="HJ50" i="1"/>
  <c r="GN49" i="1"/>
  <c r="GM49" i="1"/>
  <c r="GM107" i="1"/>
  <c r="GN107" i="1"/>
  <c r="GN101" i="1"/>
  <c r="GM101" i="1"/>
  <c r="GN97" i="1"/>
  <c r="GM97" i="1"/>
  <c r="GN104" i="1"/>
  <c r="GM104" i="1"/>
  <c r="GM110" i="1"/>
  <c r="GN110" i="1"/>
  <c r="GN30" i="1"/>
  <c r="GM30" i="1"/>
  <c r="HK30" i="1"/>
  <c r="HL30" i="1"/>
  <c r="HI36" i="1"/>
  <c r="CZ36" i="1"/>
  <c r="Y36" i="1" s="1"/>
  <c r="HI28" i="1"/>
  <c r="GN32" i="1"/>
  <c r="GM32" i="1"/>
  <c r="AB37" i="1"/>
  <c r="CR37" i="1"/>
  <c r="Q37" i="1" s="1"/>
  <c r="CP37" i="1" s="1"/>
  <c r="O37" i="1" s="1"/>
  <c r="R37" i="1"/>
  <c r="HI37" i="1" s="1"/>
  <c r="S37" i="1"/>
  <c r="W40" i="1"/>
  <c r="GX41" i="1"/>
  <c r="GX37" i="1"/>
  <c r="CJ60" i="1" s="1"/>
  <c r="V40" i="1"/>
  <c r="GM43" i="1"/>
  <c r="GN43" i="1"/>
  <c r="GX38" i="1"/>
  <c r="P40" i="1"/>
  <c r="HK45" i="1"/>
  <c r="HL45" i="1"/>
  <c r="AB45" i="1"/>
  <c r="AX26" i="1"/>
  <c r="F67" i="1"/>
  <c r="AX143" i="1"/>
  <c r="P41" i="1"/>
  <c r="HK43" i="1"/>
  <c r="HL43" i="1"/>
  <c r="HL48" i="1"/>
  <c r="HK48" i="1"/>
  <c r="W41" i="1"/>
  <c r="P50" i="1"/>
  <c r="GM55" i="1"/>
  <c r="GN55" i="1"/>
  <c r="V50" i="1"/>
  <c r="W50" i="1"/>
  <c r="HK53" i="1"/>
  <c r="HL53" i="1"/>
  <c r="HK99" i="1"/>
  <c r="HL99" i="1"/>
  <c r="CI92" i="1"/>
  <c r="AZ113" i="1"/>
  <c r="HK58" i="1"/>
  <c r="HL58" i="1"/>
  <c r="CY98" i="1"/>
  <c r="X98" i="1" s="1"/>
  <c r="GM58" i="1"/>
  <c r="GN58" i="1"/>
  <c r="CY103" i="1"/>
  <c r="X103" i="1" s="1"/>
  <c r="GN103" i="1" s="1"/>
  <c r="AP92" i="1"/>
  <c r="F122" i="1"/>
  <c r="CZ52" i="1"/>
  <c r="Y52" i="1" s="1"/>
  <c r="HL54" i="1"/>
  <c r="HK54" i="1"/>
  <c r="HK57" i="1"/>
  <c r="HL57" i="1"/>
  <c r="HK96" i="1"/>
  <c r="HL96" i="1"/>
  <c r="HK102" i="1"/>
  <c r="HL102" i="1"/>
  <c r="AI92" i="1"/>
  <c r="V113" i="1"/>
  <c r="HK104" i="1"/>
  <c r="HL104" i="1"/>
  <c r="HL107" i="1"/>
  <c r="HK107" i="1"/>
  <c r="GM106" i="1"/>
  <c r="GN106" i="1"/>
  <c r="GM31" i="1"/>
  <c r="GN31" i="1"/>
  <c r="HL33" i="1"/>
  <c r="HK33" i="1"/>
  <c r="W37" i="1"/>
  <c r="Q41" i="1"/>
  <c r="GN44" i="1"/>
  <c r="GM44" i="1"/>
  <c r="R38" i="1"/>
  <c r="HI38" i="1" s="1"/>
  <c r="S40" i="1"/>
  <c r="GX50" i="1"/>
  <c r="U50" i="1"/>
  <c r="HK39" i="1"/>
  <c r="HL39" i="1"/>
  <c r="HK32" i="1"/>
  <c r="HL32" i="1"/>
  <c r="V37" i="1"/>
  <c r="AI60" i="1" s="1"/>
  <c r="CY46" i="1"/>
  <c r="X46" i="1" s="1"/>
  <c r="HJ46" i="1"/>
  <c r="CZ46" i="1"/>
  <c r="Y46" i="1" s="1"/>
  <c r="CZ47" i="1"/>
  <c r="Y47" i="1" s="1"/>
  <c r="BB26" i="1"/>
  <c r="F73" i="1"/>
  <c r="BB143" i="1"/>
  <c r="CY48" i="1"/>
  <c r="X48" i="1" s="1"/>
  <c r="AQ26" i="1"/>
  <c r="F70" i="1"/>
  <c r="AQ143" i="1"/>
  <c r="CP46" i="1"/>
  <c r="O46" i="1" s="1"/>
  <c r="BD26" i="1"/>
  <c r="F85" i="1"/>
  <c r="BD143" i="1"/>
  <c r="CY53" i="1"/>
  <c r="X53" i="1" s="1"/>
  <c r="GN53" i="1" s="1"/>
  <c r="HL94" i="1"/>
  <c r="HK94" i="1"/>
  <c r="CY99" i="1"/>
  <c r="X99" i="1" s="1"/>
  <c r="GM94" i="1"/>
  <c r="GN94" i="1"/>
  <c r="AB113" i="1"/>
  <c r="GN100" i="1"/>
  <c r="AT92" i="1"/>
  <c r="F131" i="1"/>
  <c r="HK52" i="1"/>
  <c r="HL52" i="1"/>
  <c r="GN105" i="1"/>
  <c r="GM105" i="1"/>
  <c r="AQ92" i="1"/>
  <c r="F123" i="1"/>
  <c r="AJ92" i="1"/>
  <c r="W113" i="1"/>
  <c r="CJ92" i="1"/>
  <c r="BA113" i="1"/>
  <c r="HL110" i="1"/>
  <c r="HK110" i="1"/>
  <c r="HK106" i="1"/>
  <c r="HL106" i="1"/>
  <c r="HI35" i="1"/>
  <c r="HK35" i="1" s="1"/>
  <c r="CZ35" i="1"/>
  <c r="Y35" i="1" s="1"/>
  <c r="GM35" i="1" s="1"/>
  <c r="HK31" i="1"/>
  <c r="HL31" i="1"/>
  <c r="CY28" i="1"/>
  <c r="X28" i="1" s="1"/>
  <c r="HJ28" i="1"/>
  <c r="CZ28" i="1"/>
  <c r="Y28" i="1" s="1"/>
  <c r="HK36" i="1"/>
  <c r="HL36" i="1"/>
  <c r="P38" i="1"/>
  <c r="U41" i="1"/>
  <c r="R41" i="1"/>
  <c r="HI41" i="1" s="1"/>
  <c r="T37" i="1"/>
  <c r="AG60" i="1" s="1"/>
  <c r="U37" i="1"/>
  <c r="GM39" i="1"/>
  <c r="GN39" i="1"/>
  <c r="GN45" i="1"/>
  <c r="GM45" i="1"/>
  <c r="U40" i="1"/>
  <c r="HK47" i="1"/>
  <c r="HL47" i="1"/>
  <c r="AP26" i="1"/>
  <c r="F69" i="1"/>
  <c r="AP143" i="1"/>
  <c r="AU26" i="1"/>
  <c r="F79" i="1"/>
  <c r="AU143" i="1"/>
  <c r="GM48" i="1"/>
  <c r="GN48" i="1"/>
  <c r="CZ51" i="1"/>
  <c r="Y51" i="1" s="1"/>
  <c r="HI51" i="1"/>
  <c r="HL51" i="1" s="1"/>
  <c r="GM54" i="1"/>
  <c r="GN54" i="1"/>
  <c r="CI26" i="1"/>
  <c r="AZ60" i="1"/>
  <c r="S41" i="1"/>
  <c r="Q50" i="1"/>
  <c r="AO26" i="1"/>
  <c r="F64" i="1"/>
  <c r="AO143" i="1"/>
  <c r="AB54" i="1"/>
  <c r="GM98" i="1"/>
  <c r="GN98" i="1"/>
  <c r="GN56" i="1"/>
  <c r="GM56" i="1"/>
  <c r="HK97" i="1"/>
  <c r="HL97" i="1"/>
  <c r="HK101" i="1"/>
  <c r="HL101" i="1"/>
  <c r="HL55" i="1"/>
  <c r="HK55" i="1"/>
  <c r="CZ103" i="1"/>
  <c r="Y103" i="1" s="1"/>
  <c r="AX92" i="1"/>
  <c r="F120" i="1"/>
  <c r="CY52" i="1"/>
  <c r="X52" i="1" s="1"/>
  <c r="AB55" i="1"/>
  <c r="AD113" i="1"/>
  <c r="AU92" i="1"/>
  <c r="F132" i="1"/>
  <c r="HK105" i="1"/>
  <c r="HL105" i="1"/>
  <c r="GM109" i="1"/>
  <c r="GN109" i="1"/>
  <c r="AF113" i="1"/>
  <c r="AC113" i="1"/>
  <c r="HK109" i="1"/>
  <c r="HL109" i="1"/>
  <c r="S38" i="1"/>
  <c r="T38" i="1"/>
  <c r="AB28" i="1"/>
  <c r="CR28" i="1"/>
  <c r="Q28" i="1" s="1"/>
  <c r="AB33" i="1"/>
  <c r="CR33" i="1"/>
  <c r="Q33" i="1" s="1"/>
  <c r="CP33" i="1" s="1"/>
  <c r="O33" i="1" s="1"/>
  <c r="CY36" i="1"/>
  <c r="X36" i="1" s="1"/>
  <c r="GM36" i="1" s="1"/>
  <c r="U38" i="1"/>
  <c r="V41" i="1"/>
  <c r="GN34" i="1"/>
  <c r="GM34" i="1"/>
  <c r="R40" i="1"/>
  <c r="HI40" i="1" s="1"/>
  <c r="Q38" i="1"/>
  <c r="T40" i="1"/>
  <c r="W38" i="1"/>
  <c r="AJ60" i="1" s="1"/>
  <c r="Q40" i="1"/>
  <c r="CY47" i="1"/>
  <c r="X47" i="1" s="1"/>
  <c r="AT26" i="1"/>
  <c r="F78" i="1"/>
  <c r="AT143" i="1"/>
  <c r="T50" i="1"/>
  <c r="GM51" i="1"/>
  <c r="GN51" i="1"/>
  <c r="BC26" i="1"/>
  <c r="F76" i="1"/>
  <c r="BC143" i="1"/>
  <c r="HK49" i="1"/>
  <c r="HL49" i="1"/>
  <c r="HI98" i="1"/>
  <c r="AE113" i="1"/>
  <c r="HK42" i="1"/>
  <c r="HL42" i="1"/>
  <c r="R50" i="1"/>
  <c r="HI50" i="1" s="1"/>
  <c r="CZ53" i="1"/>
  <c r="Y53" i="1" s="1"/>
  <c r="GM53" i="1" s="1"/>
  <c r="HK56" i="1"/>
  <c r="HL56" i="1"/>
  <c r="GN96" i="1"/>
  <c r="GM96" i="1"/>
  <c r="CZ99" i="1"/>
  <c r="Y99" i="1" s="1"/>
  <c r="GM99" i="1" s="1"/>
  <c r="HK100" i="1"/>
  <c r="HL100" i="1"/>
  <c r="GN102" i="1"/>
  <c r="GM102" i="1"/>
  <c r="BD92" i="1"/>
  <c r="F138" i="1"/>
  <c r="HK98" i="1"/>
  <c r="HL98" i="1"/>
  <c r="AO92" i="1"/>
  <c r="F117" i="1"/>
  <c r="HK103" i="1"/>
  <c r="HL103" i="1"/>
  <c r="BB92" i="1"/>
  <c r="F126" i="1"/>
  <c r="AH92" i="1"/>
  <c r="U113" i="1"/>
  <c r="CY108" i="1"/>
  <c r="X108" i="1" s="1"/>
  <c r="GM108" i="1" s="1"/>
  <c r="HJ108" i="1"/>
  <c r="CZ108" i="1"/>
  <c r="Y108" i="1" s="1"/>
  <c r="BC92" i="1"/>
  <c r="F129" i="1"/>
  <c r="AG92" i="1"/>
  <c r="T113" i="1"/>
  <c r="J365" i="5" l="1"/>
  <c r="J379" i="5" s="1"/>
  <c r="AJ26" i="1"/>
  <c r="W60" i="1"/>
  <c r="AI26" i="1"/>
  <c r="V60" i="1"/>
  <c r="AG26" i="1"/>
  <c r="T60" i="1"/>
  <c r="CJ26" i="1"/>
  <c r="BA60" i="1"/>
  <c r="AD60" i="1"/>
  <c r="CP28" i="1"/>
  <c r="O28" i="1" s="1"/>
  <c r="AC92" i="1"/>
  <c r="P113" i="1"/>
  <c r="CE113" i="1"/>
  <c r="CF113" i="1"/>
  <c r="CH113" i="1"/>
  <c r="AD92" i="1"/>
  <c r="Q113" i="1"/>
  <c r="AK113" i="1"/>
  <c r="AH60" i="1"/>
  <c r="CP38" i="1"/>
  <c r="O38" i="1" s="1"/>
  <c r="BA92" i="1"/>
  <c r="F133" i="1"/>
  <c r="GN99" i="1"/>
  <c r="BD22" i="1"/>
  <c r="BD175" i="1"/>
  <c r="F168" i="1"/>
  <c r="AQ22" i="1"/>
  <c r="F153" i="1"/>
  <c r="AQ175" i="1"/>
  <c r="BB22" i="1"/>
  <c r="F156" i="1"/>
  <c r="BB175" i="1"/>
  <c r="AZ92" i="1"/>
  <c r="F124" i="1"/>
  <c r="AL113" i="1"/>
  <c r="AX22" i="1"/>
  <c r="F150" i="1"/>
  <c r="AX175" i="1"/>
  <c r="HL35" i="1"/>
  <c r="GM103" i="1"/>
  <c r="U92" i="1"/>
  <c r="F135" i="1"/>
  <c r="AE92" i="1"/>
  <c r="R113" i="1"/>
  <c r="BC22" i="1"/>
  <c r="F159" i="1"/>
  <c r="BC175" i="1"/>
  <c r="CY38" i="1"/>
  <c r="X38" i="1" s="1"/>
  <c r="HJ38" i="1"/>
  <c r="CZ38" i="1"/>
  <c r="Y38" i="1" s="1"/>
  <c r="AF92" i="1"/>
  <c r="S113" i="1"/>
  <c r="HL28" i="1"/>
  <c r="HK28" i="1"/>
  <c r="AB92" i="1"/>
  <c r="O113" i="1"/>
  <c r="HK46" i="1"/>
  <c r="HL46" i="1"/>
  <c r="GN35" i="1"/>
  <c r="V92" i="1"/>
  <c r="F136" i="1"/>
  <c r="HK51" i="1"/>
  <c r="GN108" i="1"/>
  <c r="CZ50" i="1"/>
  <c r="Y50" i="1" s="1"/>
  <c r="HK108" i="1"/>
  <c r="HL108" i="1"/>
  <c r="GM47" i="1"/>
  <c r="GN47" i="1"/>
  <c r="GM33" i="1"/>
  <c r="GN33" i="1"/>
  <c r="GN36" i="1"/>
  <c r="GM52" i="1"/>
  <c r="GN52" i="1"/>
  <c r="AO22" i="1"/>
  <c r="AO175" i="1"/>
  <c r="F147" i="1"/>
  <c r="CZ41" i="1"/>
  <c r="Y41" i="1" s="1"/>
  <c r="CY41" i="1"/>
  <c r="X41" i="1" s="1"/>
  <c r="HJ41" i="1"/>
  <c r="AP22" i="1"/>
  <c r="AP175" i="1"/>
  <c r="F152" i="1"/>
  <c r="W92" i="1"/>
  <c r="F137" i="1"/>
  <c r="CB113" i="1"/>
  <c r="CY40" i="1"/>
  <c r="X40" i="1" s="1"/>
  <c r="CZ40" i="1"/>
  <c r="Y40" i="1" s="1"/>
  <c r="HJ40" i="1"/>
  <c r="CP40" i="1"/>
  <c r="O40" i="1" s="1"/>
  <c r="HJ37" i="1"/>
  <c r="CY37" i="1"/>
  <c r="X37" i="1" s="1"/>
  <c r="AK60" i="1" s="1"/>
  <c r="CZ37" i="1"/>
  <c r="Y37" i="1" s="1"/>
  <c r="AL60" i="1" s="1"/>
  <c r="HL50" i="1"/>
  <c r="HK50" i="1"/>
  <c r="T92" i="1"/>
  <c r="F134" i="1"/>
  <c r="AT22" i="1"/>
  <c r="F161" i="1"/>
  <c r="AT175" i="1"/>
  <c r="AZ26" i="1"/>
  <c r="F71" i="1"/>
  <c r="AZ143" i="1"/>
  <c r="AU22" i="1"/>
  <c r="F162" i="1"/>
  <c r="AU175" i="1"/>
  <c r="AF60" i="1"/>
  <c r="CA113" i="1"/>
  <c r="GM46" i="1"/>
  <c r="GN46" i="1"/>
  <c r="CP50" i="1"/>
  <c r="O50" i="1" s="1"/>
  <c r="CP41" i="1"/>
  <c r="O41" i="1" s="1"/>
  <c r="AE60" i="1"/>
  <c r="AC60" i="1"/>
  <c r="CY50" i="1"/>
  <c r="X50" i="1" s="1"/>
  <c r="AL26" i="1" l="1"/>
  <c r="Y60" i="1"/>
  <c r="AK26" i="1"/>
  <c r="X60" i="1"/>
  <c r="AE26" i="1"/>
  <c r="R60" i="1"/>
  <c r="HL40" i="1"/>
  <c r="HK40" i="1"/>
  <c r="AP18" i="1"/>
  <c r="F184" i="1"/>
  <c r="HK38" i="1"/>
  <c r="HL38" i="1"/>
  <c r="AQ18" i="1"/>
  <c r="F185" i="1"/>
  <c r="BD18" i="1"/>
  <c r="F200" i="1"/>
  <c r="AK92" i="1"/>
  <c r="X113" i="1"/>
  <c r="CF92" i="1"/>
  <c r="AW113" i="1"/>
  <c r="GM28" i="1"/>
  <c r="GN28" i="1"/>
  <c r="AB60" i="1"/>
  <c r="T26" i="1"/>
  <c r="F81" i="1"/>
  <c r="T143" i="1"/>
  <c r="GN37" i="1"/>
  <c r="GN41" i="1"/>
  <c r="GM41" i="1"/>
  <c r="CA92" i="1"/>
  <c r="AR113" i="1"/>
  <c r="AT18" i="1"/>
  <c r="F193" i="1"/>
  <c r="O92" i="1"/>
  <c r="F115" i="1"/>
  <c r="S92" i="1"/>
  <c r="F128" i="1"/>
  <c r="R92" i="1"/>
  <c r="F127" i="1"/>
  <c r="BB18" i="1"/>
  <c r="F188" i="1"/>
  <c r="Q92" i="1"/>
  <c r="F125" i="1"/>
  <c r="CE92" i="1"/>
  <c r="AV113" i="1"/>
  <c r="AD26" i="1"/>
  <c r="Q60" i="1"/>
  <c r="GM37" i="1"/>
  <c r="GM50" i="1"/>
  <c r="GN50" i="1"/>
  <c r="AF26" i="1"/>
  <c r="S60" i="1"/>
  <c r="AZ22" i="1"/>
  <c r="AZ175" i="1"/>
  <c r="F154" i="1"/>
  <c r="HK37" i="1"/>
  <c r="HL37" i="1"/>
  <c r="HK41" i="1"/>
  <c r="HL41" i="1"/>
  <c r="AO18" i="1"/>
  <c r="F179" i="1"/>
  <c r="BC18" i="1"/>
  <c r="F191" i="1"/>
  <c r="AL92" i="1"/>
  <c r="Y113" i="1"/>
  <c r="GM38" i="1"/>
  <c r="GN38" i="1"/>
  <c r="P92" i="1"/>
  <c r="F116" i="1"/>
  <c r="BA26" i="1"/>
  <c r="F80" i="1"/>
  <c r="BA143" i="1"/>
  <c r="V26" i="1"/>
  <c r="F83" i="1"/>
  <c r="V143" i="1"/>
  <c r="W26" i="1"/>
  <c r="F84" i="1"/>
  <c r="W143" i="1"/>
  <c r="AC26" i="1"/>
  <c r="CH60" i="1"/>
  <c r="P60" i="1"/>
  <c r="CE60" i="1"/>
  <c r="CF60" i="1"/>
  <c r="AU18" i="1"/>
  <c r="F194" i="1"/>
  <c r="GM40" i="1"/>
  <c r="GN40" i="1"/>
  <c r="CB92" i="1"/>
  <c r="AS113" i="1"/>
  <c r="AX18" i="1"/>
  <c r="F182" i="1"/>
  <c r="AH26" i="1"/>
  <c r="U60" i="1"/>
  <c r="CH92" i="1"/>
  <c r="AY113" i="1"/>
  <c r="V22" i="1" l="1"/>
  <c r="F166" i="1"/>
  <c r="V175" i="1"/>
  <c r="AS92" i="1"/>
  <c r="F130" i="1"/>
  <c r="P26" i="1"/>
  <c r="F63" i="1"/>
  <c r="P143" i="1"/>
  <c r="CH26" i="1"/>
  <c r="AY60" i="1"/>
  <c r="BA22" i="1"/>
  <c r="BA175" i="1"/>
  <c r="F163" i="1"/>
  <c r="S26" i="1"/>
  <c r="F75" i="1"/>
  <c r="S143" i="1"/>
  <c r="AW92" i="1"/>
  <c r="F119" i="1"/>
  <c r="X26" i="1"/>
  <c r="F86" i="1"/>
  <c r="X143" i="1"/>
  <c r="CF26" i="1"/>
  <c r="AW60" i="1"/>
  <c r="Q26" i="1"/>
  <c r="F72" i="1"/>
  <c r="Q143" i="1"/>
  <c r="AR92" i="1"/>
  <c r="F141" i="1"/>
  <c r="AB26" i="1"/>
  <c r="O60" i="1"/>
  <c r="W22" i="1"/>
  <c r="W175" i="1"/>
  <c r="F167" i="1"/>
  <c r="AZ18" i="1"/>
  <c r="F186" i="1"/>
  <c r="T22" i="1"/>
  <c r="F164" i="1"/>
  <c r="T175" i="1"/>
  <c r="CB60" i="1"/>
  <c r="X92" i="1"/>
  <c r="F139" i="1"/>
  <c r="R26" i="1"/>
  <c r="F74" i="1"/>
  <c r="R143" i="1"/>
  <c r="Y26" i="1"/>
  <c r="F87" i="1"/>
  <c r="Y143" i="1"/>
  <c r="AY92" i="1"/>
  <c r="F121" i="1"/>
  <c r="CE26" i="1"/>
  <c r="AV60" i="1"/>
  <c r="U26" i="1"/>
  <c r="F82" i="1"/>
  <c r="U143" i="1"/>
  <c r="Y92" i="1"/>
  <c r="F140" i="1"/>
  <c r="AV92" i="1"/>
  <c r="F118" i="1"/>
  <c r="CA60" i="1"/>
  <c r="AV26" i="1" l="1"/>
  <c r="F65" i="1"/>
  <c r="AV143" i="1"/>
  <c r="R22" i="1"/>
  <c r="F157" i="1"/>
  <c r="R175" i="1"/>
  <c r="W18" i="1"/>
  <c r="F199" i="1"/>
  <c r="S22" i="1"/>
  <c r="F158" i="1"/>
  <c r="S175" i="1"/>
  <c r="BA18" i="1"/>
  <c r="F195" i="1"/>
  <c r="P22" i="1"/>
  <c r="F146" i="1"/>
  <c r="P175" i="1"/>
  <c r="CB26" i="1"/>
  <c r="AS60" i="1"/>
  <c r="AW26" i="1"/>
  <c r="F66" i="1"/>
  <c r="AW143" i="1"/>
  <c r="V18" i="1"/>
  <c r="F198" i="1"/>
  <c r="CA26" i="1"/>
  <c r="AR60" i="1"/>
  <c r="U22" i="1"/>
  <c r="F165" i="1"/>
  <c r="U175" i="1"/>
  <c r="T18" i="1"/>
  <c r="F196" i="1"/>
  <c r="O26" i="1"/>
  <c r="F62" i="1"/>
  <c r="O143" i="1"/>
  <c r="Q22" i="1"/>
  <c r="Q175" i="1"/>
  <c r="F155" i="1"/>
  <c r="AY26" i="1"/>
  <c r="F68" i="1"/>
  <c r="AY143" i="1"/>
  <c r="Y22" i="1"/>
  <c r="Y175" i="1"/>
  <c r="F170" i="1"/>
  <c r="X22" i="1"/>
  <c r="F169" i="1"/>
  <c r="X175" i="1"/>
  <c r="U18" i="1" l="1"/>
  <c r="F197" i="1"/>
  <c r="P18" i="1"/>
  <c r="F178" i="1"/>
  <c r="AY22" i="1"/>
  <c r="F151" i="1"/>
  <c r="AY175" i="1"/>
  <c r="Q18" i="1"/>
  <c r="F187" i="1"/>
  <c r="S18" i="1"/>
  <c r="F190" i="1"/>
  <c r="AV22" i="1"/>
  <c r="AV175" i="1"/>
  <c r="F148" i="1"/>
  <c r="AS26" i="1"/>
  <c r="F77" i="1"/>
  <c r="AS143" i="1"/>
  <c r="R18" i="1"/>
  <c r="F189" i="1"/>
  <c r="X18" i="1"/>
  <c r="F201" i="1"/>
  <c r="Y18" i="1"/>
  <c r="F202" i="1"/>
  <c r="O22" i="1"/>
  <c r="F145" i="1"/>
  <c r="O175" i="1"/>
  <c r="AR26" i="1"/>
  <c r="F88" i="1"/>
  <c r="AR143" i="1"/>
  <c r="AW22" i="1"/>
  <c r="F149" i="1"/>
  <c r="AW175" i="1"/>
  <c r="AW18" i="1" l="1"/>
  <c r="F181" i="1"/>
  <c r="AY18" i="1"/>
  <c r="F183" i="1"/>
  <c r="O18" i="1"/>
  <c r="F177" i="1"/>
  <c r="AR22" i="1"/>
  <c r="AR175" i="1"/>
  <c r="F171" i="1"/>
  <c r="AS22" i="1"/>
  <c r="AS175" i="1"/>
  <c r="F160" i="1"/>
  <c r="AV18" i="1"/>
  <c r="F180" i="1"/>
  <c r="AR18" i="1" l="1"/>
  <c r="F203" i="1"/>
  <c r="AS18" i="1"/>
  <c r="F192" i="1"/>
  <c r="F172" i="1"/>
  <c r="F173" i="1" s="1"/>
</calcChain>
</file>

<file path=xl/sharedStrings.xml><?xml version="1.0" encoding="utf-8"?>
<sst xmlns="http://schemas.openxmlformats.org/spreadsheetml/2006/main" count="5092" uniqueCount="548">
  <si>
    <t>Smeta.RU  (495) 974-1589</t>
  </si>
  <si>
    <t>_PS_</t>
  </si>
  <si>
    <t>Smeta.RU</t>
  </si>
  <si>
    <t/>
  </si>
  <si>
    <t>24.09.21</t>
  </si>
  <si>
    <t>сентябрь)Восстановление дорожного покрытия после проведения аварийных ремонтных работ на сетях теплоснабжения ГУП РК "Крымтеплокоммунэнерго" на 2021г._(Копия)</t>
  </si>
  <si>
    <t>Т.Ф. Петрихина</t>
  </si>
  <si>
    <t>вед. инженерПТО по проектно-сметной работе</t>
  </si>
  <si>
    <t>Р.Л. Кравчук</t>
  </si>
  <si>
    <t>начальник ПТО</t>
  </si>
  <si>
    <t>С.М. Забара</t>
  </si>
  <si>
    <t>Главный инженер</t>
  </si>
  <si>
    <t>ГУП РК "Крымтеплокоммунэнерго"</t>
  </si>
  <si>
    <t>ГУП РК "Крымтеплокоммунэнерго", 295026, г.Симферополь, ул.Гайдара,3а, 53-41-87, 51-61-49</t>
  </si>
  <si>
    <t>Сметные нормы списания</t>
  </si>
  <si>
    <t>Коды ценников</t>
  </si>
  <si>
    <t>Крым Республика ТСНБ-2017</t>
  </si>
  <si>
    <t>Версия 1.0.0 ГСН (ГЭСН, ФЕР) и ТЕР (Методики НР (812/пр) и СП (774/пр) от 16.07.2021 г.</t>
  </si>
  <si>
    <t>Поправки для ГСН (ФЕР) 2017 от 25.06.2021 г Кап. ремонт производственных зданий</t>
  </si>
  <si>
    <t>Территориальные единичные расценки Республики Крым, утвержденные приказами Минстроя России от 28.09.2017 г.</t>
  </si>
  <si>
    <t>ТЕР</t>
  </si>
  <si>
    <t>восстановление асфальтобетонного покрытия после разрытий</t>
  </si>
  <si>
    <t>01</t>
  </si>
  <si>
    <t>асфальтобетонное покрытие городских дорог (щебень-22см, а/б - 11 см)</t>
  </si>
  <si>
    <t>1</t>
  </si>
  <si>
    <t>01-01-014-05</t>
  </si>
  <si>
    <t>Разработка грунта с погрузкой на автомобили-самосвалы экскаваторами с ковшом вместимостью 0,25 м3, группа грунтов 2</t>
  </si>
  <si>
    <t>1000 м3</t>
  </si>
  <si>
    <t>ТЕР Республики Крым (ред. 2017), 01-01-014-05, Приказ Минстроя России от 28.09.2017 г. № 1388/пр</t>
  </si>
  <si>
    <t>письмо Минстроя от 31.08.2021 №36820-ИФ/09</t>
  </si>
  <si>
    <t>Поправка: п.8.7.1  Наименование: При выполнении работ в существующих зданиях и сооружениях, аналогичных процессам при новом строительстве (кроме работ по нормам сборника № 46 «Работы при реконструкции зданий и сооружений»)</t>
  </si>
  <si>
    <t>)*1,25</t>
  </si>
  <si>
    <t>)*1,15</t>
  </si>
  <si>
    <t>Общестроительные работы</t>
  </si>
  <si>
    <t>Земляные работы</t>
  </si>
  <si>
    <t>Земляные работы, выполняемые: механизированным способом</t>
  </si>
  <si>
    <t>ФЕР-01</t>
  </si>
  <si>
    <t>Поправка: п.8.7.1</t>
  </si>
  <si>
    <t>2</t>
  </si>
  <si>
    <t>т03-01-01-015</t>
  </si>
  <si>
    <t>Перевозка грузов I класса автомобилями бортовыми грузоподъемностью до 15 т на расстояние до 15 км</t>
  </si>
  <si>
    <t>1 Т ГРУЗА</t>
  </si>
  <si>
    <t>ТССЦпг Республики Крым (ред. 2017), т03-01-01-015, Приказ Минстроя России от 28.09.2017 г. № 1288/пр</t>
  </si>
  <si>
    <t>Перевозка грузов авто/транспортом</t>
  </si>
  <si>
    <t>Перевозка строительных грузов автомобильным транспортом</t>
  </si>
  <si>
    <t>ФССЦпр , изм. 7</t>
  </si>
  <si>
    <t>3</t>
  </si>
  <si>
    <t>27-04-001-04</t>
  </si>
  <si>
    <t>Устройство подстилающих и выравнивающих слоев оснований из щебня</t>
  </si>
  <si>
    <t>100 м3</t>
  </si>
  <si>
    <t>ТЕР Республики Крым (ред. 2017), 27-04-001-04, Приказ Минстроя России от 28.09.2017 г. № 1335/пр</t>
  </si>
  <si>
    <t>Автомобильные дороги</t>
  </si>
  <si>
    <t>ФЕР-27</t>
  </si>
  <si>
    <t>4</t>
  </si>
  <si>
    <t>02.2.05.04-0088</t>
  </si>
  <si>
    <t>Щебень из природного камня для строительных работ марка 600, фракция 20-40 мм</t>
  </si>
  <si>
    <t>м3</t>
  </si>
  <si>
    <t>ТССЦ Республики Крым (ред. 2017), 02.2.05.04-0088, Приказ Минстроя России от 28.09.2017 г. № 1346/пр</t>
  </si>
  <si>
    <t>Материалы строительные</t>
  </si>
  <si>
    <t>Материалы и конструкции ( строительные ) по ценникам и каталогом</t>
  </si>
  <si>
    <t>ФССЦст</t>
  </si>
  <si>
    <t>5</t>
  </si>
  <si>
    <t>02.2.05.04-0089</t>
  </si>
  <si>
    <t>Щебень из природного камня для строительных работ марка 600, фракция 40-70 мм</t>
  </si>
  <si>
    <t>ТССЦ Республики Крым (ред. 2017), 02.2.05.04-0089, Приказ Минстроя России от 28.09.2017 г. № 1346/пр</t>
  </si>
  <si>
    <t>6</t>
  </si>
  <si>
    <t>27-04-001-02</t>
  </si>
  <si>
    <t>Устройство подстилающих и выравнивающих слоев оснований из песчано-гравийной смеси, дресвы</t>
  </si>
  <si>
    <t>ТЕР Республики Крым (ред. 2017), 27-04-001-02, Приказ Минстроя России от 28.09.2017 г. № 1335/пр</t>
  </si>
  <si>
    <t>6.1</t>
  </si>
  <si>
    <t>02.2.04.03</t>
  </si>
  <si>
    <t>Смесь песчано-гравийная</t>
  </si>
  <si>
    <t>7</t>
  </si>
  <si>
    <t>02.2.04.03-0003</t>
  </si>
  <si>
    <t>Смесь песчано-гравийная природная</t>
  </si>
  <si>
    <t>ТССЦ Республики Крым (ред. 2017), 02.2.04.03-0003, Приказ Минстроя России от 28.09.2017 г. № 1346/пр</t>
  </si>
  <si>
    <t>8</t>
  </si>
  <si>
    <t>27-06-020-03</t>
  </si>
  <si>
    <t>Устройство покрытия толщиной 4 см из горячих асфальтобетонных смесей плотных крупнозернинистых типа АБ, плотность каменных материалов 2,5-2,9 т/м3</t>
  </si>
  <si>
    <t>1000 м2</t>
  </si>
  <si>
    <t>ТЕР Республики Крым (ред. 2017), 27-06-020-03, Приказ Минстроя России от 28.09.2017 г. № 1335/пр</t>
  </si>
  <si>
    <t>8.1</t>
  </si>
  <si>
    <t>01.2.01.02</t>
  </si>
  <si>
    <t>Битум</t>
  </si>
  <si>
    <t>т</t>
  </si>
  <si>
    <t>8.2</t>
  </si>
  <si>
    <t>04.2.01.04</t>
  </si>
  <si>
    <t>Смесь асфальтобетонная</t>
  </si>
  <si>
    <t>9</t>
  </si>
  <si>
    <t>27-06-021-03</t>
  </si>
  <si>
    <t>На каждые 0,5 см изменения толщины покрытия добавлять или исключать к расценке 27-06-020-03. К=4</t>
  </si>
  <si>
    <t>ТЕР Республики Крым (ред. 2017), 27-06-021-03, Приказ Минстроя России от 28.09.2017 г. № 1335/пр</t>
  </si>
  <si>
    <t>*4</t>
  </si>
  <si>
    <t>)*1,25*4</t>
  </si>
  <si>
    <t>)*1,15*4</t>
  </si>
  <si>
    <t>9.1</t>
  </si>
  <si>
    <t>9.2</t>
  </si>
  <si>
    <t>10</t>
  </si>
  <si>
    <t>На каждые 0,5 см изменения толщины покрытия добавлять или исключать к расценке 27-06-020-03.К=2</t>
  </si>
  <si>
    <t>*2</t>
  </si>
  <si>
    <t>)*1,25*2</t>
  </si>
  <si>
    <t>)*1,15*2</t>
  </si>
  <si>
    <t>10.1</t>
  </si>
  <si>
    <t>10.2</t>
  </si>
  <si>
    <t>11</t>
  </si>
  <si>
    <t>27-06-020-01</t>
  </si>
  <si>
    <t>Устройство покрытия толщиной 4 см из горячих асфальтобетонных смесей плотных мелкозернистых типа АБВ, плотность каменных материалов 2,5-2,9 т/м3</t>
  </si>
  <si>
    <t>ТЕР Республики Крым (ред. 2017), 27-06-020-01, Приказ Минстроя России от 28.09.2017 г. № 1335/пр</t>
  </si>
  <si>
    <t>11.1</t>
  </si>
  <si>
    <t>11.2</t>
  </si>
  <si>
    <t>12</t>
  </si>
  <si>
    <t>27-06-021-01</t>
  </si>
  <si>
    <t>На каждые 0,5 см изменения толщины покрытия добавлять или исключать к расценке 27-06-020-01.К=2</t>
  </si>
  <si>
    <t>ТЕР Республики Крым (ред. 2017), 27-06-021-01, Приказ Минстроя России от 28.09.2017 г. № 1335/пр</t>
  </si>
  <si>
    <t>12.1</t>
  </si>
  <si>
    <t>12.2</t>
  </si>
  <si>
    <t>13</t>
  </si>
  <si>
    <t>01.2.03.07-0026</t>
  </si>
  <si>
    <t>Эмульсия битумно-катионная, марка ЭБК-3</t>
  </si>
  <si>
    <t>ТССЦ Республики Крым (ред. 2017), 01.2.03.07-0026, Приказ Минстроя России от 28.09.2017 г. № 1346/пр</t>
  </si>
  <si>
    <t>14</t>
  </si>
  <si>
    <t>04.2.01.01-0036</t>
  </si>
  <si>
    <t>Смеси асфальтобетонные дорожные, аэродромные и асфальтобетон (горячие для плотного асфальтобетона мелко и крупнозернистые, песчаные), марка II, тип Б</t>
  </si>
  <si>
    <t>ТССЦ Республики Крым (ред. 2017), 04.2.01.01-0036, Приказ Минстроя России от 28.09.2017 г. № 1346/пр</t>
  </si>
  <si>
    <t>15</t>
  </si>
  <si>
    <t>27-02-010-02</t>
  </si>
  <si>
    <t>Установка бортовых камней бетонных при других видах покрытий</t>
  </si>
  <si>
    <t>100 м</t>
  </si>
  <si>
    <t>ТЕР Республики Крым (ред. 2017), 27-02-010-02, Приказ Минстроя России от 28.09.2017 г. № 1335/пр</t>
  </si>
  <si>
    <t>16</t>
  </si>
  <si>
    <t>05.2.03.03-0032</t>
  </si>
  <si>
    <t>Камни бортовые БР 100.30.15 /бетон В30 (М400), объем 0,043 м3/ (ГОСТ 6665-91)</t>
  </si>
  <si>
    <t>шт.</t>
  </si>
  <si>
    <t>ТССЦ Республики Крым (ред. 2017), 05.2.03.03-0032, Приказ Минстроя России от 28.09.2017 г. № 1347/пр</t>
  </si>
  <si>
    <t>17</t>
  </si>
  <si>
    <t>27-06-026-01</t>
  </si>
  <si>
    <t>Розлив вяжущих материалов</t>
  </si>
  <si>
    <t>ТЕР Республики Крым (ред. 2017), 27-06-026-01, Приказ Минстроя России от 28.09.2017 г. № 1335/пр</t>
  </si>
  <si>
    <t>)*1,25+2,76</t>
  </si>
  <si>
    <t>Поправка: п.8.7.1  Поправка: Сб. 27, п. 1.27. 8</t>
  </si>
  <si>
    <t>17.1</t>
  </si>
  <si>
    <t>18</t>
  </si>
  <si>
    <t>19</t>
  </si>
  <si>
    <t>27-06-008-01</t>
  </si>
  <si>
    <t>Устройство шва-стыка в асфальтобетонном покрытии</t>
  </si>
  <si>
    <t>ТЕР Республики Крым (ред. 2017), 27-06-008-01, Приказ Минстроя России от 28.09.2017 г. № 1335/пр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</si>
  <si>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</si>
  <si>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</si>
  <si>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</si>
  <si>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</si>
  <si>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</si>
  <si>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</si>
  <si>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</si>
  <si>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</si>
  <si>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</si>
  <si>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</si>
  <si>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</si>
  <si>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</si>
  <si>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</si>
  <si>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</si>
  <si>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</si>
  <si>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</si>
  <si>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</si>
  <si>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</si>
  <si>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</si>
  <si>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</si>
  <si>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</si>
  <si>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</si>
  <si>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</si>
  <si>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</si>
  <si>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</si>
  <si>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</si>
  <si>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</si>
  <si>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</si>
  <si>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</si>
  <si>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</si>
  <si>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</si>
  <si>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</si>
  <si>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</si>
  <si>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</si>
  <si>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</si>
  <si>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</si>
  <si>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</si>
  <si>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</si>
  <si>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</si>
  <si>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</si>
  <si>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</si>
  <si>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</si>
  <si>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</si>
  <si>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</si>
  <si>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</si>
  <si>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</si>
  <si>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Перевозка</t>
  </si>
  <si>
    <t>Перевозка грузов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</si>
  <si>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</si>
  <si>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</si>
  <si>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</si>
  <si>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</si>
  <si>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</si>
  <si>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</si>
  <si>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02</t>
  </si>
  <si>
    <t>тротуары с асфальтобетонным покрытием (щебень-13см, а/б - 5см)</t>
  </si>
  <si>
    <t>20</t>
  </si>
  <si>
    <t>21</t>
  </si>
  <si>
    <t>22</t>
  </si>
  <si>
    <t>23</t>
  </si>
  <si>
    <t>27-07-002-01</t>
  </si>
  <si>
    <t>Устройство оснований толщиной 12 см под тротуары из кирпичного или известнякового щебня</t>
  </si>
  <si>
    <t>100 м2</t>
  </si>
  <si>
    <t>ТЕР Республики Крым (ред. 2017), 27-07-002-01, Приказ Минстроя России от 28.09.2017 г. № 1335/пр</t>
  </si>
  <si>
    <t>23.1</t>
  </si>
  <si>
    <t>02.2.05.04</t>
  </si>
  <si>
    <t>Щебень известняковый или кирпичный</t>
  </si>
  <si>
    <t>24</t>
  </si>
  <si>
    <t>27-07-002-02</t>
  </si>
  <si>
    <t>На каждый 1 см изменения толщины оснований добавлять или исключать к расценке 27-07-002-01</t>
  </si>
  <si>
    <t>ТЕР Республики Крым (ред. 2017), 27-07-002-02, Приказ Минстроя России от 28.09.2017 г. № 1335/пр</t>
  </si>
  <si>
    <t>24.1</t>
  </si>
  <si>
    <t>25</t>
  </si>
  <si>
    <t>26</t>
  </si>
  <si>
    <t>27-07-001-01</t>
  </si>
  <si>
    <t>Устройство асфальтобетонных покрытий дорожек и тротуаров однослойных из литой мелкозернистой асфальто-бетонной смеси толщиной 3 см</t>
  </si>
  <si>
    <t>ТЕР Республики Крым (ред. 2017), 27-07-001-01, Приказ Минстроя России от 28.09.2017 г. № 1335/пр</t>
  </si>
  <si>
    <t>26.1</t>
  </si>
  <si>
    <t>27</t>
  </si>
  <si>
    <t>01.2.01.01-0019</t>
  </si>
  <si>
    <t>Битумы нефтяные дорожные марки БНД-60/90, БНД 90/130</t>
  </si>
  <si>
    <t>ТССЦ Республики Крым (ред. 2017), 01.2.01.01-0019, Приказ Минстроя России от 28.09.2017 г. № 1346/пр</t>
  </si>
  <si>
    <t>28</t>
  </si>
  <si>
    <t>27-07-001-02</t>
  </si>
  <si>
    <t>На каждые 0,5 см изменения толщины покрытия добавлять к расценке 27-07-001-01К=4</t>
  </si>
  <si>
    <t>ТЕР Республики Крым (ред. 2017), 27-07-001-02, Приказ Минстроя России от 28.09.2017 г. № 1335/пр</t>
  </si>
  <si>
    <t>*4)*1,15</t>
  </si>
  <si>
    <t>28.1</t>
  </si>
  <si>
    <t>29</t>
  </si>
  <si>
    <t>30</t>
  </si>
  <si>
    <t>04.2.01.01-0038</t>
  </si>
  <si>
    <t>Смеси асфальтобетонные дорожные, аэродромные и асфальтобетон (горячие для плотного асфальтобетона мелко и крупнозернистые, песчаные), марка II, тип Г</t>
  </si>
  <si>
    <t>ТССЦ Республики Крым (ред. 2017), 04.2.01.01-0038, Приказ Минстроя России от 28.09.2017 г. № 1346/пр</t>
  </si>
  <si>
    <t>31</t>
  </si>
  <si>
    <t>32</t>
  </si>
  <si>
    <t>05.2.03.03-0031</t>
  </si>
  <si>
    <t>Камни бортовые БР 100.20.8 /бетон В22,5 (М300), объем 0,016 м3/ (ГОСТ 6665-91)</t>
  </si>
  <si>
    <t>ТССЦ Республики Крым (ред. 2017), 05.2.03.03-0031, Приказ Минстроя России от 28.09.2017 г. № 1347/пр</t>
  </si>
  <si>
    <t>33</t>
  </si>
  <si>
    <t>т03-21-01-050</t>
  </si>
  <si>
    <t>Перевозка грузов I класса автомобилями-самосвалами грузоподъемностью 10 т работающих вне карьера на расстояние до 50 км</t>
  </si>
  <si>
    <t>ТССЦпг Республики Крым (ред. 2017), т03-21-01-050, Приказ Минстроя России от 28.09.2017 г. № 1288/пр</t>
  </si>
  <si>
    <t>НДС</t>
  </si>
  <si>
    <t>НДС 20%</t>
  </si>
  <si>
    <t>ВсНДС</t>
  </si>
  <si>
    <t>Всего с НДС</t>
  </si>
  <si>
    <t>СТР_РЕК</t>
  </si>
  <si>
    <t>СТРОИТЕЛЬСТВО и РЕКОНСТРУКЦИЯ  зданий и сооружений всех назначений</t>
  </si>
  <si>
    <t>Строительство и реконструкция</t>
  </si>
  <si>
    <t>РЕМ_ЖИЛ</t>
  </si>
  <si>
    <t>КАП. РЕМ. ЖИЛЫХ И ОБЩЕСТВЕННЫХ ЗДАНИЙ</t>
  </si>
  <si>
    <t>Капитальный ремонт жилых и общественных зданий</t>
  </si>
  <si>
    <t>РЕМ_ПР</t>
  </si>
  <si>
    <t>КАП. РЕМ. ПРОИЗВОДСТВЕННЫХ ЗД. и СООРУЖЕНИЙ,  НАРУЖНЫХ ИНЖЕНЕРНЫХ СЕТЕЙ, УЛИЦ И ДОРОГ МЕСТНОГО ЗНАЧЕНИЯ, ИНЖ,СООРУЖЕНИЙ ( ГИДРОТЕХ,СООРУЖ, МОСТОВ И ПУТЕПРОВОДОВ И Т.П.)</t>
  </si>
  <si>
    <t>Капитальный ремонт прозводственных зданий</t>
  </si>
  <si>
    <t>Территория</t>
  </si>
  <si>
    <t>для территории Российской Федерации, не относящейся к районам Крайнего Севера и приравненным к ним местностям</t>
  </si>
  <si>
    <t>МПРКС</t>
  </si>
  <si>
    <t>для территории Российской Федерации, относящейся к местностям, приравненным к районам Крайнего Севера</t>
  </si>
  <si>
    <t>РКС</t>
  </si>
  <si>
    <t>для территории Российской Федерации, относящейся к районам Крайнего Севера</t>
  </si>
  <si>
    <t>СЛЖ</t>
  </si>
  <si>
    <t>При определении сметной стоимости строительства объектов капитального строительства, относящихся к особо опасным и технически сложным. За исключением АЭС.</t>
  </si>
  <si>
    <t>Для сборников ФЕР ( при производстве работ на технически сложных объектах ):  ·  { СЛЖ } - (вкл.)    - работа на сложных объектах  (к=1,2 к НР)           ·  { СЛЖ } - (выкл.) - работа на обычных объектах</t>
  </si>
  <si>
    <t>Сложные объекты</t>
  </si>
  <si>
    <t>АЭС</t>
  </si>
  <si>
    <t>При определении сметной стоимости строительства объектов капитального строительства АЭС.</t>
  </si>
  <si>
    <t>Для сборника ФЕРм -39  и ФЕРМ-08  ( при работах по контролю сварных соединений) :    {мАЭС} - ( вкл.)  -     при выполнении работ по на АЭС  (HР=101%; СП= 68%;             {мАЭС} - (выкл.) -  при выполнении работ  на обычных объектах</t>
  </si>
  <si>
    <t>ОПТ/В</t>
  </si>
  <si>
    <t>{вкл}    - Прокладка  МЕЖДУГОРОДНЫХ  ВОЛОКОННО-ОПТИЧЕСКИХ ЛИНИЙ (для ФЕРм10, отд. 6 разд.3)  {выкл} - Прокладка  ГОРОДСКИХ               ВОЛОКОННО-ОПТИТЕСКИХ ЛИНИЙ  (для ФЕРм10, отд. 6 разд.3)</t>
  </si>
  <si>
    <t>Для сборников ФЕРм-10  ( волоконно-оптические линии связи ): ·  {М_ГОР_опт} -  ( вкл.)  - междугородные сети связи ( НР=120% , СП=70% )           ·  {М_ГОР_опт} - ( выкл.) - городские сети связи  ( НР=100%; СП=65%)</t>
  </si>
  <si>
    <t>Прокладка междугородных в/опт. кабелей</t>
  </si>
  <si>
    <t>АВИ</t>
  </si>
  <si>
    <t>(вкл)   -  При работах по ДИСПЕТЧЕРЕЗАЦИИ управления движением АВИАТРАНСПОРТОМ {вкл}  (монтажные работы )</t>
  </si>
  <si>
    <t>Для сборников ФЕРм 08;10;11 :    · {мАВИА} -  (вкл.)     -  производство монтажных  работы по диспетчеризации управления  движением авиатранспортном (НР=95%, СП=55%) ;    ·            {мАВИА} -  (выкл. ) -  при производстве работ на прочих объектах , кром</t>
  </si>
  <si>
    <t>Диспетчеризация авитранспорта</t>
  </si>
  <si>
    <t>ЗАКР</t>
  </si>
  <si>
    <t>{вкл}   -  Обслуживающие и сопутстующие работы в тоннелях при  производве работ ЗАКРЫТЫМ СПОСОБОМ   {выкл} - Обслуживающие и сопутстующие работы в тоннелях при  производве работ  ОТКРЫТЫМ</t>
  </si>
  <si>
    <t>Для сборника ФЕР -29 ( сопутствующие работы в тоннелях и метро. ): ·  {ЗАКР} - (вкл.)     -  при выполнении работ в тоннелях  и метро закрытым способом  (НР=145% , СП=75%); ·                {ЗАКР} - (выкл.) -   при выполнении работ в тоннелях и метро  отк</t>
  </si>
  <si>
    <t>Производство работ закрытым способом (обслуживающие процессы)</t>
  </si>
  <si>
    <t>ГОР</t>
  </si>
  <si>
    <t>(вкл) - ФЕРм-08, выполнение работ на горнорудных объектах  (выкл) - ФЕРм-08, выполнение работ на других объектах</t>
  </si>
  <si>
    <t>Выполнение работ на горнорудных объектах</t>
  </si>
  <si>
    <t>К_НР_РЕМ</t>
  </si>
  <si>
    <t>при ремонте жилых и общественных зданий если  ( если {РЕМ_ЖИЛ}= [вкл.]</t>
  </si>
  <si>
    <t>Для сборников  ФЕР и  ФЕРмр :  · Значение {_МДСрем_НР}= 0,90 -  при ремонте зданий жилого и гражданского назначений ( 0,90 к НР) ;  · Значение {_МДСрем_НР}= 1,00  - при строительстве  и реконструкции  объектов всех назначений</t>
  </si>
  <si>
    <t>п.25</t>
  </si>
  <si>
    <t>К_СП_РЕМ</t>
  </si>
  <si>
    <t>к нормам СП при капитальном ремонте зданий и сооружений всех назначений ( если или {РЕМ_ЖИЛ}=[вкл] , или (РЕМ_ПР}=[вкл] )</t>
  </si>
  <si>
    <t>Для сборников  ФЕР и  ФЕРмр :   · Значение {_МДСрем_СП} = 0.85  -  при ремонте зданий всех назначений ( 0,85 к СП);   · Значение {_МДСрем_СП} = 1,00 -  при строительстве  и реконструкции  объектов всех назначений</t>
  </si>
  <si>
    <t>п.16</t>
  </si>
  <si>
    <t>К_НР_СЛЖ</t>
  </si>
  <si>
    <t>При определении сметной стоимости строительства объектов капитального строительства, относящихся к особо опасным и технически сложным. За исключением объектов атомных электрических станций.  ( если {СЛЖ} = [вкл] )</t>
  </si>
  <si>
    <t>п.27 СЛОЖН</t>
  </si>
  <si>
    <t>К_НР_АЭС</t>
  </si>
  <si>
    <t>При определении сметной стоимости строительства объектов капитального строительства, относящихся к особо опасным и технически сложным. Для объектов атомных электрических станций.  ( если {АЭС} = [вкл] )</t>
  </si>
  <si>
    <t>п.27 АЭС</t>
  </si>
  <si>
    <t>Р_ОКР</t>
  </si>
  <si>
    <t>Разрядность округления результата расчета НР и СП  (с 05.04.2020 - до семи знаков после запятой)</t>
  </si>
  <si>
    <t>Лист_НРиСП</t>
  </si>
  <si>
    <t>Текущий по статьям Крымский РЦСС</t>
  </si>
  <si>
    <t>Индексы за итогом</t>
  </si>
  <si>
    <t>_OBSM_</t>
  </si>
  <si>
    <t>1-100-20-82</t>
  </si>
  <si>
    <t>Рабочий среднего разряда 2</t>
  </si>
  <si>
    <t>чел.-ч.</t>
  </si>
  <si>
    <t>4-100-00-82</t>
  </si>
  <si>
    <t>Затраты труда машинистов</t>
  </si>
  <si>
    <t>91.01.01-034</t>
  </si>
  <si>
    <t>ТСЭМ Республики Крым (ред. 2017), 91.01.01-034, Приказ Минстроя России от 28.09.2017 г. № 1296/пр</t>
  </si>
  <si>
    <t>Бульдозеры, мощность 59 кВт (80 л.с.)</t>
  </si>
  <si>
    <t>маш.-ч</t>
  </si>
  <si>
    <t>91.01.05-106</t>
  </si>
  <si>
    <t>ТСЭМ Республики Крым (ред. 2017), 91.01.05-106, Приказ Минстроя России от 28.09.2017 г. № 1296/пр</t>
  </si>
  <si>
    <t>Экскаваторы одноковшовые дизельные на пневмоколесном ходу, емкость ковша 0,25 м3</t>
  </si>
  <si>
    <t>02.2.05.04-0093</t>
  </si>
  <si>
    <t>ТССЦ Республики Крым (ред. 2017), 02.2.05.04-0093, Приказ Минстроя России от 28.09.2017 г. № 1346/пр</t>
  </si>
  <si>
    <t>Щебень из природного камня для строительных работ марка 800, фракция 20-40 мм</t>
  </si>
  <si>
    <t>1-100-24-82</t>
  </si>
  <si>
    <t>Рабочий среднего разряда 2.4</t>
  </si>
  <si>
    <t>91.01.01-035</t>
  </si>
  <si>
    <t>ТСЭМ Республики Крым (ред. 2017), 91.01.01-035, Приказ Минстроя России от 28.09.2017 г. № 1296/пр</t>
  </si>
  <si>
    <t>Бульдозеры, мощность 79 кВт (108 л.с.)</t>
  </si>
  <si>
    <t>91.01.02-004</t>
  </si>
  <si>
    <t>ТСЭМ Республики Крым (ред. 2017), 91.01.02-004, Приказ Минстроя России от 28.09.2017 г. № 1296/пр</t>
  </si>
  <si>
    <t>Автогрейдеры среднего типа, мощность 99 кВт (135 л.с.)</t>
  </si>
  <si>
    <t>91.06.05-011</t>
  </si>
  <si>
    <t>ТСЭМ Республики Крым (ред. 2017), 91.06.05-011, Приказ Минстроя России от 28.09.2017 г. № 1296/пр</t>
  </si>
  <si>
    <t>Погрузчик, грузоподъемность 5 т</t>
  </si>
  <si>
    <t>91.08.03-030</t>
  </si>
  <si>
    <t>ТСЭМ Республики Крым (ред. 2017), 91.08.03-030, Приказ Минстроя России от 28.09.2017 г. № 1296/пр</t>
  </si>
  <si>
    <t>Катки на пневмоколесном ходу, масса 30 т</t>
  </si>
  <si>
    <t>91.13.01-038</t>
  </si>
  <si>
    <t>ТСЭМ Республики Крым (ред. 2017), 91.13.01-038, Приказ Минстроя России от 28.09.2017 г. № 1296/пр</t>
  </si>
  <si>
    <t>Машины поливомоечные 6000 л</t>
  </si>
  <si>
    <t>01.7.03.01-0001</t>
  </si>
  <si>
    <t>ТССЦ Республики Крым (ред. 2017), 01.7.03.01-0001, Приказ Минстроя России от 28.09.2017 г. № 1346/пр</t>
  </si>
  <si>
    <t>Вода</t>
  </si>
  <si>
    <t>1-100-23-82</t>
  </si>
  <si>
    <t>Рабочий среднего разряда 2.3</t>
  </si>
  <si>
    <t>1-100-40-82</t>
  </si>
  <si>
    <t>Рабочий среднего разряда 4</t>
  </si>
  <si>
    <t>91.05.05-014</t>
  </si>
  <si>
    <t>ТСЭМ Республики Крым (ред. 2017), 91.05.05-014, Приказ Минстроя России от 28.09.2017 г. № 1296/пр</t>
  </si>
  <si>
    <t>Краны на автомобильном ходу, грузоподъемность 10 т</t>
  </si>
  <si>
    <t>91.08.01-021</t>
  </si>
  <si>
    <t>ТСЭМ Республики Крым (ред. 2017), 91.08.01-021, Приказ Минстроя России от 28.09.2017 г. № 1296/пр</t>
  </si>
  <si>
    <t>Укладчики асфальтобетона</t>
  </si>
  <si>
    <t>91.08.02-011</t>
  </si>
  <si>
    <t>ТСЭМ Республики Крым (ред. 2017), 91.08.02-011, Приказ Минстроя России от 28.09.2017 г. № 1296/пр</t>
  </si>
  <si>
    <t>Гудронаторы ручные</t>
  </si>
  <si>
    <t>91.08.03-016</t>
  </si>
  <si>
    <t>ТСЭМ Республики Крым (ред. 2017), 91.08.03-016, Приказ Минстроя России от 28.09.2017 г. № 1296/пр</t>
  </si>
  <si>
    <t>Катки дорожные самоходные гладкие, масса 8 т</t>
  </si>
  <si>
    <t>91.08.03-018</t>
  </si>
  <si>
    <t>ТСЭМ Республики Крым (ред. 2017), 91.08.03-018, Приказ Минстроя России от 28.09.2017 г. № 1296/пр</t>
  </si>
  <si>
    <t>Катки дорожные самоходные гладкие, масса 13 т</t>
  </si>
  <si>
    <t>91.14.02-001</t>
  </si>
  <si>
    <t>ТСЭМ Республики Крым (ред. 2017), 91.14.02-001, Приказ Минстроя России от 28.09.2017 г. № 1296/пр</t>
  </si>
  <si>
    <t>Автомобили бортовые, грузоподъемность до 5 т</t>
  </si>
  <si>
    <t>08.1.02.11-0001</t>
  </si>
  <si>
    <t>ТССЦ Республики Крым (ред. 2017), 08.1.02.11-0001, Приказ Минстроя России от 28.09.2017 г. № 1397/пр</t>
  </si>
  <si>
    <t>Поковки из квадратных заготовок, масса 1,8 кг</t>
  </si>
  <si>
    <t>11.1.03.01-0079</t>
  </si>
  <si>
    <t>ТССЦ Республики Крым (ред. 2017), 11.1.03.01-0079, Приказ Минстроя России от 28.09.2017 г. № 1397/пр</t>
  </si>
  <si>
    <t>Бруски обрезные хвойных пород длиной 4-6,5 м, шириной 75-150 мм, толщиной 40-75 мм, III сорта</t>
  </si>
  <si>
    <t>1-100-29-82</t>
  </si>
  <si>
    <t>Рабочий среднего разряда 2.9</t>
  </si>
  <si>
    <t>01.7.15.06-0111</t>
  </si>
  <si>
    <t>ТССЦ Республики Крым (ред. 2017), 01.7.15.06-0111, Приказ Минстроя России от 28.09.2017 г. № 1346/пр</t>
  </si>
  <si>
    <t>Гвозди строительные</t>
  </si>
  <si>
    <t>04.1.02.05-0006</t>
  </si>
  <si>
    <t>ТССЦ Республики Крым (ред. 2017), 04.1.02.05-0006, Приказ Минстроя России от 28.09.2017 г. № 1346/пр</t>
  </si>
  <si>
    <t>Бетон тяжелый, класс В15 (М200)</t>
  </si>
  <si>
    <t>04.3.01.09-0014</t>
  </si>
  <si>
    <t>ТССЦ Республики Крым (ред. 2017), 04.3.01.09-0014, Приказ Минстроя России от 28.09.2017 г. № 1346/пр</t>
  </si>
  <si>
    <t>Раствор готовый кладочный цементный марки 100</t>
  </si>
  <si>
    <t>11.1.03.03-0012</t>
  </si>
  <si>
    <t>ТССЦ Республики Крым (ред. 2017), 11.1.03.03-0012, Приказ Минстроя России от 28.09.2017 г. № 1397/пр</t>
  </si>
  <si>
    <t>Брусья необрезные хвойных пород длиной 4-6,5 м, все ширины, толщиной 100, 125 мм, IV сорта</t>
  </si>
  <si>
    <t>91.08.02-001</t>
  </si>
  <si>
    <t>ТСЭМ Республики Крым (ред. 2017), 91.08.02-001, Приказ Минстроя России от 28.09.2017 г. № 1296/пр</t>
  </si>
  <si>
    <t>Автогудронаторы 3500 л</t>
  </si>
  <si>
    <t>1-100-25-82</t>
  </si>
  <si>
    <t>Рабочий среднего разряда 2.5</t>
  </si>
  <si>
    <t>91.08.04-021</t>
  </si>
  <si>
    <t>ТСЭМ Республики Крым (ред. 2017), 91.08.04-021, Приказ Минстроя России от 28.09.2017 г. № 1296/пр</t>
  </si>
  <si>
    <t>Котлы битумные передвижные 400 л</t>
  </si>
  <si>
    <t>91.08.06-003</t>
  </si>
  <si>
    <t>ТСЭМ Республики Крым (ред. 2017), 91.08.06-003, Приказ Минстроя России от 28.09.2017 г. № 1296/пр</t>
  </si>
  <si>
    <t>Нарезчик швов, максимальная глубина резки 200 мм</t>
  </si>
  <si>
    <t>91.08.11-011</t>
  </si>
  <si>
    <t>ТСЭМ Республики Крым (ред. 2017), 91.08.11-011, Приказ Минстроя России от 28.09.2017 г. № 1296/пр</t>
  </si>
  <si>
    <t>Заливщик швов на базе автомобиля</t>
  </si>
  <si>
    <t>91.18.01-007</t>
  </si>
  <si>
    <t>ТСЭМ Республики Крым (ред. 2017), 91.18.01-007, Приказ Минстроя России от 28.09.2017 г. № 1296/пр</t>
  </si>
  <si>
    <t>Компрессоры передвижные с двигателем внутреннего сгорания, давлением до 686 кПа (7 ат), производительность до 5 м3/мин</t>
  </si>
  <si>
    <t>01.2.03.03-0045</t>
  </si>
  <si>
    <t>ТССЦ Республики Крым (ред. 2017), 01.2.03.03-0045, Приказ Минстроя России от 28.09.2017 г. № 1346/пр</t>
  </si>
  <si>
    <t>Мастика битумно-полимерная</t>
  </si>
  <si>
    <t>1-100-37-82</t>
  </si>
  <si>
    <t>Рабочий среднего разряда 3.7</t>
  </si>
  <si>
    <t>91.08.09-001</t>
  </si>
  <si>
    <t>ТСЭМ Республики Крым (ред. 2017), 91.08.09-001, Приказ Минстроя России от 28.09.2017 г. № 1296/пр</t>
  </si>
  <si>
    <t>Виброплита с двигателем внутреннего сгорания</t>
  </si>
  <si>
    <t>Щебень</t>
  </si>
  <si>
    <t>13.2.03.02</t>
  </si>
  <si>
    <t>Камни бортовые</t>
  </si>
  <si>
    <t>м</t>
  </si>
  <si>
    <t>01.7.07.26</t>
  </si>
  <si>
    <t>Шнур полиуретановый</t>
  </si>
  <si>
    <t>02.3.01.02</t>
  </si>
  <si>
    <t>Песок для строительных работ природный</t>
  </si>
  <si>
    <t>Поправка: п.8.7.1  Наименование: При выполнении работ в существующих зданиях и сооружениях, аналогичных процессам при новом строительстве (кроме работ по нормам сборника № 46 «Работы при реконструкции зданий и сооружений»)  Поправка: Сб. 27, п. 1.27. 8  Наименование: Доставка к месту работ битума, битумной эмульсии расценками не учтена, в связи, с чем при доставке 1 т битума и битумной эмульсии следует добавлять стоимость эксплуатации автогудронатора вместимостью 3500 л</t>
  </si>
  <si>
    <t>(наименование объекта капитального строительства)</t>
  </si>
  <si>
    <t>(наименование конструктивного решения)</t>
  </si>
  <si>
    <t>Составлен</t>
  </si>
  <si>
    <t>метод</t>
  </si>
  <si>
    <t>Основание</t>
  </si>
  <si>
    <t>(проектная и (или) иная техническая документация)</t>
  </si>
  <si>
    <t>Сметная стоимость</t>
  </si>
  <si>
    <t>тыс. руб.</t>
  </si>
  <si>
    <t>Средства на оплату труда</t>
  </si>
  <si>
    <t>в том числе:</t>
  </si>
  <si>
    <t>рабочих</t>
  </si>
  <si>
    <t xml:space="preserve"> </t>
  </si>
  <si>
    <t>строительных работ</t>
  </si>
  <si>
    <t xml:space="preserve">Нормативные затраты труда рабочих </t>
  </si>
  <si>
    <t xml:space="preserve">монтажных работ    </t>
  </si>
  <si>
    <t xml:space="preserve">Нормативные затраты труда машинистов </t>
  </si>
  <si>
    <t xml:space="preserve">оборудования         </t>
  </si>
  <si>
    <t>Расчетный измеритель</t>
  </si>
  <si>
    <t xml:space="preserve">прочих затрат       </t>
  </si>
  <si>
    <t>конструктивного решения</t>
  </si>
  <si>
    <t>№ п/п</t>
  </si>
  <si>
    <t>Обоснование</t>
  </si>
  <si>
    <t>Наименование работ и затрат</t>
  </si>
  <si>
    <t>Единица измерения</t>
  </si>
  <si>
    <t>Количество</t>
  </si>
  <si>
    <t>Сметная стоимость в базисном уровне цен (в текущем уровне цен (гр.8) для ресурсов, отсутствующих в СНБ), руб.</t>
  </si>
  <si>
    <t>Индексы</t>
  </si>
  <si>
    <t>Сметная стоимость в текущем уровне цен, руб.</t>
  </si>
  <si>
    <t>на единицу</t>
  </si>
  <si>
    <t>коэффициенты</t>
  </si>
  <si>
    <r>
      <t>всего с учетом коэффицие</t>
    </r>
    <r>
      <rPr>
        <sz val="10"/>
        <color indexed="8"/>
        <rFont val="Arial"/>
        <family val="2"/>
        <charset val="204"/>
      </rPr>
      <t>нтов</t>
    </r>
  </si>
  <si>
    <t>всего</t>
  </si>
  <si>
    <t>Наименование программного продукта: Программа для ЭВМ «Программа: «SmetaRu» версия 11»</t>
  </si>
  <si>
    <t>Базисно-индексный</t>
  </si>
  <si>
    <t>Составлена в ценах III квартал 2021 года (1.01.2000)</t>
  </si>
  <si>
    <t>ТЕР 01-01-014-05</t>
  </si>
  <si>
    <r>
      <t>Разработка грунта с погрузкой на автомобили-самосвалы экскаваторами с ковшом вместимостью 0,25 м3, группа грунтов 2</t>
    </r>
    <r>
      <rPr>
        <i/>
        <sz val="10"/>
        <rFont val="Arial"/>
        <family val="2"/>
        <charset val="204"/>
      </rPr>
      <t xml:space="preserve">
Поправки к: 
ЭМ )*1,25;   
ОТм )*1,25;   
ОТ )*1,15;   
ЗТ )*1,15;   
ЗТм )*1,25</t>
    </r>
  </si>
  <si>
    <t>ОТ</t>
  </si>
  <si>
    <t>ЭМ</t>
  </si>
  <si>
    <t>в т.ч. ОТм</t>
  </si>
  <si>
    <t>М</t>
  </si>
  <si>
    <t>ЗТ</t>
  </si>
  <si>
    <t>чел-ч</t>
  </si>
  <si>
    <t>Итого по расценке</t>
  </si>
  <si>
    <t>ФОТ</t>
  </si>
  <si>
    <t>Пр812-1-001.1-3</t>
  </si>
  <si>
    <t>НР Земляные работы, выполняемые: механизированным способом</t>
  </si>
  <si>
    <t>%</t>
  </si>
  <si>
    <t>Пр774-1-001.1-3</t>
  </si>
  <si>
    <t>СП Земляные работы, выполняемые: механизированным способом</t>
  </si>
  <si>
    <t>Всего по позиции</t>
  </si>
  <si>
    <t>ТССЦ 03-01-01-015</t>
  </si>
  <si>
    <t>ТЕР 27-04-001-04</t>
  </si>
  <si>
    <r>
      <t>Устройство подстилающих и выравнивающих слоев оснований из щебня</t>
    </r>
    <r>
      <rPr>
        <i/>
        <sz val="10"/>
        <rFont val="Arial"/>
        <family val="2"/>
        <charset val="204"/>
      </rPr>
      <t xml:space="preserve">
Поправки к: 
ЭМ )*1,25;   
ОТм )*1,25;   
ОТ )*1,15;   
ЗТ )*1,15;   
ЗТм )*1,25</t>
    </r>
  </si>
  <si>
    <t>Пр812-1-021-3</t>
  </si>
  <si>
    <t>НР Автомобильные дороги</t>
  </si>
  <si>
    <t>Пр774-1-021-3</t>
  </si>
  <si>
    <t>СП Автомобильные дороги</t>
  </si>
  <si>
    <t>ТССЦ 02.2.05.04-0088</t>
  </si>
  <si>
    <t>ТССЦ 02.2.05.04-0089</t>
  </si>
  <si>
    <t>ТЕР 27-04-001-02</t>
  </si>
  <si>
    <t>ЗТм</t>
  </si>
  <si>
    <t>ТССЦ 02.2.04.03-0003</t>
  </si>
  <si>
    <t>ТЕР 27-06-020-03</t>
  </si>
  <si>
    <r>
      <t>Устройство покрытия толщиной 4 см из горячих асфальтобетонных смесей плотных крупнозернинистых типа АБ, плотность каменных материалов 2,5-2,9 т/м3</t>
    </r>
    <r>
      <rPr>
        <i/>
        <sz val="10"/>
        <rFont val="Arial"/>
        <family val="2"/>
        <charset val="204"/>
      </rPr>
      <t xml:space="preserve">
Поправки к: 
ЭМ )*1,25;   
ОТм )*1,25;   
ОТ )*1,15;   
ЗТ )*1,15;   
ЗТм )*1,25</t>
    </r>
  </si>
  <si>
    <t>ТЕР 27-06-021-03</t>
  </si>
  <si>
    <r>
      <t>На каждые 0,5 см изменения толщины покрытия добавлять или исключать к расценке 27-06-020-03. К=4</t>
    </r>
    <r>
      <rPr>
        <i/>
        <sz val="10"/>
        <rFont val="Arial"/>
        <family val="2"/>
        <charset val="204"/>
      </rPr>
      <t xml:space="preserve">
Поправки к: 
М *4;   
ЭМ )*1,25*4;   
ОТм )*1,25*4;   
ОТ )*1,15*4;   
ЗТ )*1,15*4;   
ЗТм )*1,25*4</t>
    </r>
  </si>
  <si>
    <r>
      <t>На каждые 0,5 см изменения толщины покрытия добавлять или исключать к расценке 27-06-020-03.К=2</t>
    </r>
    <r>
      <rPr>
        <i/>
        <sz val="10"/>
        <rFont val="Arial"/>
        <family val="2"/>
        <charset val="204"/>
      </rPr>
      <t xml:space="preserve">
Поправки к: 
М *2;   
ЭМ )*1,25*2;   
ОТм )*1,25*2;   
ОТ )*1,15*2;   
ЗТ )*1,15*2;   
ЗТм )*1,25*2</t>
    </r>
  </si>
  <si>
    <t>ТЕР 27-06-020-01</t>
  </si>
  <si>
    <r>
      <t>Устройство покрытия толщиной 4 см из горячих асфальтобетонных смесей плотных мелкозернистых типа АБВ, плотность каменных материалов 2,5-2,9 т/м3</t>
    </r>
    <r>
      <rPr>
        <i/>
        <sz val="10"/>
        <rFont val="Arial"/>
        <family val="2"/>
        <charset val="204"/>
      </rPr>
      <t xml:space="preserve">
Поправки к: 
ЭМ )*1,25;   
ОТм )*1,25;   
ОТ )*1,15;   
ЗТ )*1,15;   
ЗТм )*1,25</t>
    </r>
  </si>
  <si>
    <t>ТЕР 27-06-021-01</t>
  </si>
  <si>
    <r>
      <t>На каждые 0,5 см изменения толщины покрытия добавлять или исключать к расценке 27-06-020-01.К=2</t>
    </r>
    <r>
      <rPr>
        <i/>
        <sz val="10"/>
        <rFont val="Arial"/>
        <family val="2"/>
        <charset val="204"/>
      </rPr>
      <t xml:space="preserve">
Поправки к: 
М *2;   
ЭМ )*1,25*2;   
ОТм )*1,25*2;   
ОТ )*1,15*2;   
ЗТ )*1,15*2;   
ЗТм )*1,25*2</t>
    </r>
  </si>
  <si>
    <t>ТССЦ 01.2.03.07-0026</t>
  </si>
  <si>
    <t>ТССЦ 04.2.01.01-0036</t>
  </si>
  <si>
    <t>ТЕР 27-02-010-02</t>
  </si>
  <si>
    <r>
      <t>Установка бортовых камней бетонных при других видах покрытий</t>
    </r>
    <r>
      <rPr>
        <i/>
        <sz val="10"/>
        <rFont val="Arial"/>
        <family val="2"/>
        <charset val="204"/>
      </rPr>
      <t xml:space="preserve">
Поправки к: 
ЭМ )*1,25;   
ОТм )*1,25;   
ОТ )*1,15;   
ЗТ )*1,15;   
ЗТм )*1,25</t>
    </r>
  </si>
  <si>
    <t>ТССЦ 05.2.03.03-0032</t>
  </si>
  <si>
    <t>ТЕР 27-06-026-01</t>
  </si>
  <si>
    <r>
      <t>Розлив вяжущих материалов</t>
    </r>
    <r>
      <rPr>
        <i/>
        <sz val="10"/>
        <rFont val="Arial"/>
        <family val="2"/>
        <charset val="204"/>
      </rPr>
      <t xml:space="preserve">
Поправки к: 
ЭМ )*1,25+2,76;   
ОТм )*1,25;   
ОТ )*1,15;   
ЗТ )*1,15;   
ЗТм )*1,25</t>
    </r>
  </si>
  <si>
    <t>ТЕР 27-06-008-01</t>
  </si>
  <si>
    <r>
      <t>Устройство шва-стыка в асфальтобетонном покрытии</t>
    </r>
    <r>
      <rPr>
        <i/>
        <sz val="10"/>
        <rFont val="Arial"/>
        <family val="2"/>
        <charset val="204"/>
      </rPr>
      <t xml:space="preserve">
Поправки к: 
ЭМ )*1,25;   
ОТм )*1,25;   
ОТ )*1,15;   
ЗТ )*1,15;   
ЗТм )*1,25</t>
    </r>
  </si>
  <si>
    <t>Итого прямые затраты по разделу 01 (в базисном уровне цен)</t>
  </si>
  <si>
    <t>в том числе</t>
  </si>
  <si>
    <t xml:space="preserve">   оплата труда</t>
  </si>
  <si>
    <t xml:space="preserve">   эксплуатация машин и механизмов</t>
  </si>
  <si>
    <t xml:space="preserve">   материальные ресурсы</t>
  </si>
  <si>
    <t xml:space="preserve">   перевозка</t>
  </si>
  <si>
    <t>Итого ФОТ (в базисном уровне цен) (справочно)</t>
  </si>
  <si>
    <t>Итого накладные расходы (в базисном уровне цен)</t>
  </si>
  <si>
    <t>Итого сметная прибыль (в базисном уровне цен)</t>
  </si>
  <si>
    <t>Итого оборудование (в базисном уровне цен)</t>
  </si>
  <si>
    <t>Итого прочие затраты (в базисном уровне цен)</t>
  </si>
  <si>
    <t>Итого по разделу 01 (в базисном уровне цен)</t>
  </si>
  <si>
    <t xml:space="preserve">   материальные ресурсы, отсутствующие в СНБ (в текущем уровне цен)</t>
  </si>
  <si>
    <t xml:space="preserve">   оборудование, отсутствующие в СНБ (в текущем уровне цен)</t>
  </si>
  <si>
    <t>ТЕР 27-07-002-01</t>
  </si>
  <si>
    <r>
      <t>Устройство оснований толщиной 12 см под тротуары из кирпичного или известнякового щебня</t>
    </r>
    <r>
      <rPr>
        <i/>
        <sz val="10"/>
        <rFont val="Arial"/>
        <family val="2"/>
        <charset val="204"/>
      </rPr>
      <t xml:space="preserve">
Поправки к: 
ЭМ )*1,25;   
ОТм )*1,25;   
ОТ )*1,15;   
ЗТ )*1,15;   
ЗТм )*1,25</t>
    </r>
  </si>
  <si>
    <t>ТЕР 27-07-002-02</t>
  </si>
  <si>
    <r>
      <t>На каждый 1 см изменения толщины оснований добавлять или исключать к расценке 27-07-002-01</t>
    </r>
    <r>
      <rPr>
        <i/>
        <sz val="10"/>
        <rFont val="Arial"/>
        <family val="2"/>
        <charset val="204"/>
      </rPr>
      <t xml:space="preserve">
Поправки к: 
ЭМ )*1,25;   
ОТм )*1,25;   
ОТ )*1,15;   
ЗТ )*1,15;   
ЗТм )*1,25</t>
    </r>
  </si>
  <si>
    <t>ТЕР 27-07-001-01</t>
  </si>
  <si>
    <r>
      <t>Устройство асфальтобетонных покрытий дорожек и тротуаров однослойных из литой мелкозернистой асфальто-бетонной смеси толщиной 3 см</t>
    </r>
    <r>
      <rPr>
        <i/>
        <sz val="10"/>
        <rFont val="Arial"/>
        <family val="2"/>
        <charset val="204"/>
      </rPr>
      <t xml:space="preserve">
Поправки к: 
ЭМ )*1,25;   
ОТм )*1,25;   
ОТ )*1,15;   
ЗТ )*1,15;   
ЗТм )*1,25</t>
    </r>
  </si>
  <si>
    <t>ТССЦ 01.2.01.01-0019</t>
  </si>
  <si>
    <t>ТЕР 27-07-001-02</t>
  </si>
  <si>
    <r>
      <t>На каждые 0,5 см изменения толщины покрытия добавлять к расценке 27-07-001-01К=4</t>
    </r>
    <r>
      <rPr>
        <i/>
        <sz val="10"/>
        <rFont val="Arial"/>
        <family val="2"/>
        <charset val="204"/>
      </rPr>
      <t xml:space="preserve">
Поправки к: 
М *4;   
ЭМ *4;   
ОТм *4;   
ОТ *4)*1,15;   
ЗТ *4)*1,15;   
ЗТм *4</t>
    </r>
  </si>
  <si>
    <t>ТССЦ 04.2.01.01-0038</t>
  </si>
  <si>
    <t>ТССЦ 05.2.03.03-0031</t>
  </si>
  <si>
    <t>ТССЦ 03-21-01-050</t>
  </si>
  <si>
    <t>Итого прямые затраты по разделу 02 (в базисном уровне цен)</t>
  </si>
  <si>
    <t>Итого по разделу 02 (в базисном уровне цен)</t>
  </si>
  <si>
    <t>ВСЕГО по смете (в базисном и текущем уровнях цен)</t>
  </si>
  <si>
    <t>ВСЕГО прямые затраты по смете</t>
  </si>
  <si>
    <t>Всего ФОТ (справочно)</t>
  </si>
  <si>
    <t>Всего накладные расходы</t>
  </si>
  <si>
    <t>Всего сметная прибыль</t>
  </si>
  <si>
    <t>Всего оборудование</t>
  </si>
  <si>
    <t>Всего прочие затраты</t>
  </si>
  <si>
    <t xml:space="preserve">   пусконаладочные работы</t>
  </si>
  <si>
    <t xml:space="preserve">   прочие затраты</t>
  </si>
  <si>
    <t xml:space="preserve">Составил   </t>
  </si>
  <si>
    <t xml:space="preserve">Проверил   </t>
  </si>
  <si>
    <t xml:space="preserve">Раздел 01. асфальтобетонное покрытие городских дорог </t>
  </si>
  <si>
    <t xml:space="preserve">Раздел 02. тротуары с асфальтобетонным покрытием </t>
  </si>
  <si>
    <t>"УТВЕРЖДАЮ"</t>
  </si>
  <si>
    <t>Главный инженер ГУП РК "Крымтеплокоммунэнерго"</t>
  </si>
  <si>
    <t>Забара С.М.</t>
  </si>
  <si>
    <t xml:space="preserve">Восстановление дорожного покрытия после проведения аварийных ремонтных работ на сетях теплоснабжения ГУП РК "Крымтеплокоммунэнерго" </t>
  </si>
  <si>
    <t>"_____"________________ 202_ г.</t>
  </si>
  <si>
    <t>Приложение №1а «ЛОКАЛЬНЫЙ СМЕТНЫЙ РАСЧЕТ»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</si>
</sst>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#,##0.00;[Red]\-\ #,##0.00"/>
    <numFmt numFmtId="166" formatCode="#,##0;[Red]\-\ #,##0"/>
    <numFmt numFmtId="167" formatCode="#,##0.00#####;[Red]\-\ #,##0.00#####"/>
  </numFmts>
  <fonts count="24" x14ac:knownFonts="1">
    <font>
      <sz val="10"/>
      <name val="Arial"/>
      <charset val="204"/>
    </font>
    <font>
      <b/>
      <sz val="10"/>
      <color indexed="12"/>
      <name val="Arial"/>
      <charset val="204"/>
    </font>
    <font>
      <b/>
      <sz val="10"/>
      <color indexed="16"/>
      <name val="Arial"/>
      <charset val="204"/>
    </font>
    <font>
      <b/>
      <sz val="10"/>
      <color indexed="20"/>
      <name val="Arial"/>
      <charset val="204"/>
    </font>
    <font>
      <b/>
      <sz val="10"/>
      <color indexed="17"/>
      <name val="Arial"/>
      <charset val="204"/>
    </font>
    <font>
      <sz val="10"/>
      <color indexed="17"/>
      <name val="Arial"/>
      <charset val="204"/>
    </font>
    <font>
      <sz val="10"/>
      <color indexed="12"/>
      <name val="Arial"/>
      <charset val="204"/>
    </font>
    <font>
      <sz val="10"/>
      <color indexed="14"/>
      <name val="Arial"/>
      <charset val="204"/>
    </font>
    <font>
      <b/>
      <sz val="10"/>
      <color indexed="14"/>
      <name val="Arial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i/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color indexed="8"/>
      <name val="Arial"/>
      <family val="2"/>
      <charset val="204"/>
    </font>
    <font>
      <i/>
      <sz val="11"/>
      <name val="Arial"/>
      <family val="2"/>
      <charset val="204"/>
    </font>
    <font>
      <b/>
      <sz val="13"/>
      <name val="Arial"/>
      <family val="2"/>
      <charset val="204"/>
    </font>
    <font>
      <sz val="9"/>
      <color theme="0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1" fillId="0" borderId="0" xfId="0" applyFont="1" applyBorder="1" applyAlignment="1">
      <alignment wrapText="1"/>
    </xf>
    <xf numFmtId="0" fontId="11" fillId="0" borderId="0" xfId="0" applyFont="1"/>
    <xf numFmtId="0" fontId="11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9" fillId="0" borderId="0" xfId="0" applyFont="1" applyBorder="1"/>
    <xf numFmtId="0" fontId="9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13" fillId="0" borderId="0" xfId="0" applyFont="1" applyBorder="1" applyAlignment="1">
      <alignment vertical="top" wrapText="1"/>
    </xf>
    <xf numFmtId="0" fontId="16" fillId="0" borderId="0" xfId="0" applyFont="1"/>
    <xf numFmtId="14" fontId="11" fillId="0" borderId="0" xfId="0" applyNumberFormat="1" applyFont="1" applyBorder="1" applyAlignment="1"/>
    <xf numFmtId="0" fontId="11" fillId="0" borderId="0" xfId="0" applyFont="1" applyBorder="1" applyAlignment="1"/>
    <xf numFmtId="0" fontId="9" fillId="0" borderId="0" xfId="0" applyFont="1" applyFill="1"/>
    <xf numFmtId="0" fontId="11" fillId="0" borderId="0" xfId="0" applyFont="1" applyFill="1"/>
    <xf numFmtId="0" fontId="17" fillId="0" borderId="0" xfId="0" applyFont="1"/>
    <xf numFmtId="164" fontId="11" fillId="0" borderId="0" xfId="0" applyNumberFormat="1" applyFont="1" applyFill="1"/>
    <xf numFmtId="165" fontId="9" fillId="0" borderId="0" xfId="0" applyNumberFormat="1" applyFont="1" applyFill="1" applyAlignment="1">
      <alignment horizontal="right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left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65" fontId="11" fillId="0" borderId="0" xfId="0" applyNumberFormat="1" applyFont="1"/>
    <xf numFmtId="0" fontId="17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11" fillId="0" borderId="1" xfId="0" applyFont="1" applyBorder="1"/>
    <xf numFmtId="165" fontId="0" fillId="0" borderId="0" xfId="0" applyNumberFormat="1"/>
    <xf numFmtId="0" fontId="0" fillId="0" borderId="1" xfId="0" applyBorder="1"/>
    <xf numFmtId="0" fontId="17" fillId="0" borderId="1" xfId="0" applyFont="1" applyBorder="1" applyAlignment="1">
      <alignment vertical="top" wrapText="1"/>
    </xf>
    <xf numFmtId="165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165" fontId="9" fillId="0" borderId="0" xfId="0" applyNumberFormat="1" applyFont="1" applyAlignment="1">
      <alignment horizontal="right"/>
    </xf>
    <xf numFmtId="165" fontId="11" fillId="0" borderId="0" xfId="0" applyNumberFormat="1" applyFont="1" applyFill="1"/>
    <xf numFmtId="167" fontId="9" fillId="0" borderId="0" xfId="0" applyNumberFormat="1" applyFont="1" applyFill="1" applyBorder="1" applyAlignment="1">
      <alignment horizontal="right"/>
    </xf>
    <xf numFmtId="0" fontId="19" fillId="0" borderId="0" xfId="0" applyFont="1" applyAlignment="1">
      <alignment horizontal="right" wrapText="1"/>
    </xf>
    <xf numFmtId="166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 wrapText="1"/>
    </xf>
    <xf numFmtId="165" fontId="19" fillId="0" borderId="0" xfId="0" applyNumberFormat="1" applyFont="1" applyAlignment="1">
      <alignment horizontal="right"/>
    </xf>
    <xf numFmtId="0" fontId="19" fillId="0" borderId="1" xfId="0" applyFont="1" applyBorder="1" applyAlignment="1">
      <alignment horizontal="right" wrapText="1"/>
    </xf>
    <xf numFmtId="0" fontId="11" fillId="0" borderId="1" xfId="0" applyFont="1" applyBorder="1" applyAlignment="1">
      <alignment horizontal="right"/>
    </xf>
    <xf numFmtId="166" fontId="11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right" wrapText="1"/>
    </xf>
    <xf numFmtId="165" fontId="11" fillId="0" borderId="1" xfId="0" applyNumberFormat="1" applyFont="1" applyBorder="1" applyAlignment="1">
      <alignment horizontal="right"/>
    </xf>
    <xf numFmtId="0" fontId="14" fillId="0" borderId="0" xfId="0" applyFont="1" applyAlignment="1">
      <alignment horizontal="right"/>
    </xf>
    <xf numFmtId="165" fontId="14" fillId="0" borderId="0" xfId="0" applyNumberFormat="1" applyFont="1" applyAlignment="1">
      <alignment horizontal="right"/>
    </xf>
    <xf numFmtId="0" fontId="14" fillId="0" borderId="0" xfId="0" applyFont="1" applyAlignment="1">
      <alignment vertical="center"/>
    </xf>
    <xf numFmtId="0" fontId="16" fillId="0" borderId="0" xfId="0" applyFont="1" applyAlignment="1">
      <alignment horizontal="left" vertical="center" wrapText="1"/>
    </xf>
    <xf numFmtId="0" fontId="14" fillId="0" borderId="0" xfId="0" applyFont="1" applyAlignment="1">
      <alignment horizontal="right" vertical="center"/>
    </xf>
    <xf numFmtId="165" fontId="14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righ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righ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center" wrapText="1"/>
    </xf>
    <xf numFmtId="0" fontId="14" fillId="0" borderId="0" xfId="0" applyFont="1" applyAlignment="1">
      <alignment horizontal="left" vertical="center" wrapText="1"/>
    </xf>
    <xf numFmtId="0" fontId="21" fillId="0" borderId="0" xfId="0" applyFont="1"/>
    <xf numFmtId="0" fontId="22" fillId="0" borderId="0" xfId="0" applyFont="1"/>
    <xf numFmtId="0" fontId="22" fillId="0" borderId="0" xfId="0" applyFont="1" applyBorder="1"/>
    <xf numFmtId="0" fontId="22" fillId="0" borderId="0" xfId="0" applyFont="1" applyAlignment="1">
      <alignment vertical="top" wrapText="1"/>
    </xf>
    <xf numFmtId="0" fontId="22" fillId="0" borderId="0" xfId="0" applyFont="1" applyBorder="1" applyAlignment="1"/>
    <xf numFmtId="0" fontId="11" fillId="0" borderId="0" xfId="0" applyFont="1" applyAlignment="1"/>
    <xf numFmtId="0" fontId="12" fillId="0" borderId="0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3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/>
    </xf>
    <xf numFmtId="0" fontId="13" fillId="0" borderId="0" xfId="0" applyFont="1" applyBorder="1" applyAlignment="1">
      <alignment horizontal="center" vertical="top" wrapText="1"/>
    </xf>
    <xf numFmtId="165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12" fillId="0" borderId="1" xfId="0" applyFont="1" applyBorder="1" applyAlignment="1">
      <alignment horizontal="center" wrapText="1"/>
    </xf>
    <xf numFmtId="0" fontId="11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Border="1" applyAlignment="1">
      <alignment horizontal="left" wrapText="1"/>
    </xf>
    <xf numFmtId="2" fontId="9" fillId="0" borderId="0" xfId="0" applyNumberFormat="1" applyFont="1" applyFill="1" applyAlignment="1">
      <alignment horizontal="right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11" fillId="0" borderId="0" xfId="0" applyFont="1" applyAlignment="1">
      <alignment horizontal="right" vertical="center"/>
    </xf>
    <xf numFmtId="165" fontId="14" fillId="0" borderId="2" xfId="0" applyNumberFormat="1" applyFont="1" applyBorder="1" applyAlignment="1">
      <alignment horizontal="right"/>
    </xf>
    <xf numFmtId="0" fontId="10" fillId="0" borderId="2" xfId="0" applyFont="1" applyBorder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wrapText="1"/>
    </xf>
    <xf numFmtId="0" fontId="11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23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391"/>
  <sheetViews>
    <sheetView tabSelected="1" view="pageBreakPreview" zoomScaleNormal="100" zoomScaleSheetLayoutView="100" workbookViewId="0">
      <selection activeCell="CK7" sqref="CK7"/>
    </sheetView>
  </sheetViews>
  <sheetFormatPr defaultRowHeight="12.75" x14ac:dyDescent="0.2"/>
  <cols>
    <col min="1" max="1" width="5.7109375" customWidth="1"/>
    <col min="2" max="2" width="20.7109375" customWidth="1"/>
    <col min="3" max="3" width="40.7109375" customWidth="1"/>
    <col min="4" max="4" width="10.7109375" customWidth="1"/>
    <col min="5" max="12" width="14.7109375" customWidth="1"/>
    <col min="15" max="80" width="0" hidden="1" customWidth="1"/>
    <col min="81" max="81" width="171.7109375" hidden="1" customWidth="1"/>
    <col min="82" max="83" width="0" hidden="1" customWidth="1"/>
    <col min="84" max="84" width="109.7109375" hidden="1" customWidth="1"/>
    <col min="85" max="88" width="0" hidden="1" customWidth="1"/>
  </cols>
  <sheetData>
    <row r="1" spans="1:81" ht="45" customHeight="1" x14ac:dyDescent="0.2">
      <c r="A1" s="73" t="str">
        <f>Source!B1</f>
        <v>Smeta.RU  (495) 974-1589</v>
      </c>
      <c r="B1" s="74"/>
      <c r="C1" s="74"/>
      <c r="D1" s="74"/>
      <c r="E1" s="74"/>
      <c r="F1" s="74"/>
      <c r="G1" s="74"/>
      <c r="H1" s="74"/>
      <c r="I1" s="74"/>
      <c r="J1" s="112" t="s">
        <v>547</v>
      </c>
      <c r="K1" s="112"/>
      <c r="L1" s="112"/>
    </row>
    <row r="2" spans="1:81" ht="12.75" customHeight="1" x14ac:dyDescent="0.2">
      <c r="A2" s="76" t="str">
        <f>Source!CL12</f>
        <v>Территориальные единичные расценки Республики Крым, утвержденные приказами Минстроя России от 28.09.2017 г.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81" ht="15" x14ac:dyDescent="0.25">
      <c r="A3" s="74"/>
      <c r="B3" s="74"/>
      <c r="C3" s="74"/>
      <c r="D3" s="75"/>
      <c r="E3" s="75"/>
      <c r="F3" s="75"/>
      <c r="G3" s="88" t="s">
        <v>542</v>
      </c>
      <c r="H3" s="88"/>
      <c r="I3" s="88"/>
      <c r="J3" s="88"/>
      <c r="K3" s="88"/>
      <c r="L3" s="77"/>
    </row>
    <row r="4" spans="1:81" ht="12.75" customHeight="1" x14ac:dyDescent="0.2">
      <c r="A4" s="76" t="s">
        <v>452</v>
      </c>
      <c r="B4" s="76"/>
      <c r="C4" s="76"/>
      <c r="D4" s="76"/>
      <c r="E4" s="76"/>
      <c r="F4" s="76"/>
      <c r="G4" s="87" t="s">
        <v>543</v>
      </c>
      <c r="H4" s="87"/>
      <c r="I4" s="87"/>
      <c r="J4" s="87"/>
      <c r="K4" s="87"/>
      <c r="L4" s="74"/>
    </row>
    <row r="5" spans="1:81" ht="14.25" x14ac:dyDescent="0.2">
      <c r="A5" s="74"/>
      <c r="B5" s="74"/>
      <c r="C5" s="74"/>
      <c r="D5" s="74"/>
      <c r="E5" s="74"/>
      <c r="F5" s="74"/>
      <c r="G5" s="78" t="s">
        <v>544</v>
      </c>
      <c r="H5" s="78"/>
      <c r="I5" s="78"/>
      <c r="J5" s="78"/>
      <c r="K5" s="78"/>
      <c r="L5" s="74"/>
    </row>
    <row r="6" spans="1:81" ht="14.25" x14ac:dyDescent="0.2">
      <c r="A6" s="74"/>
      <c r="B6" s="74"/>
      <c r="C6" s="74"/>
      <c r="D6" s="74"/>
      <c r="E6" s="74"/>
      <c r="F6" s="74"/>
      <c r="G6" s="89" t="s">
        <v>546</v>
      </c>
      <c r="H6" s="89"/>
      <c r="I6" s="89"/>
      <c r="J6" s="89"/>
      <c r="K6" s="89"/>
      <c r="L6" s="74"/>
    </row>
    <row r="7" spans="1:81" ht="14.25" x14ac:dyDescent="0.2">
      <c r="A7" s="11"/>
      <c r="B7" s="11"/>
      <c r="C7" s="11"/>
      <c r="D7" s="11"/>
      <c r="E7" s="11"/>
      <c r="F7" s="11"/>
      <c r="L7" s="11"/>
    </row>
    <row r="8" spans="1:81" ht="31.5" x14ac:dyDescent="0.25">
      <c r="A8" s="11"/>
      <c r="B8" s="86" t="s">
        <v>545</v>
      </c>
      <c r="C8" s="86"/>
      <c r="D8" s="86"/>
      <c r="E8" s="86"/>
      <c r="F8" s="86"/>
      <c r="G8" s="86"/>
      <c r="H8" s="86"/>
      <c r="I8" s="86"/>
      <c r="J8" s="86"/>
      <c r="K8" s="86"/>
      <c r="L8" s="11"/>
      <c r="CC8" s="71" t="str">
        <f>IF(Source!G12&lt;&gt;"Новый объект", Source!G12, "")</f>
        <v>сентябрь)Восстановление дорожного покрытия после проведения аварийных ремонтных работ на сетях теплоснабжения ГУП РК "Крымтеплокоммунэнерго" на 2021г._(Копия)</v>
      </c>
    </row>
    <row r="9" spans="1:81" ht="14.25" x14ac:dyDescent="0.2">
      <c r="A9" s="11"/>
      <c r="B9" s="81" t="s">
        <v>420</v>
      </c>
      <c r="C9" s="81"/>
      <c r="D9" s="81"/>
      <c r="E9" s="81"/>
      <c r="F9" s="81"/>
      <c r="G9" s="81"/>
      <c r="H9" s="81"/>
      <c r="I9" s="81"/>
      <c r="J9" s="81"/>
      <c r="K9" s="81"/>
      <c r="L9" s="11"/>
    </row>
    <row r="10" spans="1:81" ht="14.25" x14ac:dyDescent="0.2">
      <c r="A10" s="11"/>
      <c r="B10" s="11"/>
      <c r="C10" s="11"/>
      <c r="D10" s="11"/>
      <c r="E10" s="11"/>
      <c r="F10" s="12"/>
      <c r="G10" s="12"/>
      <c r="H10" s="12" t="s">
        <v>3</v>
      </c>
      <c r="I10" s="12"/>
      <c r="J10" s="12"/>
      <c r="K10" s="12"/>
      <c r="L10" s="12"/>
    </row>
    <row r="11" spans="1:81" ht="15.75" x14ac:dyDescent="0.25">
      <c r="A11" s="13"/>
      <c r="B11" s="79" t="str">
        <f>CONCATENATE( "ЛОКАЛЬНАЯ СМЕТА № ", Source!F20, " ",Source!CM20)</f>
        <v xml:space="preserve">ЛОКАЛЬНАЯ СМЕТА №  </v>
      </c>
      <c r="C11" s="79"/>
      <c r="D11" s="79"/>
      <c r="E11" s="79"/>
      <c r="F11" s="79"/>
      <c r="G11" s="79"/>
      <c r="H11" s="79"/>
      <c r="I11" s="79"/>
      <c r="J11" s="79"/>
      <c r="K11" s="79"/>
      <c r="L11" s="13"/>
    </row>
    <row r="12" spans="1:81" ht="15" x14ac:dyDescent="0.25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3"/>
    </row>
    <row r="13" spans="1:81" ht="18" x14ac:dyDescent="0.25">
      <c r="A13" s="11"/>
      <c r="B13" s="80" t="str">
        <f>IF(Source!G20&lt;&gt;"Новая локальная смета", Source!G20, "")</f>
        <v>восстановление асфальтобетонного покрытия после разрытий</v>
      </c>
      <c r="C13" s="80"/>
      <c r="D13" s="80"/>
      <c r="E13" s="80"/>
      <c r="F13" s="80"/>
      <c r="G13" s="80"/>
      <c r="H13" s="80"/>
      <c r="I13" s="80"/>
      <c r="J13" s="80"/>
      <c r="K13" s="80"/>
      <c r="L13" s="15"/>
    </row>
    <row r="14" spans="1:81" ht="14.25" x14ac:dyDescent="0.2">
      <c r="A14" s="11"/>
      <c r="B14" s="81" t="s">
        <v>421</v>
      </c>
      <c r="C14" s="81"/>
      <c r="D14" s="81"/>
      <c r="E14" s="81"/>
      <c r="F14" s="81"/>
      <c r="G14" s="81"/>
      <c r="H14" s="81"/>
      <c r="I14" s="81"/>
      <c r="J14" s="81"/>
      <c r="K14" s="81"/>
      <c r="L14" s="10"/>
    </row>
    <row r="15" spans="1:81" ht="14.25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81" ht="14.25" x14ac:dyDescent="0.2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x14ac:dyDescent="0.2">
      <c r="A17" s="9" t="s">
        <v>422</v>
      </c>
      <c r="B17" s="9"/>
      <c r="C17" s="16" t="s">
        <v>453</v>
      </c>
      <c r="D17" s="9" t="s">
        <v>423</v>
      </c>
      <c r="E17" s="9"/>
      <c r="F17" s="9"/>
      <c r="G17" s="9"/>
      <c r="H17" s="9"/>
      <c r="I17" s="9"/>
      <c r="J17" s="9"/>
      <c r="K17" s="9"/>
      <c r="L17" s="9"/>
    </row>
    <row r="18" spans="1:12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x14ac:dyDescent="0.2">
      <c r="A19" s="9" t="s">
        <v>424</v>
      </c>
      <c r="B19" s="9"/>
      <c r="C19" s="82"/>
      <c r="D19" s="82"/>
      <c r="E19" s="82"/>
      <c r="F19" s="82"/>
      <c r="G19" s="82"/>
      <c r="H19" s="9"/>
      <c r="I19" s="9"/>
      <c r="J19" s="9"/>
      <c r="K19" s="9"/>
      <c r="L19" s="17"/>
    </row>
    <row r="20" spans="1:12" x14ac:dyDescent="0.2">
      <c r="A20" s="18"/>
      <c r="B20" s="19"/>
      <c r="C20" s="83" t="s">
        <v>425</v>
      </c>
      <c r="D20" s="83"/>
      <c r="E20" s="83"/>
      <c r="F20" s="83"/>
      <c r="G20" s="83"/>
      <c r="H20" s="20"/>
      <c r="I20" s="20"/>
      <c r="J20" s="20"/>
      <c r="K20" s="20"/>
      <c r="L20" s="20"/>
    </row>
    <row r="21" spans="1:12" ht="14.25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4.25" x14ac:dyDescent="0.2">
      <c r="A22" s="21" t="s">
        <v>454</v>
      </c>
      <c r="B22" s="11"/>
      <c r="C22" s="11"/>
      <c r="D22" s="22"/>
      <c r="E22" s="23"/>
      <c r="F22" s="11"/>
      <c r="G22" s="11"/>
      <c r="H22" s="11"/>
      <c r="I22" s="11"/>
      <c r="J22" s="11"/>
      <c r="K22" s="11"/>
      <c r="L22" s="11"/>
    </row>
    <row r="23" spans="1:12" ht="14.25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4.25" x14ac:dyDescent="0.2">
      <c r="A24" s="21" t="s">
        <v>426</v>
      </c>
      <c r="B24" s="11"/>
      <c r="C24" s="44">
        <v>5396.7</v>
      </c>
      <c r="D24" s="84">
        <f>ROUND((SUM(O37:O384))/1000, 2)</f>
        <v>504.7</v>
      </c>
      <c r="E24" s="85"/>
      <c r="F24" s="24" t="s">
        <v>427</v>
      </c>
      <c r="G24" s="25"/>
      <c r="H24" s="25"/>
      <c r="I24" s="25"/>
      <c r="J24" s="25"/>
      <c r="K24" s="11"/>
      <c r="L24" s="11"/>
    </row>
    <row r="25" spans="1:12" ht="14.25" x14ac:dyDescent="0.2">
      <c r="A25" s="11"/>
      <c r="B25" s="11"/>
      <c r="C25" s="35"/>
      <c r="D25" s="45"/>
      <c r="E25" s="25"/>
      <c r="F25" s="24"/>
      <c r="G25" s="24" t="s">
        <v>428</v>
      </c>
      <c r="H25" s="25"/>
      <c r="I25" s="25"/>
      <c r="J25" s="25"/>
      <c r="K25" s="11"/>
      <c r="L25" s="11"/>
    </row>
    <row r="26" spans="1:12" ht="14.25" x14ac:dyDescent="0.2">
      <c r="A26" s="11"/>
      <c r="B26" s="26" t="s">
        <v>429</v>
      </c>
      <c r="C26" s="35"/>
      <c r="D26" s="45"/>
      <c r="E26" s="27"/>
      <c r="F26" s="24"/>
      <c r="G26" s="24" t="s">
        <v>430</v>
      </c>
      <c r="H26" s="25" t="s">
        <v>431</v>
      </c>
      <c r="I26" s="28">
        <f>(SUM(U37:U384))/1000</f>
        <v>230.84873999999999</v>
      </c>
      <c r="J26" s="28">
        <f>ROUND((SUM(Q37:Q384))/1000, 2)</f>
        <v>6.44</v>
      </c>
      <c r="K26" s="9" t="s">
        <v>427</v>
      </c>
      <c r="L26" s="11"/>
    </row>
    <row r="27" spans="1:12" ht="14.25" x14ac:dyDescent="0.2">
      <c r="A27" s="11"/>
      <c r="B27" s="21" t="s">
        <v>432</v>
      </c>
      <c r="C27" s="44">
        <v>5396.7</v>
      </c>
      <c r="D27" s="84">
        <f>ROUND((SUM(AN37:AN384)+SUM(AR37:AR384))/1000, 2)</f>
        <v>504.7</v>
      </c>
      <c r="E27" s="85"/>
      <c r="F27" s="24" t="s">
        <v>427</v>
      </c>
      <c r="G27" s="24" t="s">
        <v>433</v>
      </c>
      <c r="H27" s="25"/>
      <c r="I27" s="24"/>
      <c r="J27" s="46">
        <f>Source!F165</f>
        <v>837.1282369999999</v>
      </c>
      <c r="K27" s="9" t="s">
        <v>311</v>
      </c>
      <c r="L27" s="11"/>
    </row>
    <row r="28" spans="1:12" ht="14.25" x14ac:dyDescent="0.2">
      <c r="A28" s="11"/>
      <c r="B28" s="21" t="s">
        <v>434</v>
      </c>
      <c r="C28" s="44">
        <f>(ROUND(SUM(AY37:AY384)*Source!D228, 2)+ROUND(SUM(AZ37:AZ384)*Source!E228, 2)+ROUND(SUM(BA37:BA384)*Source!G228, 2)+ROUND(SUM(BB37:BB384)*Source!L228, 2)+SUM(BC37:BC384)+SUM(BD37:BD384))/1000</f>
        <v>0</v>
      </c>
      <c r="D28" s="84">
        <f>ROUND((SUM(AX37:AX384)+SUM(BB37:BB384))/1000, 2)</f>
        <v>0</v>
      </c>
      <c r="E28" s="85"/>
      <c r="F28" s="24" t="s">
        <v>427</v>
      </c>
      <c r="G28" s="24" t="s">
        <v>435</v>
      </c>
      <c r="H28" s="25"/>
      <c r="I28" s="24"/>
      <c r="J28" s="46">
        <f>Source!F166</f>
        <v>26.31737</v>
      </c>
      <c r="K28" s="9" t="s">
        <v>311</v>
      </c>
      <c r="L28" s="11"/>
    </row>
    <row r="29" spans="1:12" ht="14.25" x14ac:dyDescent="0.2">
      <c r="A29" s="11"/>
      <c r="B29" s="21" t="s">
        <v>436</v>
      </c>
      <c r="C29" s="44">
        <f>(ROUND(SUM(BH37:BH384)*Source!H228, 2)+ROUND(SUM(BI37:BI384)*Source!L228, 2))/1000</f>
        <v>0</v>
      </c>
      <c r="D29" s="84">
        <f>ROUND((SUM(BH37:BH384)+SUM(BI37:BI384))/1000, 2)</f>
        <v>0</v>
      </c>
      <c r="E29" s="85"/>
      <c r="F29" s="24" t="s">
        <v>427</v>
      </c>
      <c r="G29" s="24" t="s">
        <v>437</v>
      </c>
      <c r="H29" s="25"/>
      <c r="I29" s="24"/>
      <c r="J29" s="29"/>
      <c r="K29" s="11"/>
      <c r="L29" s="11"/>
    </row>
    <row r="30" spans="1:12" ht="14.25" x14ac:dyDescent="0.2">
      <c r="A30" s="11"/>
      <c r="B30" s="21" t="s">
        <v>438</v>
      </c>
      <c r="C30" s="44">
        <f>(ROUND(SUM(BM37:BM384)*Source!I228, 2)+SUM(BU37:BU384)+ROUND(SUM(BO37:BO384)*Source!H228, 2)+ROUND(SUM(BP37:BP384)*Source!L228, 2))/1000</f>
        <v>0</v>
      </c>
      <c r="D30" s="84">
        <f>ROUND((SUM(BM37:BM384)+SUM(BN37:BN384)+SUM(BO37:BO384)+SUM(BP37:BP384))/1000, 2)</f>
        <v>0</v>
      </c>
      <c r="E30" s="90"/>
      <c r="F30" s="24" t="s">
        <v>427</v>
      </c>
      <c r="G30" s="24" t="s">
        <v>439</v>
      </c>
      <c r="H30" s="25"/>
      <c r="I30" s="24">
        <f>Source!I20</f>
        <v>0</v>
      </c>
      <c r="J30" s="30" t="str">
        <f>Source!H20</f>
        <v/>
      </c>
      <c r="K30" s="11"/>
      <c r="L30" s="11"/>
    </row>
    <row r="31" spans="1:12" ht="14.25" x14ac:dyDescent="0.2">
      <c r="A31" s="11"/>
      <c r="B31" s="11"/>
      <c r="C31" s="11"/>
      <c r="D31" s="25"/>
      <c r="E31" s="25"/>
      <c r="F31" s="25"/>
      <c r="G31" s="25"/>
      <c r="H31" s="25"/>
      <c r="I31" s="25"/>
      <c r="J31" s="25"/>
      <c r="K31" s="11"/>
      <c r="L31" s="11"/>
    </row>
    <row r="32" spans="1:12" x14ac:dyDescent="0.2">
      <c r="A32" s="91" t="s">
        <v>440</v>
      </c>
      <c r="B32" s="91" t="s">
        <v>441</v>
      </c>
      <c r="C32" s="91" t="s">
        <v>442</v>
      </c>
      <c r="D32" s="91" t="s">
        <v>443</v>
      </c>
      <c r="E32" s="94" t="s">
        <v>444</v>
      </c>
      <c r="F32" s="95"/>
      <c r="G32" s="96"/>
      <c r="H32" s="94" t="s">
        <v>445</v>
      </c>
      <c r="I32" s="95"/>
      <c r="J32" s="96"/>
      <c r="K32" s="91" t="s">
        <v>446</v>
      </c>
      <c r="L32" s="91" t="s">
        <v>447</v>
      </c>
    </row>
    <row r="33" spans="1:56" x14ac:dyDescent="0.2">
      <c r="A33" s="92"/>
      <c r="B33" s="92"/>
      <c r="C33" s="92"/>
      <c r="D33" s="92"/>
      <c r="E33" s="97"/>
      <c r="F33" s="98"/>
      <c r="G33" s="99"/>
      <c r="H33" s="97"/>
      <c r="I33" s="98"/>
      <c r="J33" s="99"/>
      <c r="K33" s="92"/>
      <c r="L33" s="92"/>
    </row>
    <row r="34" spans="1:56" x14ac:dyDescent="0.2">
      <c r="A34" s="92"/>
      <c r="B34" s="92"/>
      <c r="C34" s="92"/>
      <c r="D34" s="92"/>
      <c r="E34" s="100"/>
      <c r="F34" s="101"/>
      <c r="G34" s="102"/>
      <c r="H34" s="100"/>
      <c r="I34" s="101"/>
      <c r="J34" s="102"/>
      <c r="K34" s="92"/>
      <c r="L34" s="92"/>
    </row>
    <row r="35" spans="1:56" ht="25.5" x14ac:dyDescent="0.2">
      <c r="A35" s="93"/>
      <c r="B35" s="93"/>
      <c r="C35" s="93"/>
      <c r="D35" s="93"/>
      <c r="E35" s="31" t="s">
        <v>448</v>
      </c>
      <c r="F35" s="31" t="s">
        <v>449</v>
      </c>
      <c r="G35" s="31" t="s">
        <v>450</v>
      </c>
      <c r="H35" s="31" t="s">
        <v>448</v>
      </c>
      <c r="I35" s="31" t="s">
        <v>449</v>
      </c>
      <c r="J35" s="31" t="s">
        <v>451</v>
      </c>
      <c r="K35" s="93"/>
      <c r="L35" s="93"/>
    </row>
    <row r="36" spans="1:56" ht="14.25" x14ac:dyDescent="0.2">
      <c r="A36" s="32">
        <v>1</v>
      </c>
      <c r="B36" s="32">
        <v>2</v>
      </c>
      <c r="C36" s="32">
        <v>3</v>
      </c>
      <c r="D36" s="32">
        <v>4</v>
      </c>
      <c r="E36" s="32">
        <v>5</v>
      </c>
      <c r="F36" s="32">
        <v>6</v>
      </c>
      <c r="G36" s="32">
        <v>7</v>
      </c>
      <c r="H36" s="32">
        <v>8</v>
      </c>
      <c r="I36" s="32">
        <v>9</v>
      </c>
      <c r="J36" s="32">
        <v>10</v>
      </c>
      <c r="K36" s="33">
        <v>11</v>
      </c>
      <c r="L36" s="34">
        <v>12</v>
      </c>
    </row>
    <row r="38" spans="1:56" ht="16.5" x14ac:dyDescent="0.25">
      <c r="A38" s="109" t="s">
        <v>540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1:56" ht="133.5" x14ac:dyDescent="0.2">
      <c r="A39" s="66" t="str">
        <f>Source!E28</f>
        <v>1</v>
      </c>
      <c r="B39" s="67" t="s">
        <v>455</v>
      </c>
      <c r="C39" s="67" t="s">
        <v>456</v>
      </c>
      <c r="D39" s="47" t="str">
        <f>Source!H28</f>
        <v>1000 м3</v>
      </c>
      <c r="E39" s="43">
        <f>Source!K28</f>
        <v>0.64</v>
      </c>
      <c r="F39" s="43"/>
      <c r="G39" s="43">
        <f>Source!I28</f>
        <v>0.64</v>
      </c>
      <c r="H39" s="48"/>
      <c r="I39" s="49"/>
      <c r="J39" s="42"/>
      <c r="K39" s="49"/>
      <c r="L39" s="42"/>
      <c r="AC39">
        <f>Source!X28</f>
        <v>819.61</v>
      </c>
      <c r="AD39">
        <f>Source!HK28</f>
        <v>29391.200000000001</v>
      </c>
      <c r="AE39">
        <f>Source!Y28</f>
        <v>409.8</v>
      </c>
      <c r="AF39">
        <f>Source!HL28</f>
        <v>14695.6</v>
      </c>
      <c r="AS39">
        <f>IF(Source!BI28&lt;=1,AD39, 0)</f>
        <v>29391.200000000001</v>
      </c>
      <c r="AT39">
        <f>IF(Source!BI28&lt;=1,AF39, 0)</f>
        <v>14695.6</v>
      </c>
      <c r="BC39">
        <f>IF(Source!BI28=2,AD39, 0)</f>
        <v>0</v>
      </c>
      <c r="BD39">
        <f>IF(Source!BI28=2,AF39, 0)</f>
        <v>0</v>
      </c>
    </row>
    <row r="40" spans="1:56" ht="89.25" x14ac:dyDescent="0.2">
      <c r="B40" s="36" t="str">
        <f>Source!EO28</f>
        <v>Поправка: п.8.7.1</v>
      </c>
      <c r="C40" s="36" t="str">
        <f>Source!CN28</f>
        <v>Поправка: п.8.7.1  Наименование: При выполнении работ в существующих зданиях и сооружениях, аналогичных процессам при новом строительстве (кроме работ по нормам сборника № 46 «Работы при реконструкции зданий и сооружений»)</v>
      </c>
    </row>
    <row r="41" spans="1:56" x14ac:dyDescent="0.2">
      <c r="C41" s="37" t="str">
        <f>"Объем: "&amp;Source!K28&amp;"=640/"&amp;"1000"</f>
        <v>Объем: 0.64=640/1000</v>
      </c>
    </row>
    <row r="42" spans="1:56" ht="14.25" x14ac:dyDescent="0.2">
      <c r="A42" s="66"/>
      <c r="B42" s="68">
        <v>1</v>
      </c>
      <c r="C42" s="67" t="s">
        <v>457</v>
      </c>
      <c r="D42" s="47"/>
      <c r="E42" s="43"/>
      <c r="F42" s="43"/>
      <c r="G42" s="43"/>
      <c r="H42" s="48">
        <f>Source!AO28</f>
        <v>218.3</v>
      </c>
      <c r="I42" s="49">
        <f>ROUND(1.15,7)</f>
        <v>1.1499999999999999</v>
      </c>
      <c r="J42" s="42">
        <f>ROUND(Source!AF28*Source!I28, 2)</f>
        <v>160.63999999999999</v>
      </c>
      <c r="K42" s="49">
        <f>IF(Source!BA28&lt;&gt; 0, Source!BA28, 1)</f>
        <v>35.86</v>
      </c>
      <c r="L42" s="42">
        <f>Source!HJ28</f>
        <v>5760.55</v>
      </c>
    </row>
    <row r="43" spans="1:56" ht="14.25" x14ac:dyDescent="0.2">
      <c r="A43" s="66"/>
      <c r="B43" s="68">
        <v>3</v>
      </c>
      <c r="C43" s="67" t="s">
        <v>458</v>
      </c>
      <c r="D43" s="47"/>
      <c r="E43" s="43"/>
      <c r="F43" s="43"/>
      <c r="G43" s="43"/>
      <c r="H43" s="48">
        <f>Source!AM28</f>
        <v>6181.14</v>
      </c>
      <c r="I43" s="49">
        <f>ROUND(1.25,7)</f>
        <v>1.25</v>
      </c>
      <c r="J43" s="42">
        <f>ROUND(Source!AD28*Source!I28, 2)</f>
        <v>4945.28</v>
      </c>
      <c r="K43" s="49"/>
      <c r="L43" s="42"/>
    </row>
    <row r="44" spans="1:56" ht="14.25" x14ac:dyDescent="0.2">
      <c r="A44" s="66"/>
      <c r="B44" s="68">
        <v>2</v>
      </c>
      <c r="C44" s="67" t="s">
        <v>459</v>
      </c>
      <c r="D44" s="47"/>
      <c r="E44" s="43"/>
      <c r="F44" s="43"/>
      <c r="G44" s="43"/>
      <c r="H44" s="48">
        <f>Source!AN28</f>
        <v>912.62</v>
      </c>
      <c r="I44" s="49">
        <f>ROUND(1.25,7)</f>
        <v>1.25</v>
      </c>
      <c r="J44" s="50">
        <f>ROUND(Source!AE28*Source!I28, 2)</f>
        <v>730.24</v>
      </c>
      <c r="K44" s="49">
        <f>IF(Source!BS28&lt;&gt; 0, Source!BS28, 1)</f>
        <v>35.86</v>
      </c>
      <c r="L44" s="50">
        <f>Source!HI28</f>
        <v>26186.41</v>
      </c>
    </row>
    <row r="45" spans="1:56" ht="14.25" x14ac:dyDescent="0.2">
      <c r="A45" s="66"/>
      <c r="B45" s="68">
        <v>4</v>
      </c>
      <c r="C45" s="67" t="s">
        <v>460</v>
      </c>
      <c r="D45" s="47"/>
      <c r="E45" s="43"/>
      <c r="F45" s="43"/>
      <c r="G45" s="43"/>
      <c r="H45" s="48">
        <f>Source!AL28</f>
        <v>6.61</v>
      </c>
      <c r="I45" s="49"/>
      <c r="J45" s="42">
        <f>ROUND(Source!AC28*Source!I28, 2)</f>
        <v>4.4800000000000004</v>
      </c>
      <c r="K45" s="49"/>
      <c r="L45" s="42"/>
    </row>
    <row r="46" spans="1:56" ht="14.25" x14ac:dyDescent="0.2">
      <c r="A46" s="66"/>
      <c r="B46" s="67"/>
      <c r="C46" s="69" t="s">
        <v>461</v>
      </c>
      <c r="D46" s="51" t="s">
        <v>462</v>
      </c>
      <c r="E46" s="52">
        <f>Source!AQ28</f>
        <v>31.32</v>
      </c>
      <c r="F46" s="52">
        <f>ROUND(1.15,7)</f>
        <v>1.1499999999999999</v>
      </c>
      <c r="G46" s="52">
        <f>ROUND(Source!U28, 7)</f>
        <v>23.05152</v>
      </c>
      <c r="H46" s="53"/>
      <c r="I46" s="54"/>
      <c r="J46" s="55"/>
      <c r="K46" s="54"/>
      <c r="L46" s="55"/>
    </row>
    <row r="47" spans="1:56" ht="14.25" x14ac:dyDescent="0.2">
      <c r="A47" s="66"/>
      <c r="B47" s="67"/>
      <c r="C47" s="67" t="s">
        <v>463</v>
      </c>
      <c r="D47" s="47"/>
      <c r="E47" s="43"/>
      <c r="F47" s="43"/>
      <c r="G47" s="43"/>
      <c r="H47" s="48">
        <f>H42+H43+H45</f>
        <v>6406.05</v>
      </c>
      <c r="I47" s="49"/>
      <c r="J47" s="42">
        <f>J42+J43+J45</f>
        <v>5110.3999999999996</v>
      </c>
      <c r="K47" s="49"/>
      <c r="L47" s="42"/>
    </row>
    <row r="48" spans="1:56" ht="14.25" x14ac:dyDescent="0.2">
      <c r="A48" s="66"/>
      <c r="B48" s="67"/>
      <c r="C48" s="67" t="s">
        <v>464</v>
      </c>
      <c r="D48" s="47"/>
      <c r="E48" s="43"/>
      <c r="F48" s="43"/>
      <c r="G48" s="43"/>
      <c r="H48" s="48"/>
      <c r="I48" s="49"/>
      <c r="J48" s="42">
        <f>SUM(Q39:Q51)+SUM(V39:V51)</f>
        <v>890.88</v>
      </c>
      <c r="K48" s="49"/>
      <c r="L48" s="42">
        <f>SUM(U39:U51)+SUM(W39:W51)</f>
        <v>31946.959999999999</v>
      </c>
    </row>
    <row r="49" spans="1:56" ht="28.5" x14ac:dyDescent="0.2">
      <c r="A49" s="66"/>
      <c r="B49" s="67" t="s">
        <v>465</v>
      </c>
      <c r="C49" s="67" t="s">
        <v>466</v>
      </c>
      <c r="D49" s="47" t="s">
        <v>467</v>
      </c>
      <c r="E49" s="43">
        <f>Source!BZ28</f>
        <v>92</v>
      </c>
      <c r="F49" s="43"/>
      <c r="G49" s="43">
        <f>Source!AT28</f>
        <v>92</v>
      </c>
      <c r="H49" s="48"/>
      <c r="I49" s="49"/>
      <c r="J49" s="42">
        <f>SUM(AC39:AC51)</f>
        <v>819.61</v>
      </c>
      <c r="K49" s="49"/>
      <c r="L49" s="42">
        <f>SUM(AD39:AD51)</f>
        <v>29391.200000000001</v>
      </c>
    </row>
    <row r="50" spans="1:56" ht="28.5" x14ac:dyDescent="0.2">
      <c r="A50" s="70"/>
      <c r="B50" s="69" t="s">
        <v>468</v>
      </c>
      <c r="C50" s="69" t="s">
        <v>469</v>
      </c>
      <c r="D50" s="51" t="s">
        <v>467</v>
      </c>
      <c r="E50" s="52">
        <f>Source!CA28</f>
        <v>46</v>
      </c>
      <c r="F50" s="52"/>
      <c r="G50" s="52">
        <f>Source!AU28</f>
        <v>46</v>
      </c>
      <c r="H50" s="53"/>
      <c r="I50" s="54"/>
      <c r="J50" s="55">
        <f>SUM(AE39:AE51)</f>
        <v>409.8</v>
      </c>
      <c r="K50" s="54"/>
      <c r="L50" s="55">
        <f>SUM(AF39:AF51)</f>
        <v>14695.6</v>
      </c>
    </row>
    <row r="51" spans="1:56" ht="15" x14ac:dyDescent="0.25">
      <c r="C51" s="106" t="s">
        <v>470</v>
      </c>
      <c r="D51" s="106"/>
      <c r="E51" s="106"/>
      <c r="F51" s="106"/>
      <c r="G51" s="106"/>
      <c r="H51" s="106"/>
      <c r="I51" s="106">
        <f>J42+J43+J45+J49+J50</f>
        <v>6339.8099999999995</v>
      </c>
      <c r="J51" s="106"/>
      <c r="O51" s="39">
        <f>I51</f>
        <v>6339.8099999999995</v>
      </c>
      <c r="P51">
        <f>K51</f>
        <v>0</v>
      </c>
      <c r="Q51" s="39">
        <f>J42</f>
        <v>160.63999999999999</v>
      </c>
      <c r="R51" s="39">
        <f>J42</f>
        <v>160.63999999999999</v>
      </c>
      <c r="U51" s="39">
        <f>L42</f>
        <v>5760.55</v>
      </c>
      <c r="V51" s="39">
        <f>J44</f>
        <v>730.24</v>
      </c>
      <c r="W51" s="39">
        <f>L44</f>
        <v>26186.41</v>
      </c>
      <c r="X51" s="39">
        <f>J43</f>
        <v>4945.28</v>
      </c>
      <c r="Z51" s="39">
        <f>L43</f>
        <v>0</v>
      </c>
      <c r="AB51" s="39">
        <f>J45</f>
        <v>4.4800000000000004</v>
      </c>
      <c r="AN51">
        <f>IF(Source!BI28&lt;=1,J42+J43+J45+J49+J50, 0)</f>
        <v>6339.8099999999995</v>
      </c>
      <c r="AO51">
        <f>IF(Source!BI28&lt;=1,J45, 0)</f>
        <v>4.4800000000000004</v>
      </c>
      <c r="AP51">
        <f>IF(Source!BI28&lt;=1,J43, 0)</f>
        <v>4945.28</v>
      </c>
      <c r="AQ51">
        <f>IF(Source!BI28&lt;=1,J42, 0)</f>
        <v>160.63999999999999</v>
      </c>
      <c r="AX51">
        <f>IF(Source!BI28=2,J42+J43+J45+J49+J50, 0)</f>
        <v>0</v>
      </c>
      <c r="AY51">
        <f>IF(Source!BI28=2,J45, 0)</f>
        <v>0</v>
      </c>
      <c r="AZ51">
        <f>IF(Source!BI28=2,J43, 0)</f>
        <v>0</v>
      </c>
      <c r="BA51">
        <f>IF(Source!BI28=2,J42, 0)</f>
        <v>0</v>
      </c>
    </row>
    <row r="52" spans="1:56" ht="57" x14ac:dyDescent="0.2">
      <c r="A52" s="66" t="str">
        <f>Source!E29</f>
        <v>2</v>
      </c>
      <c r="B52" s="67" t="s">
        <v>471</v>
      </c>
      <c r="C52" s="67" t="str">
        <f>Source!G29</f>
        <v>Перевозка грузов I класса автомобилями бортовыми грузоподъемностью до 15 т на расстояние до 15 км</v>
      </c>
      <c r="D52" s="47" t="str">
        <f>Source!H29</f>
        <v>1 Т ГРУЗА</v>
      </c>
      <c r="E52" s="43">
        <f>Source!K29</f>
        <v>1089</v>
      </c>
      <c r="F52" s="43"/>
      <c r="G52" s="43">
        <f>Source!I29</f>
        <v>1089</v>
      </c>
      <c r="H52" s="48">
        <f>Source!AK29</f>
        <v>13.79</v>
      </c>
      <c r="I52" s="49"/>
      <c r="J52" s="42">
        <f>ROUND(Source!AB29*Source!I29, 2)</f>
        <v>15246</v>
      </c>
      <c r="K52" s="49"/>
      <c r="L52" s="42"/>
      <c r="AC52">
        <f>Source!X29</f>
        <v>0</v>
      </c>
      <c r="AD52">
        <f>Source!HK29</f>
        <v>0</v>
      </c>
      <c r="AE52">
        <f>Source!Y29</f>
        <v>0</v>
      </c>
      <c r="AF52">
        <f>Source!HL29</f>
        <v>0</v>
      </c>
      <c r="AS52">
        <f>IF(Source!BI29&lt;=1,AD52, 0)</f>
        <v>0</v>
      </c>
      <c r="AT52">
        <f>IF(Source!BI29&lt;=1,AF52, 0)</f>
        <v>0</v>
      </c>
      <c r="BC52">
        <f>IF(Source!BI29=2,AD52, 0)</f>
        <v>0</v>
      </c>
      <c r="BD52">
        <f>IF(Source!BI29=2,AF52, 0)</f>
        <v>0</v>
      </c>
    </row>
    <row r="53" spans="1:56" x14ac:dyDescent="0.2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</row>
    <row r="54" spans="1:56" ht="15" x14ac:dyDescent="0.25">
      <c r="C54" s="106" t="s">
        <v>470</v>
      </c>
      <c r="D54" s="106"/>
      <c r="E54" s="106"/>
      <c r="F54" s="106"/>
      <c r="G54" s="106"/>
      <c r="H54" s="106"/>
      <c r="I54" s="106">
        <f>J52</f>
        <v>15246</v>
      </c>
      <c r="J54" s="106"/>
      <c r="O54" s="39">
        <f>I54</f>
        <v>15246</v>
      </c>
      <c r="P54">
        <f>K54</f>
        <v>0</v>
      </c>
      <c r="Q54">
        <f>0</f>
        <v>0</v>
      </c>
      <c r="R54">
        <f>0</f>
        <v>0</v>
      </c>
      <c r="U54">
        <f>0</f>
        <v>0</v>
      </c>
      <c r="V54">
        <f>0</f>
        <v>0</v>
      </c>
      <c r="W54">
        <f>0</f>
        <v>0</v>
      </c>
      <c r="X54">
        <f>0</f>
        <v>0</v>
      </c>
      <c r="Z54">
        <f>0</f>
        <v>0</v>
      </c>
      <c r="AB54">
        <f>0</f>
        <v>0</v>
      </c>
      <c r="AN54">
        <f>IF(Source!BI29&lt;=1,J52, 0)</f>
        <v>15246</v>
      </c>
      <c r="AO54">
        <f>IF(Source!BI29&lt;=1,0, 0)</f>
        <v>0</v>
      </c>
      <c r="AP54">
        <f>IF(Source!BI29&lt;=1,0, 0)</f>
        <v>0</v>
      </c>
      <c r="AQ54">
        <f>IF(Source!BI29&lt;=1,0, 0)</f>
        <v>0</v>
      </c>
      <c r="AX54">
        <f>IF(Source!BI29=2,J52, 0)</f>
        <v>0</v>
      </c>
      <c r="AY54">
        <f>IF(Source!BI29=2,0, 0)</f>
        <v>0</v>
      </c>
      <c r="AZ54">
        <f>IF(Source!BI29=2,0, 0)</f>
        <v>0</v>
      </c>
      <c r="BA54">
        <f>IF(Source!BI29=2,0, 0)</f>
        <v>0</v>
      </c>
    </row>
    <row r="55" spans="1:56" ht="119.25" x14ac:dyDescent="0.2">
      <c r="A55" s="66" t="str">
        <f>Source!E30</f>
        <v>3</v>
      </c>
      <c r="B55" s="67" t="s">
        <v>472</v>
      </c>
      <c r="C55" s="67" t="s">
        <v>473</v>
      </c>
      <c r="D55" s="47" t="str">
        <f>Source!H30</f>
        <v>100 м3</v>
      </c>
      <c r="E55" s="43">
        <f>Source!K30</f>
        <v>2.63</v>
      </c>
      <c r="F55" s="43"/>
      <c r="G55" s="43">
        <f>Source!I30</f>
        <v>2.63</v>
      </c>
      <c r="H55" s="48"/>
      <c r="I55" s="49"/>
      <c r="J55" s="42"/>
      <c r="K55" s="49"/>
      <c r="L55" s="42"/>
      <c r="AC55">
        <f>Source!X30</f>
        <v>1676.78</v>
      </c>
      <c r="AD55">
        <f>Source!HK30</f>
        <v>60129.43</v>
      </c>
      <c r="AE55">
        <f>Source!Y30</f>
        <v>1264.24</v>
      </c>
      <c r="AF55">
        <f>Source!HL30</f>
        <v>45335.68</v>
      </c>
      <c r="AS55">
        <f>IF(Source!BI30&lt;=1,AD55, 0)</f>
        <v>60129.43</v>
      </c>
      <c r="AT55">
        <f>IF(Source!BI30&lt;=1,AF55, 0)</f>
        <v>45335.68</v>
      </c>
      <c r="BC55">
        <f>IF(Source!BI30=2,AD55, 0)</f>
        <v>0</v>
      </c>
      <c r="BD55">
        <f>IF(Source!BI30=2,AF55, 0)</f>
        <v>0</v>
      </c>
    </row>
    <row r="56" spans="1:56" ht="89.25" x14ac:dyDescent="0.2">
      <c r="B56" s="36" t="str">
        <f>Source!EO30</f>
        <v>Поправка: п.8.7.1</v>
      </c>
      <c r="C56" s="36" t="str">
        <f>Source!CN30</f>
        <v>Поправка: п.8.7.1  Наименование: При выполнении работ в существующих зданиях и сооружениях, аналогичных процессам при новом строительстве (кроме работ по нормам сборника № 46 «Работы при реконструкции зданий и сооружений»)</v>
      </c>
    </row>
    <row r="57" spans="1:56" x14ac:dyDescent="0.2">
      <c r="C57" s="37" t="str">
        <f>"Объем: "&amp;Source!K30&amp;"=263/"&amp;"100"</f>
        <v>Объем: 2.63=263/100</v>
      </c>
    </row>
    <row r="58" spans="1:56" ht="14.25" x14ac:dyDescent="0.2">
      <c r="A58" s="66"/>
      <c r="B58" s="68">
        <v>1</v>
      </c>
      <c r="C58" s="67" t="s">
        <v>457</v>
      </c>
      <c r="D58" s="47"/>
      <c r="E58" s="43"/>
      <c r="F58" s="43"/>
      <c r="G58" s="43"/>
      <c r="H58" s="48">
        <f>Source!AO30</f>
        <v>174.65</v>
      </c>
      <c r="I58" s="49">
        <f>ROUND(1.15,7)</f>
        <v>1.1499999999999999</v>
      </c>
      <c r="J58" s="42">
        <f>ROUND(Source!AF30*Source!I30, 2)</f>
        <v>528.63</v>
      </c>
      <c r="K58" s="49">
        <f>IF(Source!BA30&lt;&gt; 0, Source!BA30, 1)</f>
        <v>35.86</v>
      </c>
      <c r="L58" s="42">
        <f>Source!HJ30</f>
        <v>18956.669999999998</v>
      </c>
    </row>
    <row r="59" spans="1:56" ht="14.25" x14ac:dyDescent="0.2">
      <c r="A59" s="66"/>
      <c r="B59" s="68">
        <v>3</v>
      </c>
      <c r="C59" s="67" t="s">
        <v>458</v>
      </c>
      <c r="D59" s="47"/>
      <c r="E59" s="43"/>
      <c r="F59" s="43"/>
      <c r="G59" s="43"/>
      <c r="H59" s="48">
        <f>Source!AM30</f>
        <v>3383.98</v>
      </c>
      <c r="I59" s="49">
        <f>ROUND(1.25,7)</f>
        <v>1.25</v>
      </c>
      <c r="J59" s="42">
        <f>ROUND(Source!AD30*Source!I30, 2)</f>
        <v>11124.9</v>
      </c>
      <c r="K59" s="49"/>
      <c r="L59" s="42"/>
    </row>
    <row r="60" spans="1:56" ht="14.25" x14ac:dyDescent="0.2">
      <c r="A60" s="66"/>
      <c r="B60" s="68">
        <v>2</v>
      </c>
      <c r="C60" s="67" t="s">
        <v>459</v>
      </c>
      <c r="D60" s="47"/>
      <c r="E60" s="43"/>
      <c r="F60" s="43"/>
      <c r="G60" s="43"/>
      <c r="H60" s="48">
        <f>Source!AN30</f>
        <v>244.35</v>
      </c>
      <c r="I60" s="49">
        <f>ROUND(1.25,7)</f>
        <v>1.25</v>
      </c>
      <c r="J60" s="50">
        <f>ROUND(Source!AE30*Source!I30, 2)</f>
        <v>802.15</v>
      </c>
      <c r="K60" s="49">
        <f>IF(Source!BS30&lt;&gt; 0, Source!BS30, 1)</f>
        <v>35.86</v>
      </c>
      <c r="L60" s="50">
        <f>Source!HI30</f>
        <v>28765.1</v>
      </c>
    </row>
    <row r="61" spans="1:56" ht="14.25" x14ac:dyDescent="0.2">
      <c r="A61" s="66"/>
      <c r="B61" s="68">
        <v>4</v>
      </c>
      <c r="C61" s="67" t="s">
        <v>460</v>
      </c>
      <c r="D61" s="47"/>
      <c r="E61" s="43"/>
      <c r="F61" s="43"/>
      <c r="G61" s="43"/>
      <c r="H61" s="48">
        <f>Source!AL30</f>
        <v>17.079999999999998</v>
      </c>
      <c r="I61" s="49"/>
      <c r="J61" s="42">
        <f>ROUND(Source!AC30*Source!I30, 2)</f>
        <v>44.71</v>
      </c>
      <c r="K61" s="49"/>
      <c r="L61" s="42"/>
    </row>
    <row r="62" spans="1:56" ht="14.25" x14ac:dyDescent="0.2">
      <c r="A62" s="66"/>
      <c r="B62" s="67" t="str">
        <f>EtalonRes!I14</f>
        <v>02.2.05.04</v>
      </c>
      <c r="C62" s="67" t="str">
        <f>EtalonRes!K14</f>
        <v>Щебень</v>
      </c>
      <c r="D62" s="47" t="str">
        <f>EtalonRes!O14</f>
        <v>м3</v>
      </c>
      <c r="E62" s="43">
        <f>EtalonRes!X14</f>
        <v>0</v>
      </c>
      <c r="F62" s="43"/>
      <c r="G62" s="43">
        <f>ROUND(EtalonRes!AG14*Source!I30, 7)</f>
        <v>0</v>
      </c>
      <c r="H62" s="48"/>
      <c r="I62" s="49"/>
      <c r="J62" s="42"/>
      <c r="K62" s="49"/>
      <c r="L62" s="42"/>
    </row>
    <row r="63" spans="1:56" ht="14.25" x14ac:dyDescent="0.2">
      <c r="A63" s="66"/>
      <c r="B63" s="67"/>
      <c r="C63" s="69" t="s">
        <v>461</v>
      </c>
      <c r="D63" s="51" t="s">
        <v>462</v>
      </c>
      <c r="E63" s="52">
        <f>Source!AQ30</f>
        <v>24.19</v>
      </c>
      <c r="F63" s="52">
        <f>ROUND(1.15,7)</f>
        <v>1.1499999999999999</v>
      </c>
      <c r="G63" s="52">
        <f>ROUND(Source!U30, 7)</f>
        <v>73.162655000000001</v>
      </c>
      <c r="H63" s="53"/>
      <c r="I63" s="54"/>
      <c r="J63" s="55"/>
      <c r="K63" s="54"/>
      <c r="L63" s="55"/>
    </row>
    <row r="64" spans="1:56" ht="14.25" x14ac:dyDescent="0.2">
      <c r="A64" s="66"/>
      <c r="B64" s="67"/>
      <c r="C64" s="67" t="s">
        <v>463</v>
      </c>
      <c r="D64" s="47"/>
      <c r="E64" s="43"/>
      <c r="F64" s="43"/>
      <c r="G64" s="43"/>
      <c r="H64" s="48">
        <f>H58+H59+H61</f>
        <v>3575.71</v>
      </c>
      <c r="I64" s="49"/>
      <c r="J64" s="42">
        <f>J58+J59+J61</f>
        <v>11698.239999999998</v>
      </c>
      <c r="K64" s="49"/>
      <c r="L64" s="42"/>
    </row>
    <row r="65" spans="1:56" ht="14.25" x14ac:dyDescent="0.2">
      <c r="A65" s="66"/>
      <c r="B65" s="67"/>
      <c r="C65" s="67" t="s">
        <v>464</v>
      </c>
      <c r="D65" s="47"/>
      <c r="E65" s="43"/>
      <c r="F65" s="43"/>
      <c r="G65" s="43"/>
      <c r="H65" s="48"/>
      <c r="I65" s="49"/>
      <c r="J65" s="42">
        <f>SUM(Q55:Q68)+SUM(V55:V68)</f>
        <v>1330.78</v>
      </c>
      <c r="K65" s="49"/>
      <c r="L65" s="42">
        <f>SUM(U55:U68)+SUM(W55:W68)</f>
        <v>47721.77</v>
      </c>
    </row>
    <row r="66" spans="1:56" ht="14.25" x14ac:dyDescent="0.2">
      <c r="A66" s="66"/>
      <c r="B66" s="67" t="s">
        <v>474</v>
      </c>
      <c r="C66" s="67" t="s">
        <v>475</v>
      </c>
      <c r="D66" s="47" t="s">
        <v>467</v>
      </c>
      <c r="E66" s="43">
        <f>Source!BZ30</f>
        <v>126</v>
      </c>
      <c r="F66" s="43"/>
      <c r="G66" s="43">
        <f>Source!AT30</f>
        <v>126</v>
      </c>
      <c r="H66" s="48"/>
      <c r="I66" s="49"/>
      <c r="J66" s="42">
        <f>SUM(AC55:AC68)</f>
        <v>1676.78</v>
      </c>
      <c r="K66" s="49"/>
      <c r="L66" s="42">
        <f>SUM(AD55:AD68)</f>
        <v>60129.43</v>
      </c>
    </row>
    <row r="67" spans="1:56" ht="14.25" x14ac:dyDescent="0.2">
      <c r="A67" s="70"/>
      <c r="B67" s="69" t="s">
        <v>476</v>
      </c>
      <c r="C67" s="69" t="s">
        <v>477</v>
      </c>
      <c r="D67" s="51" t="s">
        <v>467</v>
      </c>
      <c r="E67" s="52">
        <f>Source!CA30</f>
        <v>95</v>
      </c>
      <c r="F67" s="52"/>
      <c r="G67" s="52">
        <f>Source!AU30</f>
        <v>95</v>
      </c>
      <c r="H67" s="53"/>
      <c r="I67" s="54"/>
      <c r="J67" s="55">
        <f>SUM(AE55:AE68)</f>
        <v>1264.24</v>
      </c>
      <c r="K67" s="54"/>
      <c r="L67" s="55">
        <f>SUM(AF55:AF68)</f>
        <v>45335.68</v>
      </c>
    </row>
    <row r="68" spans="1:56" ht="15" x14ac:dyDescent="0.25">
      <c r="C68" s="106" t="s">
        <v>470</v>
      </c>
      <c r="D68" s="106"/>
      <c r="E68" s="106"/>
      <c r="F68" s="106"/>
      <c r="G68" s="106"/>
      <c r="H68" s="106"/>
      <c r="I68" s="106">
        <f>J58+J59+J61+J66+J67</f>
        <v>14639.259999999998</v>
      </c>
      <c r="J68" s="106"/>
      <c r="O68" s="39">
        <f>I68</f>
        <v>14639.259999999998</v>
      </c>
      <c r="P68">
        <f>K68</f>
        <v>0</v>
      </c>
      <c r="Q68" s="39">
        <f>J58</f>
        <v>528.63</v>
      </c>
      <c r="R68" s="39">
        <f>J58</f>
        <v>528.63</v>
      </c>
      <c r="U68" s="39">
        <f>L58</f>
        <v>18956.669999999998</v>
      </c>
      <c r="V68" s="39">
        <f>J60</f>
        <v>802.15</v>
      </c>
      <c r="W68" s="39">
        <f>L60</f>
        <v>28765.1</v>
      </c>
      <c r="X68" s="39">
        <f>J59</f>
        <v>11124.9</v>
      </c>
      <c r="Z68" s="39">
        <f>L59</f>
        <v>0</v>
      </c>
      <c r="AB68" s="39">
        <f>J61</f>
        <v>44.71</v>
      </c>
      <c r="AN68">
        <f>IF(Source!BI30&lt;=1,J58+J59+J61+J66+J67, 0)</f>
        <v>14639.259999999998</v>
      </c>
      <c r="AO68">
        <f>IF(Source!BI30&lt;=1,J61, 0)</f>
        <v>44.71</v>
      </c>
      <c r="AP68">
        <f>IF(Source!BI30&lt;=1,J59, 0)</f>
        <v>11124.9</v>
      </c>
      <c r="AQ68">
        <f>IF(Source!BI30&lt;=1,J58, 0)</f>
        <v>528.63</v>
      </c>
      <c r="AX68">
        <f>IF(Source!BI30=2,J58+J59+J61+J66+J67, 0)</f>
        <v>0</v>
      </c>
      <c r="AY68">
        <f>IF(Source!BI30=2,J61, 0)</f>
        <v>0</v>
      </c>
      <c r="AZ68">
        <f>IF(Source!BI30=2,J59, 0)</f>
        <v>0</v>
      </c>
      <c r="BA68">
        <f>IF(Source!BI30=2,J58, 0)</f>
        <v>0</v>
      </c>
    </row>
    <row r="69" spans="1:56" ht="42.75" x14ac:dyDescent="0.2">
      <c r="A69" s="66" t="str">
        <f>Source!E31</f>
        <v>4</v>
      </c>
      <c r="B69" s="67" t="s">
        <v>478</v>
      </c>
      <c r="C69" s="67" t="str">
        <f>Source!G31</f>
        <v>Щебень из природного камня для строительных работ марка 600, фракция 20-40 мм</v>
      </c>
      <c r="D69" s="47" t="str">
        <f>Source!H31</f>
        <v>м3</v>
      </c>
      <c r="E69" s="43">
        <f>Source!K31</f>
        <v>69.599999999999994</v>
      </c>
      <c r="F69" s="43"/>
      <c r="G69" s="43">
        <f>Source!I31</f>
        <v>69.599999999999994</v>
      </c>
      <c r="H69" s="48">
        <f>Source!AL31</f>
        <v>162.33000000000001</v>
      </c>
      <c r="I69" s="49"/>
      <c r="J69" s="42">
        <f>ROUND(Source!AC31*Source!I31, 2)</f>
        <v>11275.2</v>
      </c>
      <c r="K69" s="49"/>
      <c r="L69" s="42"/>
      <c r="AC69">
        <f>Source!X31</f>
        <v>0</v>
      </c>
      <c r="AD69">
        <f>Source!HK31</f>
        <v>0</v>
      </c>
      <c r="AE69">
        <f>Source!Y31</f>
        <v>0</v>
      </c>
      <c r="AF69">
        <f>Source!HL31</f>
        <v>0</v>
      </c>
      <c r="AS69">
        <f>IF(Source!BI31&lt;=1,AD69, 0)</f>
        <v>0</v>
      </c>
      <c r="AT69">
        <f>IF(Source!BI31&lt;=1,AF69, 0)</f>
        <v>0</v>
      </c>
      <c r="BC69">
        <f>IF(Source!BI31=2,AD69, 0)</f>
        <v>0</v>
      </c>
      <c r="BD69">
        <f>IF(Source!BI31=2,AF69, 0)</f>
        <v>0</v>
      </c>
    </row>
    <row r="70" spans="1:56" x14ac:dyDescent="0.2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</row>
    <row r="71" spans="1:56" ht="15" x14ac:dyDescent="0.25">
      <c r="C71" s="106" t="s">
        <v>470</v>
      </c>
      <c r="D71" s="106"/>
      <c r="E71" s="106"/>
      <c r="F71" s="106"/>
      <c r="G71" s="106"/>
      <c r="H71" s="106"/>
      <c r="I71" s="106">
        <f>J69</f>
        <v>11275.2</v>
      </c>
      <c r="J71" s="106"/>
      <c r="O71" s="39">
        <f>I71</f>
        <v>11275.2</v>
      </c>
      <c r="P71">
        <f>K71</f>
        <v>0</v>
      </c>
      <c r="Q71">
        <f>0</f>
        <v>0</v>
      </c>
      <c r="R71">
        <f>0</f>
        <v>0</v>
      </c>
      <c r="U71">
        <f>0</f>
        <v>0</v>
      </c>
      <c r="V71">
        <f>0</f>
        <v>0</v>
      </c>
      <c r="W71">
        <f>0</f>
        <v>0</v>
      </c>
      <c r="X71">
        <f>0</f>
        <v>0</v>
      </c>
      <c r="Z71">
        <f>0</f>
        <v>0</v>
      </c>
      <c r="AB71" s="39">
        <f>I71</f>
        <v>11275.2</v>
      </c>
      <c r="AN71">
        <f>IF(Source!BI31&lt;=1,J69, 0)</f>
        <v>11275.2</v>
      </c>
      <c r="AO71">
        <f>IF(Source!BI31&lt;=1,I71, 0)</f>
        <v>11275.2</v>
      </c>
      <c r="AP71">
        <f>IF(Source!BI31&lt;=1,0, 0)</f>
        <v>0</v>
      </c>
      <c r="AQ71">
        <f>IF(Source!BI31&lt;=1,0, 0)</f>
        <v>0</v>
      </c>
      <c r="AX71">
        <f>IF(Source!BI31=2,J69, 0)</f>
        <v>0</v>
      </c>
      <c r="AY71">
        <f>IF(Source!BI31=2,I71, 0)</f>
        <v>0</v>
      </c>
      <c r="AZ71">
        <f>IF(Source!BI31=2,0, 0)</f>
        <v>0</v>
      </c>
      <c r="BA71">
        <f>IF(Source!BI31=2,0, 0)</f>
        <v>0</v>
      </c>
    </row>
    <row r="72" spans="1:56" ht="42.75" x14ac:dyDescent="0.2">
      <c r="A72" s="66" t="str">
        <f>Source!E32</f>
        <v>5</v>
      </c>
      <c r="B72" s="67" t="s">
        <v>479</v>
      </c>
      <c r="C72" s="67" t="str">
        <f>Source!G32</f>
        <v>Щебень из природного камня для строительных работ марка 600, фракция 40-70 мм</v>
      </c>
      <c r="D72" s="47" t="str">
        <f>Source!H32</f>
        <v>м3</v>
      </c>
      <c r="E72" s="43">
        <f>Source!K32</f>
        <v>261.8</v>
      </c>
      <c r="F72" s="43"/>
      <c r="G72" s="43">
        <f>Source!I32</f>
        <v>261.8</v>
      </c>
      <c r="H72" s="48">
        <f>Source!AL32</f>
        <v>154.03</v>
      </c>
      <c r="I72" s="49"/>
      <c r="J72" s="42">
        <f>ROUND(Source!AC32*Source!I32, 2)</f>
        <v>40317.199999999997</v>
      </c>
      <c r="K72" s="49"/>
      <c r="L72" s="42"/>
      <c r="AC72">
        <f>Source!X32</f>
        <v>0</v>
      </c>
      <c r="AD72">
        <f>Source!HK32</f>
        <v>0</v>
      </c>
      <c r="AE72">
        <f>Source!Y32</f>
        <v>0</v>
      </c>
      <c r="AF72">
        <f>Source!HL32</f>
        <v>0</v>
      </c>
      <c r="AS72">
        <f>IF(Source!BI32&lt;=1,AD72, 0)</f>
        <v>0</v>
      </c>
      <c r="AT72">
        <f>IF(Source!BI32&lt;=1,AF72, 0)</f>
        <v>0</v>
      </c>
      <c r="BC72">
        <f>IF(Source!BI32=2,AD72, 0)</f>
        <v>0</v>
      </c>
      <c r="BD72">
        <f>IF(Source!BI32=2,AF72, 0)</f>
        <v>0</v>
      </c>
    </row>
    <row r="73" spans="1:56" x14ac:dyDescent="0.2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</row>
    <row r="74" spans="1:56" ht="15" x14ac:dyDescent="0.25">
      <c r="C74" s="106" t="s">
        <v>470</v>
      </c>
      <c r="D74" s="106"/>
      <c r="E74" s="106"/>
      <c r="F74" s="106"/>
      <c r="G74" s="106"/>
      <c r="H74" s="106"/>
      <c r="I74" s="106">
        <f>J72</f>
        <v>40317.199999999997</v>
      </c>
      <c r="J74" s="106"/>
      <c r="O74" s="39">
        <f>I74</f>
        <v>40317.199999999997</v>
      </c>
      <c r="P74">
        <f>K74</f>
        <v>0</v>
      </c>
      <c r="Q74">
        <f>0</f>
        <v>0</v>
      </c>
      <c r="R74">
        <f>0</f>
        <v>0</v>
      </c>
      <c r="U74">
        <f>0</f>
        <v>0</v>
      </c>
      <c r="V74">
        <f>0</f>
        <v>0</v>
      </c>
      <c r="W74">
        <f>0</f>
        <v>0</v>
      </c>
      <c r="X74">
        <f>0</f>
        <v>0</v>
      </c>
      <c r="Z74">
        <f>0</f>
        <v>0</v>
      </c>
      <c r="AB74" s="39">
        <f>I74</f>
        <v>40317.199999999997</v>
      </c>
      <c r="AN74">
        <f>IF(Source!BI32&lt;=1,J72, 0)</f>
        <v>40317.199999999997</v>
      </c>
      <c r="AO74">
        <f>IF(Source!BI32&lt;=1,I74, 0)</f>
        <v>40317.199999999997</v>
      </c>
      <c r="AP74">
        <f>IF(Source!BI32&lt;=1,0, 0)</f>
        <v>0</v>
      </c>
      <c r="AQ74">
        <f>IF(Source!BI32&lt;=1,0, 0)</f>
        <v>0</v>
      </c>
      <c r="AX74">
        <f>IF(Source!BI32=2,J72, 0)</f>
        <v>0</v>
      </c>
      <c r="AY74">
        <f>IF(Source!BI32=2,I74, 0)</f>
        <v>0</v>
      </c>
      <c r="AZ74">
        <f>IF(Source!BI32=2,0, 0)</f>
        <v>0</v>
      </c>
      <c r="BA74">
        <f>IF(Source!BI32=2,0, 0)</f>
        <v>0</v>
      </c>
    </row>
    <row r="75" spans="1:56" ht="42.75" x14ac:dyDescent="0.2">
      <c r="A75" s="66" t="str">
        <f>Source!E33</f>
        <v>6</v>
      </c>
      <c r="B75" s="67" t="s">
        <v>480</v>
      </c>
      <c r="C75" s="67" t="str">
        <f>Source!G33</f>
        <v>Устройство подстилающих и выравнивающих слоев оснований из песчано-гравийной смеси, дресвы</v>
      </c>
      <c r="D75" s="47" t="str">
        <f>Source!H33</f>
        <v>100 м3</v>
      </c>
      <c r="E75" s="43">
        <f>Source!K33</f>
        <v>1.7769999999999999</v>
      </c>
      <c r="F75" s="43"/>
      <c r="G75" s="43">
        <f>Source!I33</f>
        <v>1.7769999999999999</v>
      </c>
      <c r="H75" s="48"/>
      <c r="I75" s="49"/>
      <c r="J75" s="42"/>
      <c r="K75" s="49"/>
      <c r="L75" s="42"/>
      <c r="AC75">
        <f>Source!X33</f>
        <v>622.45000000000005</v>
      </c>
      <c r="AD75">
        <f>Source!HK33</f>
        <v>22321.15</v>
      </c>
      <c r="AE75">
        <f>Source!Y33</f>
        <v>469.31</v>
      </c>
      <c r="AF75">
        <f>Source!HL33</f>
        <v>16829.439999999999</v>
      </c>
      <c r="AS75">
        <f>IF(Source!BI33&lt;=1,AD75, 0)</f>
        <v>22321.15</v>
      </c>
      <c r="AT75">
        <f>IF(Source!BI33&lt;=1,AF75, 0)</f>
        <v>16829.439999999999</v>
      </c>
      <c r="BC75">
        <f>IF(Source!BI33=2,AD75, 0)</f>
        <v>0</v>
      </c>
      <c r="BD75">
        <f>IF(Source!BI33=2,AF75, 0)</f>
        <v>0</v>
      </c>
    </row>
    <row r="77" spans="1:56" ht="14.25" x14ac:dyDescent="0.2">
      <c r="A77" s="66"/>
      <c r="B77" s="68">
        <v>1</v>
      </c>
      <c r="C77" s="67" t="s">
        <v>457</v>
      </c>
      <c r="D77" s="47"/>
      <c r="E77" s="43"/>
      <c r="F77" s="43"/>
      <c r="G77" s="43"/>
      <c r="H77" s="48">
        <f>Source!AO33</f>
        <v>112.56</v>
      </c>
      <c r="I77" s="49"/>
      <c r="J77" s="42">
        <f>ROUND(Source!AF33*Source!I33, 2)</f>
        <v>200.8</v>
      </c>
      <c r="K77" s="49">
        <f>IF(Source!BA33&lt;&gt; 0, Source!BA33, 1)</f>
        <v>35.86</v>
      </c>
      <c r="L77" s="42">
        <f>Source!HJ33</f>
        <v>7200.69</v>
      </c>
    </row>
    <row r="78" spans="1:56" ht="14.25" x14ac:dyDescent="0.2">
      <c r="A78" s="66"/>
      <c r="B78" s="68">
        <v>3</v>
      </c>
      <c r="C78" s="67" t="s">
        <v>458</v>
      </c>
      <c r="D78" s="47"/>
      <c r="E78" s="43"/>
      <c r="F78" s="43"/>
      <c r="G78" s="43"/>
      <c r="H78" s="48">
        <f>Source!AM33</f>
        <v>2281.33</v>
      </c>
      <c r="I78" s="49"/>
      <c r="J78" s="42">
        <f>ROUND(Source!AD33*Source!I33, 2)</f>
        <v>4055.11</v>
      </c>
      <c r="K78" s="49"/>
      <c r="L78" s="42"/>
    </row>
    <row r="79" spans="1:56" ht="14.25" x14ac:dyDescent="0.2">
      <c r="A79" s="66"/>
      <c r="B79" s="68">
        <v>2</v>
      </c>
      <c r="C79" s="67" t="s">
        <v>459</v>
      </c>
      <c r="D79" s="47"/>
      <c r="E79" s="43"/>
      <c r="F79" s="43"/>
      <c r="G79" s="43"/>
      <c r="H79" s="48">
        <f>Source!AN33</f>
        <v>164.79</v>
      </c>
      <c r="I79" s="49"/>
      <c r="J79" s="50">
        <f>ROUND(Source!AE33*Source!I33, 2)</f>
        <v>293.20999999999998</v>
      </c>
      <c r="K79" s="49">
        <f>IF(Source!BS33&lt;&gt; 0, Source!BS33, 1)</f>
        <v>35.86</v>
      </c>
      <c r="L79" s="50">
        <f>Source!HI33</f>
        <v>10514.51</v>
      </c>
    </row>
    <row r="80" spans="1:56" ht="14.25" x14ac:dyDescent="0.2">
      <c r="A80" s="66"/>
      <c r="B80" s="68">
        <v>4</v>
      </c>
      <c r="C80" s="67" t="s">
        <v>460</v>
      </c>
      <c r="D80" s="47"/>
      <c r="E80" s="43"/>
      <c r="F80" s="43"/>
      <c r="G80" s="43"/>
      <c r="H80" s="48">
        <f>Source!AL33</f>
        <v>17.079999999999998</v>
      </c>
      <c r="I80" s="49"/>
      <c r="J80" s="42">
        <f>ROUND(Source!AC33*Source!I33, 2)</f>
        <v>30.21</v>
      </c>
      <c r="K80" s="49"/>
      <c r="L80" s="42"/>
    </row>
    <row r="81" spans="1:56" ht="14.25" x14ac:dyDescent="0.2">
      <c r="A81" s="66"/>
      <c r="B81" s="67" t="str">
        <f>EtalonRes!I22</f>
        <v>02.2.04.03</v>
      </c>
      <c r="C81" s="67" t="str">
        <f>EtalonRes!K22</f>
        <v>Смесь песчано-гравийная</v>
      </c>
      <c r="D81" s="47" t="str">
        <f>EtalonRes!O22</f>
        <v>м3</v>
      </c>
      <c r="E81" s="43">
        <f>EtalonRes!X22</f>
        <v>0</v>
      </c>
      <c r="F81" s="43"/>
      <c r="G81" s="43">
        <f>ROUND(EtalonRes!AG22*Source!I33, 7)</f>
        <v>0</v>
      </c>
      <c r="H81" s="48"/>
      <c r="I81" s="49"/>
      <c r="J81" s="42"/>
      <c r="K81" s="49"/>
      <c r="L81" s="42"/>
    </row>
    <row r="82" spans="1:56" ht="14.25" x14ac:dyDescent="0.2">
      <c r="A82" s="66"/>
      <c r="B82" s="67"/>
      <c r="C82" s="67" t="s">
        <v>461</v>
      </c>
      <c r="D82" s="47" t="s">
        <v>462</v>
      </c>
      <c r="E82" s="43">
        <f>Source!AQ33</f>
        <v>15.72</v>
      </c>
      <c r="F82" s="43"/>
      <c r="G82" s="43">
        <f>ROUND(Source!U33, 7)</f>
        <v>27.934439999999999</v>
      </c>
      <c r="H82" s="48"/>
      <c r="I82" s="49"/>
      <c r="J82" s="42"/>
      <c r="K82" s="49"/>
      <c r="L82" s="42"/>
    </row>
    <row r="83" spans="1:56" ht="14.25" x14ac:dyDescent="0.2">
      <c r="A83" s="66"/>
      <c r="B83" s="67"/>
      <c r="C83" s="69" t="s">
        <v>481</v>
      </c>
      <c r="D83" s="51" t="s">
        <v>462</v>
      </c>
      <c r="E83" s="52">
        <f>Source!AR33</f>
        <v>14.81</v>
      </c>
      <c r="F83" s="52"/>
      <c r="G83" s="52">
        <f>ROUND(Source!V33, 7)</f>
        <v>26.31737</v>
      </c>
      <c r="H83" s="53"/>
      <c r="I83" s="54"/>
      <c r="J83" s="55"/>
      <c r="K83" s="54"/>
      <c r="L83" s="55"/>
    </row>
    <row r="84" spans="1:56" ht="14.25" x14ac:dyDescent="0.2">
      <c r="A84" s="66"/>
      <c r="B84" s="67"/>
      <c r="C84" s="67" t="s">
        <v>463</v>
      </c>
      <c r="D84" s="47"/>
      <c r="E84" s="43"/>
      <c r="F84" s="43"/>
      <c r="G84" s="43"/>
      <c r="H84" s="48">
        <f>H77+H78+H80</f>
        <v>2410.9699999999998</v>
      </c>
      <c r="I84" s="49"/>
      <c r="J84" s="42">
        <f>J77+J78+J80</f>
        <v>4286.12</v>
      </c>
      <c r="K84" s="49"/>
      <c r="L84" s="42"/>
    </row>
    <row r="85" spans="1:56" ht="14.25" x14ac:dyDescent="0.2">
      <c r="A85" s="66"/>
      <c r="B85" s="67"/>
      <c r="C85" s="67" t="s">
        <v>464</v>
      </c>
      <c r="D85" s="47"/>
      <c r="E85" s="43"/>
      <c r="F85" s="43"/>
      <c r="G85" s="43"/>
      <c r="H85" s="48"/>
      <c r="I85" s="49"/>
      <c r="J85" s="42">
        <f>SUM(Q75:Q88)+SUM(V75:V88)</f>
        <v>494.01</v>
      </c>
      <c r="K85" s="49"/>
      <c r="L85" s="42">
        <f>SUM(U75:U88)+SUM(W75:W88)</f>
        <v>17715.2</v>
      </c>
    </row>
    <row r="86" spans="1:56" ht="14.25" x14ac:dyDescent="0.2">
      <c r="A86" s="66"/>
      <c r="B86" s="67" t="s">
        <v>474</v>
      </c>
      <c r="C86" s="67" t="s">
        <v>475</v>
      </c>
      <c r="D86" s="47" t="s">
        <v>467</v>
      </c>
      <c r="E86" s="43">
        <f>Source!BZ33</f>
        <v>126</v>
      </c>
      <c r="F86" s="43"/>
      <c r="G86" s="43">
        <f>Source!AT33</f>
        <v>126</v>
      </c>
      <c r="H86" s="48"/>
      <c r="I86" s="49"/>
      <c r="J86" s="42">
        <f>SUM(AC75:AC88)</f>
        <v>622.45000000000005</v>
      </c>
      <c r="K86" s="49"/>
      <c r="L86" s="42">
        <f>SUM(AD75:AD88)</f>
        <v>22321.15</v>
      </c>
    </row>
    <row r="87" spans="1:56" ht="14.25" x14ac:dyDescent="0.2">
      <c r="A87" s="70"/>
      <c r="B87" s="69" t="s">
        <v>476</v>
      </c>
      <c r="C87" s="69" t="s">
        <v>477</v>
      </c>
      <c r="D87" s="51" t="s">
        <v>467</v>
      </c>
      <c r="E87" s="52">
        <f>Source!CA33</f>
        <v>95</v>
      </c>
      <c r="F87" s="52"/>
      <c r="G87" s="52">
        <f>Source!AU33</f>
        <v>95</v>
      </c>
      <c r="H87" s="53"/>
      <c r="I87" s="54"/>
      <c r="J87" s="55">
        <f>SUM(AE75:AE88)</f>
        <v>469.31</v>
      </c>
      <c r="K87" s="54"/>
      <c r="L87" s="55">
        <f>SUM(AF75:AF88)</f>
        <v>16829.439999999999</v>
      </c>
    </row>
    <row r="88" spans="1:56" ht="15" x14ac:dyDescent="0.25">
      <c r="C88" s="106" t="s">
        <v>470</v>
      </c>
      <c r="D88" s="106"/>
      <c r="E88" s="106"/>
      <c r="F88" s="106"/>
      <c r="G88" s="106"/>
      <c r="H88" s="106"/>
      <c r="I88" s="106">
        <f>J77+J78+J80+J86+J87</f>
        <v>5377.88</v>
      </c>
      <c r="J88" s="106"/>
      <c r="O88" s="39">
        <f>I88</f>
        <v>5377.88</v>
      </c>
      <c r="P88">
        <f>K88</f>
        <v>0</v>
      </c>
      <c r="Q88" s="39">
        <f>J77</f>
        <v>200.8</v>
      </c>
      <c r="R88" s="39">
        <f>J77</f>
        <v>200.8</v>
      </c>
      <c r="U88" s="39">
        <f>L77</f>
        <v>7200.69</v>
      </c>
      <c r="V88" s="39">
        <f>J79</f>
        <v>293.20999999999998</v>
      </c>
      <c r="W88" s="39">
        <f>L79</f>
        <v>10514.51</v>
      </c>
      <c r="X88" s="39">
        <f>J78</f>
        <v>4055.11</v>
      </c>
      <c r="Z88" s="39">
        <f>L78</f>
        <v>0</v>
      </c>
      <c r="AB88" s="39">
        <f>J80</f>
        <v>30.21</v>
      </c>
      <c r="AN88">
        <f>IF(Source!BI33&lt;=1,J77+J78+J80+J86+J87, 0)</f>
        <v>5377.88</v>
      </c>
      <c r="AO88">
        <f>IF(Source!BI33&lt;=1,J80, 0)</f>
        <v>30.21</v>
      </c>
      <c r="AP88">
        <f>IF(Source!BI33&lt;=1,J78, 0)</f>
        <v>4055.11</v>
      </c>
      <c r="AQ88">
        <f>IF(Source!BI33&lt;=1,J77, 0)</f>
        <v>200.8</v>
      </c>
      <c r="AX88">
        <f>IF(Source!BI33=2,J77+J78+J80+J86+J87, 0)</f>
        <v>0</v>
      </c>
      <c r="AY88">
        <f>IF(Source!BI33=2,J80, 0)</f>
        <v>0</v>
      </c>
      <c r="AZ88">
        <f>IF(Source!BI33=2,J78, 0)</f>
        <v>0</v>
      </c>
      <c r="BA88">
        <f>IF(Source!BI33=2,J77, 0)</f>
        <v>0</v>
      </c>
    </row>
    <row r="89" spans="1:56" ht="28.5" x14ac:dyDescent="0.2">
      <c r="A89" s="66" t="str">
        <f>Source!E35</f>
        <v>7</v>
      </c>
      <c r="B89" s="67" t="s">
        <v>482</v>
      </c>
      <c r="C89" s="67" t="str">
        <f>Source!G35</f>
        <v>Смесь песчано-гравийная природная</v>
      </c>
      <c r="D89" s="47" t="str">
        <f>Source!H35</f>
        <v>м3</v>
      </c>
      <c r="E89" s="43">
        <f>Source!K35</f>
        <v>216.8</v>
      </c>
      <c r="F89" s="43"/>
      <c r="G89" s="43">
        <f>Source!I35</f>
        <v>216.8</v>
      </c>
      <c r="H89" s="48">
        <f>Source!AL35</f>
        <v>136.52000000000001</v>
      </c>
      <c r="I89" s="49"/>
      <c r="J89" s="42">
        <f>ROUND(Source!AC35*Source!I35, 2)</f>
        <v>29701.599999999999</v>
      </c>
      <c r="K89" s="49"/>
      <c r="L89" s="42"/>
      <c r="AC89">
        <f>Source!X35</f>
        <v>0</v>
      </c>
      <c r="AD89">
        <f>Source!HK35</f>
        <v>0</v>
      </c>
      <c r="AE89">
        <f>Source!Y35</f>
        <v>0</v>
      </c>
      <c r="AF89">
        <f>Source!HL35</f>
        <v>0</v>
      </c>
      <c r="AS89">
        <f>IF(Source!BI35&lt;=1,AD89, 0)</f>
        <v>0</v>
      </c>
      <c r="AT89">
        <f>IF(Source!BI35&lt;=1,AF89, 0)</f>
        <v>0</v>
      </c>
      <c r="BC89">
        <f>IF(Source!BI35=2,AD89, 0)</f>
        <v>0</v>
      </c>
      <c r="BD89">
        <f>IF(Source!BI35=2,AF89, 0)</f>
        <v>0</v>
      </c>
    </row>
    <row r="90" spans="1:56" x14ac:dyDescent="0.2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</row>
    <row r="91" spans="1:56" ht="15" x14ac:dyDescent="0.25">
      <c r="C91" s="106" t="s">
        <v>470</v>
      </c>
      <c r="D91" s="106"/>
      <c r="E91" s="106"/>
      <c r="F91" s="106"/>
      <c r="G91" s="106"/>
      <c r="H91" s="106"/>
      <c r="I91" s="106">
        <f>J89</f>
        <v>29701.599999999999</v>
      </c>
      <c r="J91" s="106"/>
      <c r="O91" s="39">
        <f>I91</f>
        <v>29701.599999999999</v>
      </c>
      <c r="P91">
        <f>K91</f>
        <v>0</v>
      </c>
      <c r="Q91">
        <f>0</f>
        <v>0</v>
      </c>
      <c r="R91">
        <f>0</f>
        <v>0</v>
      </c>
      <c r="U91">
        <f>0</f>
        <v>0</v>
      </c>
      <c r="V91">
        <f>0</f>
        <v>0</v>
      </c>
      <c r="W91">
        <f>0</f>
        <v>0</v>
      </c>
      <c r="X91">
        <f>0</f>
        <v>0</v>
      </c>
      <c r="Z91">
        <f>0</f>
        <v>0</v>
      </c>
      <c r="AB91" s="39">
        <f>I91</f>
        <v>29701.599999999999</v>
      </c>
      <c r="AN91">
        <f>IF(Source!BI35&lt;=1,J89, 0)</f>
        <v>29701.599999999999</v>
      </c>
      <c r="AO91">
        <f>IF(Source!BI35&lt;=1,I91, 0)</f>
        <v>29701.599999999999</v>
      </c>
      <c r="AP91">
        <f>IF(Source!BI35&lt;=1,0, 0)</f>
        <v>0</v>
      </c>
      <c r="AQ91">
        <f>IF(Source!BI35&lt;=1,0, 0)</f>
        <v>0</v>
      </c>
      <c r="AX91">
        <f>IF(Source!BI35=2,J89, 0)</f>
        <v>0</v>
      </c>
      <c r="AY91">
        <f>IF(Source!BI35=2,I91, 0)</f>
        <v>0</v>
      </c>
      <c r="AZ91">
        <f>IF(Source!BI35=2,0, 0)</f>
        <v>0</v>
      </c>
      <c r="BA91">
        <f>IF(Source!BI35=2,0, 0)</f>
        <v>0</v>
      </c>
    </row>
    <row r="92" spans="1:56" ht="147.75" x14ac:dyDescent="0.2">
      <c r="A92" s="66" t="str">
        <f>Source!E36</f>
        <v>8</v>
      </c>
      <c r="B92" s="67" t="s">
        <v>483</v>
      </c>
      <c r="C92" s="67" t="s">
        <v>484</v>
      </c>
      <c r="D92" s="47" t="str">
        <f>Source!H36</f>
        <v>1000 м2</v>
      </c>
      <c r="E92" s="43">
        <f>Source!K36</f>
        <v>2</v>
      </c>
      <c r="F92" s="43"/>
      <c r="G92" s="43">
        <f>Source!I36</f>
        <v>2</v>
      </c>
      <c r="H92" s="48"/>
      <c r="I92" s="49"/>
      <c r="J92" s="42"/>
      <c r="K92" s="49"/>
      <c r="L92" s="42"/>
      <c r="AC92">
        <f>Source!X36</f>
        <v>1678.32</v>
      </c>
      <c r="AD92">
        <f>Source!HK36</f>
        <v>60184.56</v>
      </c>
      <c r="AE92">
        <f>Source!Y36</f>
        <v>1265.4000000000001</v>
      </c>
      <c r="AF92">
        <f>Source!HL36</f>
        <v>45377.24</v>
      </c>
      <c r="AS92">
        <f>IF(Source!BI36&lt;=1,AD92, 0)</f>
        <v>60184.56</v>
      </c>
      <c r="AT92">
        <f>IF(Source!BI36&lt;=1,AF92, 0)</f>
        <v>45377.24</v>
      </c>
      <c r="BC92">
        <f>IF(Source!BI36=2,AD92, 0)</f>
        <v>0</v>
      </c>
      <c r="BD92">
        <f>IF(Source!BI36=2,AF92, 0)</f>
        <v>0</v>
      </c>
    </row>
    <row r="93" spans="1:56" ht="89.25" x14ac:dyDescent="0.2">
      <c r="B93" s="36" t="str">
        <f>Source!EO36</f>
        <v>Поправка: п.8.7.1</v>
      </c>
      <c r="C93" s="36" t="str">
        <f>Source!CN36</f>
        <v>Поправка: п.8.7.1  Наименование: При выполнении работ в существующих зданиях и сооружениях, аналогичных процессам при новом строительстве (кроме работ по нормам сборника № 46 «Работы при реконструкции зданий и сооружений»)</v>
      </c>
    </row>
    <row r="94" spans="1:56" x14ac:dyDescent="0.2">
      <c r="C94" s="37" t="str">
        <f>"Объем: "&amp;Source!K36&amp;"=2000/"&amp;"1000"</f>
        <v>Объем: 2=2000/1000</v>
      </c>
    </row>
    <row r="95" spans="1:56" ht="14.25" x14ac:dyDescent="0.2">
      <c r="A95" s="66"/>
      <c r="B95" s="68">
        <v>1</v>
      </c>
      <c r="C95" s="67" t="s">
        <v>457</v>
      </c>
      <c r="D95" s="47"/>
      <c r="E95" s="43"/>
      <c r="F95" s="43"/>
      <c r="G95" s="43"/>
      <c r="H95" s="48">
        <f>Source!AO36</f>
        <v>329</v>
      </c>
      <c r="I95" s="49">
        <f>ROUND(1.15,7)</f>
        <v>1.1499999999999999</v>
      </c>
      <c r="J95" s="42">
        <f>ROUND(Source!AF36*Source!I36, 2)</f>
        <v>756</v>
      </c>
      <c r="K95" s="49">
        <f>IF(Source!BA36&lt;&gt; 0, Source!BA36, 1)</f>
        <v>35.86</v>
      </c>
      <c r="L95" s="42">
        <f>Source!HJ36</f>
        <v>27110.16</v>
      </c>
    </row>
    <row r="96" spans="1:56" ht="14.25" x14ac:dyDescent="0.2">
      <c r="A96" s="66"/>
      <c r="B96" s="68">
        <v>3</v>
      </c>
      <c r="C96" s="67" t="s">
        <v>458</v>
      </c>
      <c r="D96" s="47"/>
      <c r="E96" s="43"/>
      <c r="F96" s="43"/>
      <c r="G96" s="43"/>
      <c r="H96" s="48">
        <f>Source!AM36</f>
        <v>2388.29</v>
      </c>
      <c r="I96" s="49">
        <f>ROUND(1.25,7)</f>
        <v>1.25</v>
      </c>
      <c r="J96" s="42">
        <f>ROUND(Source!AD36*Source!I36, 2)</f>
        <v>5970</v>
      </c>
      <c r="K96" s="49"/>
      <c r="L96" s="42"/>
    </row>
    <row r="97" spans="1:56" ht="14.25" x14ac:dyDescent="0.2">
      <c r="A97" s="66"/>
      <c r="B97" s="68">
        <v>2</v>
      </c>
      <c r="C97" s="67" t="s">
        <v>459</v>
      </c>
      <c r="D97" s="47"/>
      <c r="E97" s="43"/>
      <c r="F97" s="43"/>
      <c r="G97" s="43"/>
      <c r="H97" s="48">
        <f>Source!AN36</f>
        <v>230.49</v>
      </c>
      <c r="I97" s="49">
        <f>ROUND(1.25,7)</f>
        <v>1.25</v>
      </c>
      <c r="J97" s="50">
        <f>ROUND(Source!AE36*Source!I36, 2)</f>
        <v>576</v>
      </c>
      <c r="K97" s="49">
        <f>IF(Source!BS36&lt;&gt; 0, Source!BS36, 1)</f>
        <v>35.86</v>
      </c>
      <c r="L97" s="50">
        <f>Source!HI36</f>
        <v>20655.36</v>
      </c>
    </row>
    <row r="98" spans="1:56" ht="14.25" x14ac:dyDescent="0.2">
      <c r="A98" s="66"/>
      <c r="B98" s="68">
        <v>4</v>
      </c>
      <c r="C98" s="67" t="s">
        <v>460</v>
      </c>
      <c r="D98" s="47"/>
      <c r="E98" s="43"/>
      <c r="F98" s="43"/>
      <c r="G98" s="43"/>
      <c r="H98" s="48">
        <f>Source!AL36</f>
        <v>282.69</v>
      </c>
      <c r="I98" s="49"/>
      <c r="J98" s="42">
        <f>ROUND(Source!AC36*Source!I36, 2)</f>
        <v>566</v>
      </c>
      <c r="K98" s="49"/>
      <c r="L98" s="42"/>
    </row>
    <row r="99" spans="1:56" ht="14.25" x14ac:dyDescent="0.2">
      <c r="A99" s="66"/>
      <c r="B99" s="67" t="str">
        <f>EtalonRes!I32</f>
        <v>01.2.01.02</v>
      </c>
      <c r="C99" s="67" t="str">
        <f>EtalonRes!K32</f>
        <v>Битум</v>
      </c>
      <c r="D99" s="47" t="str">
        <f>EtalonRes!O32</f>
        <v>т</v>
      </c>
      <c r="E99" s="43">
        <f>EtalonRes!X32</f>
        <v>1.0800000000000001E-2</v>
      </c>
      <c r="F99" s="43"/>
      <c r="G99" s="43">
        <f>ROUND(EtalonRes!AG32*Source!I36, 7)</f>
        <v>2.1600000000000001E-2</v>
      </c>
      <c r="H99" s="48"/>
      <c r="I99" s="49"/>
      <c r="J99" s="42"/>
      <c r="K99" s="49"/>
      <c r="L99" s="42"/>
    </row>
    <row r="100" spans="1:56" ht="14.25" x14ac:dyDescent="0.2">
      <c r="A100" s="66"/>
      <c r="B100" s="67" t="str">
        <f>EtalonRes!I34</f>
        <v>04.2.01.04</v>
      </c>
      <c r="C100" s="67" t="str">
        <f>EtalonRes!K34</f>
        <v>Смесь асфальтобетонная</v>
      </c>
      <c r="D100" s="47" t="str">
        <f>EtalonRes!O34</f>
        <v>т</v>
      </c>
      <c r="E100" s="43">
        <f>EtalonRes!X34</f>
        <v>95.8</v>
      </c>
      <c r="F100" s="43"/>
      <c r="G100" s="43">
        <f>ROUND(EtalonRes!AG34*Source!I36, 7)</f>
        <v>191.6</v>
      </c>
      <c r="H100" s="48"/>
      <c r="I100" s="49"/>
      <c r="J100" s="42"/>
      <c r="K100" s="49"/>
      <c r="L100" s="42"/>
    </row>
    <row r="101" spans="1:56" ht="14.25" x14ac:dyDescent="0.2">
      <c r="A101" s="66"/>
      <c r="B101" s="67"/>
      <c r="C101" s="69" t="s">
        <v>461</v>
      </c>
      <c r="D101" s="51" t="s">
        <v>462</v>
      </c>
      <c r="E101" s="52">
        <f>Source!AQ36</f>
        <v>38.299999999999997</v>
      </c>
      <c r="F101" s="52">
        <f>ROUND(1.15,7)</f>
        <v>1.1499999999999999</v>
      </c>
      <c r="G101" s="52">
        <f>ROUND(Source!U36, 7)</f>
        <v>88.09</v>
      </c>
      <c r="H101" s="53"/>
      <c r="I101" s="54"/>
      <c r="J101" s="55"/>
      <c r="K101" s="54"/>
      <c r="L101" s="55"/>
    </row>
    <row r="102" spans="1:56" ht="14.25" x14ac:dyDescent="0.2">
      <c r="A102" s="66"/>
      <c r="B102" s="67"/>
      <c r="C102" s="67" t="s">
        <v>463</v>
      </c>
      <c r="D102" s="47"/>
      <c r="E102" s="43"/>
      <c r="F102" s="43"/>
      <c r="G102" s="43"/>
      <c r="H102" s="48">
        <f>H95+H96+H98</f>
        <v>2999.98</v>
      </c>
      <c r="I102" s="49"/>
      <c r="J102" s="42">
        <f>J95+J96+J98</f>
        <v>7292</v>
      </c>
      <c r="K102" s="49"/>
      <c r="L102" s="42"/>
    </row>
    <row r="103" spans="1:56" ht="14.25" x14ac:dyDescent="0.2">
      <c r="A103" s="66"/>
      <c r="B103" s="67"/>
      <c r="C103" s="67" t="s">
        <v>464</v>
      </c>
      <c r="D103" s="47"/>
      <c r="E103" s="43"/>
      <c r="F103" s="43"/>
      <c r="G103" s="43"/>
      <c r="H103" s="48"/>
      <c r="I103" s="49"/>
      <c r="J103" s="42">
        <f>SUM(Q92:Q106)+SUM(V92:V106)</f>
        <v>1332</v>
      </c>
      <c r="K103" s="49"/>
      <c r="L103" s="42">
        <f>SUM(U92:U106)+SUM(W92:W106)</f>
        <v>47765.520000000004</v>
      </c>
    </row>
    <row r="104" spans="1:56" ht="14.25" x14ac:dyDescent="0.2">
      <c r="A104" s="66"/>
      <c r="B104" s="67" t="s">
        <v>474</v>
      </c>
      <c r="C104" s="67" t="s">
        <v>475</v>
      </c>
      <c r="D104" s="47" t="s">
        <v>467</v>
      </c>
      <c r="E104" s="43">
        <f>Source!BZ36</f>
        <v>126</v>
      </c>
      <c r="F104" s="43"/>
      <c r="G104" s="43">
        <f>Source!AT36</f>
        <v>126</v>
      </c>
      <c r="H104" s="48"/>
      <c r="I104" s="49"/>
      <c r="J104" s="42">
        <f>SUM(AC92:AC106)</f>
        <v>1678.32</v>
      </c>
      <c r="K104" s="49"/>
      <c r="L104" s="42">
        <f>SUM(AD92:AD106)</f>
        <v>60184.56</v>
      </c>
    </row>
    <row r="105" spans="1:56" ht="14.25" x14ac:dyDescent="0.2">
      <c r="A105" s="70"/>
      <c r="B105" s="69" t="s">
        <v>476</v>
      </c>
      <c r="C105" s="69" t="s">
        <v>477</v>
      </c>
      <c r="D105" s="51" t="s">
        <v>467</v>
      </c>
      <c r="E105" s="52">
        <f>Source!CA36</f>
        <v>95</v>
      </c>
      <c r="F105" s="52"/>
      <c r="G105" s="52">
        <f>Source!AU36</f>
        <v>95</v>
      </c>
      <c r="H105" s="53"/>
      <c r="I105" s="54"/>
      <c r="J105" s="55">
        <f>SUM(AE92:AE106)</f>
        <v>1265.4000000000001</v>
      </c>
      <c r="K105" s="54"/>
      <c r="L105" s="55">
        <f>SUM(AF92:AF106)</f>
        <v>45377.24</v>
      </c>
    </row>
    <row r="106" spans="1:56" ht="15" x14ac:dyDescent="0.25">
      <c r="C106" s="106" t="s">
        <v>470</v>
      </c>
      <c r="D106" s="106"/>
      <c r="E106" s="106"/>
      <c r="F106" s="106"/>
      <c r="G106" s="106"/>
      <c r="H106" s="106"/>
      <c r="I106" s="106">
        <f>J95+J96+J98+J104+J105</f>
        <v>10235.719999999999</v>
      </c>
      <c r="J106" s="106"/>
      <c r="O106" s="39">
        <f>I106</f>
        <v>10235.719999999999</v>
      </c>
      <c r="P106">
        <f>K106</f>
        <v>0</v>
      </c>
      <c r="Q106" s="39">
        <f>J95</f>
        <v>756</v>
      </c>
      <c r="R106" s="39">
        <f>J95</f>
        <v>756</v>
      </c>
      <c r="U106" s="39">
        <f>L95</f>
        <v>27110.16</v>
      </c>
      <c r="V106" s="39">
        <f>J97</f>
        <v>576</v>
      </c>
      <c r="W106" s="39">
        <f>L97</f>
        <v>20655.36</v>
      </c>
      <c r="X106" s="39">
        <f>J96</f>
        <v>5970</v>
      </c>
      <c r="Z106" s="39">
        <f>L96</f>
        <v>0</v>
      </c>
      <c r="AB106" s="39">
        <f>J98</f>
        <v>566</v>
      </c>
      <c r="AN106">
        <f>IF(Source!BI36&lt;=1,J95+J96+J98+J104+J105, 0)</f>
        <v>10235.719999999999</v>
      </c>
      <c r="AO106">
        <f>IF(Source!BI36&lt;=1,J98, 0)</f>
        <v>566</v>
      </c>
      <c r="AP106">
        <f>IF(Source!BI36&lt;=1,J96, 0)</f>
        <v>5970</v>
      </c>
      <c r="AQ106">
        <f>IF(Source!BI36&lt;=1,J95, 0)</f>
        <v>756</v>
      </c>
      <c r="AX106">
        <f>IF(Source!BI36=2,J95+J96+J98+J104+J105, 0)</f>
        <v>0</v>
      </c>
      <c r="AY106">
        <f>IF(Source!BI36=2,J98, 0)</f>
        <v>0</v>
      </c>
      <c r="AZ106">
        <f>IF(Source!BI36=2,J96, 0)</f>
        <v>0</v>
      </c>
      <c r="BA106">
        <f>IF(Source!BI36=2,J95, 0)</f>
        <v>0</v>
      </c>
    </row>
    <row r="107" spans="1:56" ht="132" x14ac:dyDescent="0.2">
      <c r="A107" s="66" t="str">
        <f>Source!E39</f>
        <v>9</v>
      </c>
      <c r="B107" s="67" t="s">
        <v>485</v>
      </c>
      <c r="C107" s="67" t="s">
        <v>486</v>
      </c>
      <c r="D107" s="47" t="str">
        <f>Source!H39</f>
        <v>1000 м2</v>
      </c>
      <c r="E107" s="43">
        <f>Source!K39</f>
        <v>0.24</v>
      </c>
      <c r="F107" s="43"/>
      <c r="G107" s="43">
        <f>Source!I39</f>
        <v>0.24</v>
      </c>
      <c r="H107" s="48"/>
      <c r="I107" s="49"/>
      <c r="J107" s="42"/>
      <c r="K107" s="49"/>
      <c r="L107" s="42"/>
      <c r="AC107">
        <f>Source!X39</f>
        <v>1.21</v>
      </c>
      <c r="AD107">
        <f>Source!HK39</f>
        <v>43.38</v>
      </c>
      <c r="AE107">
        <f>Source!Y39</f>
        <v>0.91</v>
      </c>
      <c r="AF107">
        <f>Source!HL39</f>
        <v>32.71</v>
      </c>
      <c r="AS107">
        <f>IF(Source!BI39&lt;=1,AD107, 0)</f>
        <v>43.38</v>
      </c>
      <c r="AT107">
        <f>IF(Source!BI39&lt;=1,AF107, 0)</f>
        <v>32.71</v>
      </c>
      <c r="BC107">
        <f>IF(Source!BI39=2,AD107, 0)</f>
        <v>0</v>
      </c>
      <c r="BD107">
        <f>IF(Source!BI39=2,AF107, 0)</f>
        <v>0</v>
      </c>
    </row>
    <row r="108" spans="1:56" ht="89.25" x14ac:dyDescent="0.2">
      <c r="B108" s="36" t="str">
        <f>Source!EO39</f>
        <v>Поправка: п.8.7.1</v>
      </c>
      <c r="C108" s="36" t="str">
        <f>Source!CN39</f>
        <v>Поправка: п.8.7.1  Наименование: При выполнении работ в существующих зданиях и сооружениях, аналогичных процессам при новом строительстве (кроме работ по нормам сборника № 46 «Работы при реконструкции зданий и сооружений»)</v>
      </c>
    </row>
    <row r="109" spans="1:56" x14ac:dyDescent="0.2">
      <c r="C109" s="37" t="str">
        <f>"Объем: "&amp;Source!K39&amp;"=240/"&amp;"1000"</f>
        <v>Объем: 0.24=240/1000</v>
      </c>
    </row>
    <row r="110" spans="1:56" ht="14.25" x14ac:dyDescent="0.2">
      <c r="A110" s="66"/>
      <c r="B110" s="68">
        <v>1</v>
      </c>
      <c r="C110" s="67" t="s">
        <v>457</v>
      </c>
      <c r="D110" s="47"/>
      <c r="E110" s="43"/>
      <c r="F110" s="43"/>
      <c r="G110" s="43"/>
      <c r="H110" s="48">
        <f>Source!AO39</f>
        <v>0.77</v>
      </c>
      <c r="I110" s="49">
        <f>ROUND(1.15*4,7)</f>
        <v>4.5999999999999996</v>
      </c>
      <c r="J110" s="42">
        <f>ROUND(Source!AF39*Source!I39, 2)</f>
        <v>0.96</v>
      </c>
      <c r="K110" s="49">
        <f>IF(Source!BA39&lt;&gt; 0, Source!BA39, 1)</f>
        <v>35.86</v>
      </c>
      <c r="L110" s="42">
        <f>Source!HJ39</f>
        <v>34.43</v>
      </c>
    </row>
    <row r="111" spans="1:56" ht="14.25" x14ac:dyDescent="0.2">
      <c r="A111" s="66"/>
      <c r="B111" s="68">
        <v>3</v>
      </c>
      <c r="C111" s="67" t="s">
        <v>458</v>
      </c>
      <c r="D111" s="47"/>
      <c r="E111" s="43"/>
      <c r="F111" s="43"/>
      <c r="G111" s="43"/>
      <c r="H111" s="48">
        <f>Source!AM39</f>
        <v>2.92</v>
      </c>
      <c r="I111" s="49">
        <f>ROUND(1.25*4,7)</f>
        <v>5</v>
      </c>
      <c r="J111" s="42">
        <f>ROUND(Source!AD39*Source!I39, 2)</f>
        <v>3.6</v>
      </c>
      <c r="K111" s="49"/>
      <c r="L111" s="42"/>
    </row>
    <row r="112" spans="1:56" ht="14.25" x14ac:dyDescent="0.2">
      <c r="A112" s="66"/>
      <c r="B112" s="67" t="str">
        <f>EtalonRes!I39</f>
        <v>01.2.01.02</v>
      </c>
      <c r="C112" s="67" t="str">
        <f>EtalonRes!K39</f>
        <v>Битум</v>
      </c>
      <c r="D112" s="47" t="str">
        <f>EtalonRes!O39</f>
        <v>т</v>
      </c>
      <c r="E112" s="43">
        <f>EtalonRes!X39</f>
        <v>1.4E-3</v>
      </c>
      <c r="F112" s="43">
        <f>ROUND(4,7)</f>
        <v>4</v>
      </c>
      <c r="G112" s="43">
        <f>ROUND(EtalonRes!AG39*Source!I39, 7)</f>
        <v>1.3439999999999999E-3</v>
      </c>
      <c r="H112" s="48"/>
      <c r="I112" s="49"/>
      <c r="J112" s="42"/>
      <c r="K112" s="49"/>
      <c r="L112" s="42"/>
    </row>
    <row r="113" spans="1:56" ht="14.25" x14ac:dyDescent="0.2">
      <c r="A113" s="66"/>
      <c r="B113" s="67" t="str">
        <f>EtalonRes!I40</f>
        <v>04.2.01.04</v>
      </c>
      <c r="C113" s="67" t="str">
        <f>EtalonRes!K40</f>
        <v>Смесь асфальтобетонная</v>
      </c>
      <c r="D113" s="47" t="str">
        <f>EtalonRes!O40</f>
        <v>т</v>
      </c>
      <c r="E113" s="43">
        <f>EtalonRes!X40</f>
        <v>12</v>
      </c>
      <c r="F113" s="43">
        <f>ROUND(4,7)</f>
        <v>4</v>
      </c>
      <c r="G113" s="43">
        <f>ROUND(EtalonRes!AG40*Source!I39, 7)</f>
        <v>11.52</v>
      </c>
      <c r="H113" s="48"/>
      <c r="I113" s="49"/>
      <c r="J113" s="42"/>
      <c r="K113" s="49"/>
      <c r="L113" s="42"/>
    </row>
    <row r="114" spans="1:56" ht="14.25" x14ac:dyDescent="0.2">
      <c r="A114" s="66"/>
      <c r="B114" s="67"/>
      <c r="C114" s="69" t="s">
        <v>461</v>
      </c>
      <c r="D114" s="51" t="s">
        <v>462</v>
      </c>
      <c r="E114" s="52">
        <f>Source!AQ39</f>
        <v>0.09</v>
      </c>
      <c r="F114" s="52">
        <f>ROUND(1.15*4,7)</f>
        <v>4.5999999999999996</v>
      </c>
      <c r="G114" s="52">
        <f>ROUND(Source!U39, 7)</f>
        <v>9.9360000000000004E-2</v>
      </c>
      <c r="H114" s="53"/>
      <c r="I114" s="54"/>
      <c r="J114" s="55"/>
      <c r="K114" s="54"/>
      <c r="L114" s="55"/>
    </row>
    <row r="115" spans="1:56" ht="14.25" x14ac:dyDescent="0.2">
      <c r="A115" s="66"/>
      <c r="B115" s="67"/>
      <c r="C115" s="67" t="s">
        <v>463</v>
      </c>
      <c r="D115" s="47"/>
      <c r="E115" s="43"/>
      <c r="F115" s="43"/>
      <c r="G115" s="43"/>
      <c r="H115" s="48">
        <f>H110+H111</f>
        <v>3.69</v>
      </c>
      <c r="I115" s="49"/>
      <c r="J115" s="42">
        <f>J110+J111</f>
        <v>4.5600000000000005</v>
      </c>
      <c r="K115" s="49"/>
      <c r="L115" s="42"/>
    </row>
    <row r="116" spans="1:56" ht="14.25" x14ac:dyDescent="0.2">
      <c r="A116" s="66"/>
      <c r="B116" s="67"/>
      <c r="C116" s="67" t="s">
        <v>464</v>
      </c>
      <c r="D116" s="47"/>
      <c r="E116" s="43"/>
      <c r="F116" s="43"/>
      <c r="G116" s="43"/>
      <c r="H116" s="48"/>
      <c r="I116" s="49"/>
      <c r="J116" s="42">
        <f>SUM(Q107:Q119)+SUM(V107:V119)</f>
        <v>0.96</v>
      </c>
      <c r="K116" s="49"/>
      <c r="L116" s="42">
        <f>SUM(U107:U119)+SUM(W107:W119)</f>
        <v>34.43</v>
      </c>
    </row>
    <row r="117" spans="1:56" ht="14.25" x14ac:dyDescent="0.2">
      <c r="A117" s="66"/>
      <c r="B117" s="67" t="s">
        <v>474</v>
      </c>
      <c r="C117" s="67" t="s">
        <v>475</v>
      </c>
      <c r="D117" s="47" t="s">
        <v>467</v>
      </c>
      <c r="E117" s="43">
        <f>Source!BZ39</f>
        <v>126</v>
      </c>
      <c r="F117" s="43"/>
      <c r="G117" s="43">
        <f>Source!AT39</f>
        <v>126</v>
      </c>
      <c r="H117" s="48"/>
      <c r="I117" s="49"/>
      <c r="J117" s="42">
        <f>SUM(AC107:AC119)</f>
        <v>1.21</v>
      </c>
      <c r="K117" s="49"/>
      <c r="L117" s="42">
        <f>SUM(AD107:AD119)</f>
        <v>43.38</v>
      </c>
    </row>
    <row r="118" spans="1:56" ht="14.25" x14ac:dyDescent="0.2">
      <c r="A118" s="70"/>
      <c r="B118" s="69" t="s">
        <v>476</v>
      </c>
      <c r="C118" s="69" t="s">
        <v>477</v>
      </c>
      <c r="D118" s="51" t="s">
        <v>467</v>
      </c>
      <c r="E118" s="52">
        <f>Source!CA39</f>
        <v>95</v>
      </c>
      <c r="F118" s="52"/>
      <c r="G118" s="52">
        <f>Source!AU39</f>
        <v>95</v>
      </c>
      <c r="H118" s="53"/>
      <c r="I118" s="54"/>
      <c r="J118" s="55">
        <f>SUM(AE107:AE119)</f>
        <v>0.91</v>
      </c>
      <c r="K118" s="54"/>
      <c r="L118" s="55">
        <f>SUM(AF107:AF119)</f>
        <v>32.71</v>
      </c>
    </row>
    <row r="119" spans="1:56" ht="15" x14ac:dyDescent="0.25">
      <c r="C119" s="106" t="s">
        <v>470</v>
      </c>
      <c r="D119" s="106"/>
      <c r="E119" s="106"/>
      <c r="F119" s="106"/>
      <c r="G119" s="106"/>
      <c r="H119" s="106"/>
      <c r="I119" s="106">
        <f>J110+J111+J117+J118</f>
        <v>6.6800000000000006</v>
      </c>
      <c r="J119" s="106"/>
      <c r="O119" s="39">
        <f>I119</f>
        <v>6.6800000000000006</v>
      </c>
      <c r="P119">
        <f>K119</f>
        <v>0</v>
      </c>
      <c r="Q119" s="39">
        <f>J110</f>
        <v>0.96</v>
      </c>
      <c r="R119" s="39">
        <f>J110</f>
        <v>0.96</v>
      </c>
      <c r="U119" s="39">
        <f>L110</f>
        <v>34.43</v>
      </c>
      <c r="V119">
        <f>0</f>
        <v>0</v>
      </c>
      <c r="W119">
        <f>0</f>
        <v>0</v>
      </c>
      <c r="X119" s="39">
        <f>J111</f>
        <v>3.6</v>
      </c>
      <c r="Z119" s="39">
        <f>L111</f>
        <v>0</v>
      </c>
      <c r="AB119">
        <f>0</f>
        <v>0</v>
      </c>
      <c r="AN119">
        <f>IF(Source!BI39&lt;=1,J110+J111+J117+J118, 0)</f>
        <v>6.6800000000000006</v>
      </c>
      <c r="AO119">
        <f>IF(Source!BI39&lt;=1,0, 0)</f>
        <v>0</v>
      </c>
      <c r="AP119">
        <f>IF(Source!BI39&lt;=1,J111, 0)</f>
        <v>3.6</v>
      </c>
      <c r="AQ119">
        <f>IF(Source!BI39&lt;=1,J110, 0)</f>
        <v>0.96</v>
      </c>
      <c r="AX119">
        <f>IF(Source!BI39=2,J110+J111+J117+J118, 0)</f>
        <v>0</v>
      </c>
      <c r="AY119">
        <f>IF(Source!BI39=2,0, 0)</f>
        <v>0</v>
      </c>
      <c r="AZ119">
        <f>IF(Source!BI39=2,J111, 0)</f>
        <v>0</v>
      </c>
      <c r="BA119">
        <f>IF(Source!BI39=2,J110, 0)</f>
        <v>0</v>
      </c>
    </row>
    <row r="120" spans="1:56" ht="132" x14ac:dyDescent="0.2">
      <c r="A120" s="66" t="str">
        <f>Source!E42</f>
        <v>10</v>
      </c>
      <c r="B120" s="67" t="s">
        <v>485</v>
      </c>
      <c r="C120" s="67" t="s">
        <v>487</v>
      </c>
      <c r="D120" s="47" t="str">
        <f>Source!H42</f>
        <v>1000 м2</v>
      </c>
      <c r="E120" s="43">
        <f>Source!K42</f>
        <v>1.76</v>
      </c>
      <c r="F120" s="43"/>
      <c r="G120" s="43">
        <f>Source!I42</f>
        <v>1.76</v>
      </c>
      <c r="H120" s="48"/>
      <c r="I120" s="49"/>
      <c r="J120" s="42"/>
      <c r="K120" s="49"/>
      <c r="L120" s="42"/>
      <c r="AC120">
        <f>Source!X42</f>
        <v>4.4400000000000004</v>
      </c>
      <c r="AD120">
        <f>Source!HK42</f>
        <v>159.05000000000001</v>
      </c>
      <c r="AE120">
        <f>Source!Y42</f>
        <v>3.34</v>
      </c>
      <c r="AF120">
        <f>Source!HL42</f>
        <v>119.92</v>
      </c>
      <c r="AS120">
        <f>IF(Source!BI42&lt;=1,AD120, 0)</f>
        <v>159.05000000000001</v>
      </c>
      <c r="AT120">
        <f>IF(Source!BI42&lt;=1,AF120, 0)</f>
        <v>119.92</v>
      </c>
      <c r="BC120">
        <f>IF(Source!BI42=2,AD120, 0)</f>
        <v>0</v>
      </c>
      <c r="BD120">
        <f>IF(Source!BI42=2,AF120, 0)</f>
        <v>0</v>
      </c>
    </row>
    <row r="121" spans="1:56" ht="89.25" x14ac:dyDescent="0.2">
      <c r="B121" s="36" t="str">
        <f>Source!EO42</f>
        <v>Поправка: п.8.7.1</v>
      </c>
      <c r="C121" s="36" t="str">
        <f>Source!CN42</f>
        <v>Поправка: п.8.7.1  Наименование: При выполнении работ в существующих зданиях и сооружениях, аналогичных процессам при новом строительстве (кроме работ по нормам сборника № 46 «Работы при реконструкции зданий и сооружений»)</v>
      </c>
    </row>
    <row r="122" spans="1:56" x14ac:dyDescent="0.2">
      <c r="C122" s="37" t="str">
        <f>"Объем: "&amp;Source!K42&amp;"=1760/"&amp;"1000"</f>
        <v>Объем: 1.76=1760/1000</v>
      </c>
    </row>
    <row r="123" spans="1:56" ht="14.25" x14ac:dyDescent="0.2">
      <c r="A123" s="66"/>
      <c r="B123" s="68">
        <v>1</v>
      </c>
      <c r="C123" s="67" t="s">
        <v>457</v>
      </c>
      <c r="D123" s="47"/>
      <c r="E123" s="43"/>
      <c r="F123" s="43"/>
      <c r="G123" s="43"/>
      <c r="H123" s="48">
        <f>Source!AO42</f>
        <v>0.77</v>
      </c>
      <c r="I123" s="49">
        <f>ROUND(1.15*2,7)</f>
        <v>2.2999999999999998</v>
      </c>
      <c r="J123" s="42">
        <f>ROUND(Source!AF42*Source!I42, 2)</f>
        <v>3.52</v>
      </c>
      <c r="K123" s="49">
        <f>IF(Source!BA42&lt;&gt; 0, Source!BA42, 1)</f>
        <v>35.86</v>
      </c>
      <c r="L123" s="42">
        <f>Source!HJ42</f>
        <v>126.23</v>
      </c>
    </row>
    <row r="124" spans="1:56" ht="14.25" x14ac:dyDescent="0.2">
      <c r="A124" s="66"/>
      <c r="B124" s="68">
        <v>3</v>
      </c>
      <c r="C124" s="67" t="s">
        <v>458</v>
      </c>
      <c r="D124" s="47"/>
      <c r="E124" s="43"/>
      <c r="F124" s="43"/>
      <c r="G124" s="43"/>
      <c r="H124" s="48">
        <f>Source!AM42</f>
        <v>2.92</v>
      </c>
      <c r="I124" s="49">
        <f>ROUND(1.25*2,7)</f>
        <v>2.5</v>
      </c>
      <c r="J124" s="42">
        <f>ROUND(Source!AD42*Source!I42, 2)</f>
        <v>12.32</v>
      </c>
      <c r="K124" s="49"/>
      <c r="L124" s="42"/>
    </row>
    <row r="125" spans="1:56" ht="14.25" x14ac:dyDescent="0.2">
      <c r="A125" s="66"/>
      <c r="B125" s="67" t="str">
        <f>EtalonRes!I43</f>
        <v>01.2.01.02</v>
      </c>
      <c r="C125" s="67" t="str">
        <f>EtalonRes!K43</f>
        <v>Битум</v>
      </c>
      <c r="D125" s="47" t="str">
        <f>EtalonRes!O43</f>
        <v>т</v>
      </c>
      <c r="E125" s="43">
        <f>EtalonRes!X43</f>
        <v>1.4E-3</v>
      </c>
      <c r="F125" s="43">
        <f>ROUND(2,7)</f>
        <v>2</v>
      </c>
      <c r="G125" s="43">
        <f>ROUND(EtalonRes!AG43*Source!I42, 7)</f>
        <v>4.9280000000000001E-3</v>
      </c>
      <c r="H125" s="48"/>
      <c r="I125" s="49"/>
      <c r="J125" s="42"/>
      <c r="K125" s="49"/>
      <c r="L125" s="42"/>
    </row>
    <row r="126" spans="1:56" ht="14.25" x14ac:dyDescent="0.2">
      <c r="A126" s="66"/>
      <c r="B126" s="67" t="str">
        <f>EtalonRes!I44</f>
        <v>04.2.01.04</v>
      </c>
      <c r="C126" s="67" t="str">
        <f>EtalonRes!K44</f>
        <v>Смесь асфальтобетонная</v>
      </c>
      <c r="D126" s="47" t="str">
        <f>EtalonRes!O44</f>
        <v>т</v>
      </c>
      <c r="E126" s="43">
        <f>EtalonRes!X44</f>
        <v>12</v>
      </c>
      <c r="F126" s="43">
        <f>ROUND(2,7)</f>
        <v>2</v>
      </c>
      <c r="G126" s="43">
        <f>ROUND(EtalonRes!AG44*Source!I42, 7)</f>
        <v>42.24</v>
      </c>
      <c r="H126" s="48"/>
      <c r="I126" s="49"/>
      <c r="J126" s="42"/>
      <c r="K126" s="49"/>
      <c r="L126" s="42"/>
    </row>
    <row r="127" spans="1:56" ht="14.25" x14ac:dyDescent="0.2">
      <c r="A127" s="66"/>
      <c r="B127" s="67"/>
      <c r="C127" s="69" t="s">
        <v>461</v>
      </c>
      <c r="D127" s="51" t="s">
        <v>462</v>
      </c>
      <c r="E127" s="52">
        <f>Source!AQ42</f>
        <v>0.09</v>
      </c>
      <c r="F127" s="52">
        <f>ROUND(1.15*2,7)</f>
        <v>2.2999999999999998</v>
      </c>
      <c r="G127" s="52">
        <f>ROUND(Source!U42, 7)</f>
        <v>0.36431999999999998</v>
      </c>
      <c r="H127" s="53"/>
      <c r="I127" s="54"/>
      <c r="J127" s="55"/>
      <c r="K127" s="54"/>
      <c r="L127" s="55"/>
    </row>
    <row r="128" spans="1:56" ht="14.25" x14ac:dyDescent="0.2">
      <c r="A128" s="66"/>
      <c r="B128" s="67"/>
      <c r="C128" s="67" t="s">
        <v>463</v>
      </c>
      <c r="D128" s="47"/>
      <c r="E128" s="43"/>
      <c r="F128" s="43"/>
      <c r="G128" s="43"/>
      <c r="H128" s="48">
        <f>H123+H124</f>
        <v>3.69</v>
      </c>
      <c r="I128" s="49"/>
      <c r="J128" s="42">
        <f>J123+J124</f>
        <v>15.84</v>
      </c>
      <c r="K128" s="49"/>
      <c r="L128" s="42"/>
    </row>
    <row r="129" spans="1:56" ht="14.25" x14ac:dyDescent="0.2">
      <c r="A129" s="66"/>
      <c r="B129" s="67"/>
      <c r="C129" s="67" t="s">
        <v>464</v>
      </c>
      <c r="D129" s="47"/>
      <c r="E129" s="43"/>
      <c r="F129" s="43"/>
      <c r="G129" s="43"/>
      <c r="H129" s="48"/>
      <c r="I129" s="49"/>
      <c r="J129" s="42">
        <f>SUM(Q120:Q132)+SUM(V120:V132)</f>
        <v>3.52</v>
      </c>
      <c r="K129" s="49"/>
      <c r="L129" s="42">
        <f>SUM(U120:U132)+SUM(W120:W132)</f>
        <v>126.23</v>
      </c>
    </row>
    <row r="130" spans="1:56" ht="14.25" x14ac:dyDescent="0.2">
      <c r="A130" s="66"/>
      <c r="B130" s="67" t="s">
        <v>474</v>
      </c>
      <c r="C130" s="67" t="s">
        <v>475</v>
      </c>
      <c r="D130" s="47" t="s">
        <v>467</v>
      </c>
      <c r="E130" s="43">
        <f>Source!BZ42</f>
        <v>126</v>
      </c>
      <c r="F130" s="43"/>
      <c r="G130" s="43">
        <f>Source!AT42</f>
        <v>126</v>
      </c>
      <c r="H130" s="48"/>
      <c r="I130" s="49"/>
      <c r="J130" s="42">
        <f>SUM(AC120:AC132)</f>
        <v>4.4400000000000004</v>
      </c>
      <c r="K130" s="49"/>
      <c r="L130" s="42">
        <f>SUM(AD120:AD132)</f>
        <v>159.05000000000001</v>
      </c>
    </row>
    <row r="131" spans="1:56" ht="14.25" x14ac:dyDescent="0.2">
      <c r="A131" s="70"/>
      <c r="B131" s="69" t="s">
        <v>476</v>
      </c>
      <c r="C131" s="69" t="s">
        <v>477</v>
      </c>
      <c r="D131" s="51" t="s">
        <v>467</v>
      </c>
      <c r="E131" s="52">
        <f>Source!CA42</f>
        <v>95</v>
      </c>
      <c r="F131" s="52"/>
      <c r="G131" s="52">
        <f>Source!AU42</f>
        <v>95</v>
      </c>
      <c r="H131" s="53"/>
      <c r="I131" s="54"/>
      <c r="J131" s="55">
        <f>SUM(AE120:AE132)</f>
        <v>3.34</v>
      </c>
      <c r="K131" s="54"/>
      <c r="L131" s="55">
        <f>SUM(AF120:AF132)</f>
        <v>119.92</v>
      </c>
    </row>
    <row r="132" spans="1:56" ht="15" x14ac:dyDescent="0.25">
      <c r="C132" s="106" t="s">
        <v>470</v>
      </c>
      <c r="D132" s="106"/>
      <c r="E132" s="106"/>
      <c r="F132" s="106"/>
      <c r="G132" s="106"/>
      <c r="H132" s="106"/>
      <c r="I132" s="106">
        <f>J123+J124+J130+J131</f>
        <v>23.62</v>
      </c>
      <c r="J132" s="106"/>
      <c r="O132" s="39">
        <f>I132</f>
        <v>23.62</v>
      </c>
      <c r="P132">
        <f>K132</f>
        <v>0</v>
      </c>
      <c r="Q132" s="39">
        <f>J123</f>
        <v>3.52</v>
      </c>
      <c r="R132" s="39">
        <f>J123</f>
        <v>3.52</v>
      </c>
      <c r="U132" s="39">
        <f>L123</f>
        <v>126.23</v>
      </c>
      <c r="V132">
        <f>0</f>
        <v>0</v>
      </c>
      <c r="W132">
        <f>0</f>
        <v>0</v>
      </c>
      <c r="X132" s="39">
        <f>J124</f>
        <v>12.32</v>
      </c>
      <c r="Z132" s="39">
        <f>L124</f>
        <v>0</v>
      </c>
      <c r="AB132">
        <f>0</f>
        <v>0</v>
      </c>
      <c r="AN132">
        <f>IF(Source!BI42&lt;=1,J123+J124+J130+J131, 0)</f>
        <v>23.62</v>
      </c>
      <c r="AO132">
        <f>IF(Source!BI42&lt;=1,0, 0)</f>
        <v>0</v>
      </c>
      <c r="AP132">
        <f>IF(Source!BI42&lt;=1,J124, 0)</f>
        <v>12.32</v>
      </c>
      <c r="AQ132">
        <f>IF(Source!BI42&lt;=1,J123, 0)</f>
        <v>3.52</v>
      </c>
      <c r="AX132">
        <f>IF(Source!BI42=2,J123+J124+J130+J131, 0)</f>
        <v>0</v>
      </c>
      <c r="AY132">
        <f>IF(Source!BI42=2,0, 0)</f>
        <v>0</v>
      </c>
      <c r="AZ132">
        <f>IF(Source!BI42=2,J124, 0)</f>
        <v>0</v>
      </c>
      <c r="BA132">
        <f>IF(Source!BI42=2,J123, 0)</f>
        <v>0</v>
      </c>
    </row>
    <row r="133" spans="1:56" ht="147.75" x14ac:dyDescent="0.2">
      <c r="A133" s="66" t="str">
        <f>Source!E45</f>
        <v>11</v>
      </c>
      <c r="B133" s="67" t="s">
        <v>488</v>
      </c>
      <c r="C133" s="67" t="s">
        <v>489</v>
      </c>
      <c r="D133" s="47" t="str">
        <f>Source!H45</f>
        <v>1000 м2</v>
      </c>
      <c r="E133" s="43">
        <f>Source!K45</f>
        <v>2</v>
      </c>
      <c r="F133" s="43"/>
      <c r="G133" s="43">
        <f>Source!I45</f>
        <v>2</v>
      </c>
      <c r="H133" s="48"/>
      <c r="I133" s="49"/>
      <c r="J133" s="42"/>
      <c r="K133" s="49"/>
      <c r="L133" s="42"/>
      <c r="AC133">
        <f>Source!X45</f>
        <v>1678.32</v>
      </c>
      <c r="AD133">
        <f>Source!HK45</f>
        <v>60184.56</v>
      </c>
      <c r="AE133">
        <f>Source!Y45</f>
        <v>1265.4000000000001</v>
      </c>
      <c r="AF133">
        <f>Source!HL45</f>
        <v>45377.24</v>
      </c>
      <c r="AS133">
        <f>IF(Source!BI45&lt;=1,AD133, 0)</f>
        <v>60184.56</v>
      </c>
      <c r="AT133">
        <f>IF(Source!BI45&lt;=1,AF133, 0)</f>
        <v>45377.24</v>
      </c>
      <c r="BC133">
        <f>IF(Source!BI45=2,AD133, 0)</f>
        <v>0</v>
      </c>
      <c r="BD133">
        <f>IF(Source!BI45=2,AF133, 0)</f>
        <v>0</v>
      </c>
    </row>
    <row r="134" spans="1:56" ht="89.25" x14ac:dyDescent="0.2">
      <c r="B134" s="36" t="str">
        <f>Source!EO45</f>
        <v>Поправка: п.8.7.1</v>
      </c>
      <c r="C134" s="36" t="str">
        <f>Source!CN45</f>
        <v>Поправка: п.8.7.1  Наименование: При выполнении работ в существующих зданиях и сооружениях, аналогичных процессам при новом строительстве (кроме работ по нормам сборника № 46 «Работы при реконструкции зданий и сооружений»)</v>
      </c>
    </row>
    <row r="135" spans="1:56" x14ac:dyDescent="0.2">
      <c r="C135" s="37" t="str">
        <f>"Объем: "&amp;Source!K45&amp;"=2000/"&amp;"1000"</f>
        <v>Объем: 2=2000/1000</v>
      </c>
    </row>
    <row r="136" spans="1:56" ht="14.25" x14ac:dyDescent="0.2">
      <c r="A136" s="66"/>
      <c r="B136" s="68">
        <v>1</v>
      </c>
      <c r="C136" s="67" t="s">
        <v>457</v>
      </c>
      <c r="D136" s="47"/>
      <c r="E136" s="43"/>
      <c r="F136" s="43"/>
      <c r="G136" s="43"/>
      <c r="H136" s="48">
        <f>Source!AO45</f>
        <v>329</v>
      </c>
      <c r="I136" s="49">
        <f>ROUND(1.15,7)</f>
        <v>1.1499999999999999</v>
      </c>
      <c r="J136" s="42">
        <f>ROUND(Source!AF45*Source!I45, 2)</f>
        <v>756</v>
      </c>
      <c r="K136" s="49">
        <f>IF(Source!BA45&lt;&gt; 0, Source!BA45, 1)</f>
        <v>35.86</v>
      </c>
      <c r="L136" s="42">
        <f>Source!HJ45</f>
        <v>27110.16</v>
      </c>
    </row>
    <row r="137" spans="1:56" ht="14.25" x14ac:dyDescent="0.2">
      <c r="A137" s="66"/>
      <c r="B137" s="68">
        <v>3</v>
      </c>
      <c r="C137" s="67" t="s">
        <v>458</v>
      </c>
      <c r="D137" s="47"/>
      <c r="E137" s="43"/>
      <c r="F137" s="43"/>
      <c r="G137" s="43"/>
      <c r="H137" s="48">
        <f>Source!AM45</f>
        <v>2388.29</v>
      </c>
      <c r="I137" s="49">
        <f>ROUND(1.25,7)</f>
        <v>1.25</v>
      </c>
      <c r="J137" s="42">
        <f>ROUND(Source!AD45*Source!I45, 2)</f>
        <v>5970</v>
      </c>
      <c r="K137" s="49"/>
      <c r="L137" s="42"/>
    </row>
    <row r="138" spans="1:56" ht="14.25" x14ac:dyDescent="0.2">
      <c r="A138" s="66"/>
      <c r="B138" s="68">
        <v>2</v>
      </c>
      <c r="C138" s="67" t="s">
        <v>459</v>
      </c>
      <c r="D138" s="47"/>
      <c r="E138" s="43"/>
      <c r="F138" s="43"/>
      <c r="G138" s="43"/>
      <c r="H138" s="48">
        <f>Source!AN45</f>
        <v>230.49</v>
      </c>
      <c r="I138" s="49">
        <f>ROUND(1.25,7)</f>
        <v>1.25</v>
      </c>
      <c r="J138" s="50">
        <f>ROUND(Source!AE45*Source!I45, 2)</f>
        <v>576</v>
      </c>
      <c r="K138" s="49">
        <f>IF(Source!BS45&lt;&gt; 0, Source!BS45, 1)</f>
        <v>35.86</v>
      </c>
      <c r="L138" s="50">
        <f>Source!HI45</f>
        <v>20655.36</v>
      </c>
    </row>
    <row r="139" spans="1:56" ht="14.25" x14ac:dyDescent="0.2">
      <c r="A139" s="66"/>
      <c r="B139" s="68">
        <v>4</v>
      </c>
      <c r="C139" s="67" t="s">
        <v>460</v>
      </c>
      <c r="D139" s="47"/>
      <c r="E139" s="43"/>
      <c r="F139" s="43"/>
      <c r="G139" s="43"/>
      <c r="H139" s="48">
        <f>Source!AL45</f>
        <v>282.69</v>
      </c>
      <c r="I139" s="49"/>
      <c r="J139" s="42">
        <f>ROUND(Source!AC45*Source!I45, 2)</f>
        <v>566</v>
      </c>
      <c r="K139" s="49"/>
      <c r="L139" s="42"/>
    </row>
    <row r="140" spans="1:56" ht="14.25" x14ac:dyDescent="0.2">
      <c r="A140" s="66"/>
      <c r="B140" s="67" t="str">
        <f>EtalonRes!I54</f>
        <v>01.2.01.02</v>
      </c>
      <c r="C140" s="67" t="str">
        <f>EtalonRes!K54</f>
        <v>Битум</v>
      </c>
      <c r="D140" s="47" t="str">
        <f>EtalonRes!O54</f>
        <v>т</v>
      </c>
      <c r="E140" s="43">
        <f>EtalonRes!X54</f>
        <v>1.0800000000000001E-2</v>
      </c>
      <c r="F140" s="43"/>
      <c r="G140" s="43">
        <f>ROUND(EtalonRes!AG54*Source!I45, 7)</f>
        <v>2.1600000000000001E-2</v>
      </c>
      <c r="H140" s="48"/>
      <c r="I140" s="49"/>
      <c r="J140" s="42"/>
      <c r="K140" s="49"/>
      <c r="L140" s="42"/>
    </row>
    <row r="141" spans="1:56" ht="14.25" x14ac:dyDescent="0.2">
      <c r="A141" s="66"/>
      <c r="B141" s="67" t="str">
        <f>EtalonRes!I56</f>
        <v>04.2.01.04</v>
      </c>
      <c r="C141" s="67" t="str">
        <f>EtalonRes!K56</f>
        <v>Смесь асфальтобетонная</v>
      </c>
      <c r="D141" s="47" t="str">
        <f>EtalonRes!O56</f>
        <v>т</v>
      </c>
      <c r="E141" s="43">
        <f>EtalonRes!X56</f>
        <v>96.6</v>
      </c>
      <c r="F141" s="43"/>
      <c r="G141" s="43">
        <f>ROUND(EtalonRes!AG56*Source!I45, 7)</f>
        <v>193.2</v>
      </c>
      <c r="H141" s="48"/>
      <c r="I141" s="49"/>
      <c r="J141" s="42"/>
      <c r="K141" s="49"/>
      <c r="L141" s="42"/>
    </row>
    <row r="142" spans="1:56" ht="14.25" x14ac:dyDescent="0.2">
      <c r="A142" s="66"/>
      <c r="B142" s="67"/>
      <c r="C142" s="69" t="s">
        <v>461</v>
      </c>
      <c r="D142" s="51" t="s">
        <v>462</v>
      </c>
      <c r="E142" s="52">
        <f>Source!AQ45</f>
        <v>38.299999999999997</v>
      </c>
      <c r="F142" s="52">
        <f>ROUND(1.15,7)</f>
        <v>1.1499999999999999</v>
      </c>
      <c r="G142" s="52">
        <f>ROUND(Source!U45, 7)</f>
        <v>88.09</v>
      </c>
      <c r="H142" s="53"/>
      <c r="I142" s="54"/>
      <c r="J142" s="55"/>
      <c r="K142" s="54"/>
      <c r="L142" s="55"/>
    </row>
    <row r="143" spans="1:56" ht="14.25" x14ac:dyDescent="0.2">
      <c r="A143" s="66"/>
      <c r="B143" s="67"/>
      <c r="C143" s="67" t="s">
        <v>463</v>
      </c>
      <c r="D143" s="47"/>
      <c r="E143" s="43"/>
      <c r="F143" s="43"/>
      <c r="G143" s="43"/>
      <c r="H143" s="48">
        <f>H136+H137+H139</f>
        <v>2999.98</v>
      </c>
      <c r="I143" s="49"/>
      <c r="J143" s="42">
        <f>J136+J137+J139</f>
        <v>7292</v>
      </c>
      <c r="K143" s="49"/>
      <c r="L143" s="42"/>
    </row>
    <row r="144" spans="1:56" ht="14.25" x14ac:dyDescent="0.2">
      <c r="A144" s="66"/>
      <c r="B144" s="67"/>
      <c r="C144" s="67" t="s">
        <v>464</v>
      </c>
      <c r="D144" s="47"/>
      <c r="E144" s="43"/>
      <c r="F144" s="43"/>
      <c r="G144" s="43"/>
      <c r="H144" s="48"/>
      <c r="I144" s="49"/>
      <c r="J144" s="42">
        <f>SUM(Q133:Q147)+SUM(V133:V147)</f>
        <v>1332</v>
      </c>
      <c r="K144" s="49"/>
      <c r="L144" s="42">
        <f>SUM(U133:U147)+SUM(W133:W147)</f>
        <v>47765.520000000004</v>
      </c>
    </row>
    <row r="145" spans="1:56" ht="14.25" x14ac:dyDescent="0.2">
      <c r="A145" s="66"/>
      <c r="B145" s="67" t="s">
        <v>474</v>
      </c>
      <c r="C145" s="67" t="s">
        <v>475</v>
      </c>
      <c r="D145" s="47" t="s">
        <v>467</v>
      </c>
      <c r="E145" s="43">
        <f>Source!BZ45</f>
        <v>126</v>
      </c>
      <c r="F145" s="43"/>
      <c r="G145" s="43">
        <f>Source!AT45</f>
        <v>126</v>
      </c>
      <c r="H145" s="48"/>
      <c r="I145" s="49"/>
      <c r="J145" s="42">
        <f>SUM(AC133:AC147)</f>
        <v>1678.32</v>
      </c>
      <c r="K145" s="49"/>
      <c r="L145" s="42">
        <f>SUM(AD133:AD147)</f>
        <v>60184.56</v>
      </c>
    </row>
    <row r="146" spans="1:56" ht="14.25" x14ac:dyDescent="0.2">
      <c r="A146" s="70"/>
      <c r="B146" s="69" t="s">
        <v>476</v>
      </c>
      <c r="C146" s="69" t="s">
        <v>477</v>
      </c>
      <c r="D146" s="51" t="s">
        <v>467</v>
      </c>
      <c r="E146" s="52">
        <f>Source!CA45</f>
        <v>95</v>
      </c>
      <c r="F146" s="52"/>
      <c r="G146" s="52">
        <f>Source!AU45</f>
        <v>95</v>
      </c>
      <c r="H146" s="53"/>
      <c r="I146" s="54"/>
      <c r="J146" s="55">
        <f>SUM(AE133:AE147)</f>
        <v>1265.4000000000001</v>
      </c>
      <c r="K146" s="54"/>
      <c r="L146" s="55">
        <f>SUM(AF133:AF147)</f>
        <v>45377.24</v>
      </c>
    </row>
    <row r="147" spans="1:56" ht="15" x14ac:dyDescent="0.25">
      <c r="C147" s="106" t="s">
        <v>470</v>
      </c>
      <c r="D147" s="106"/>
      <c r="E147" s="106"/>
      <c r="F147" s="106"/>
      <c r="G147" s="106"/>
      <c r="H147" s="106"/>
      <c r="I147" s="106">
        <f>J136+J137+J139+J145+J146</f>
        <v>10235.719999999999</v>
      </c>
      <c r="J147" s="106"/>
      <c r="O147" s="39">
        <f>I147</f>
        <v>10235.719999999999</v>
      </c>
      <c r="P147">
        <f>K147</f>
        <v>0</v>
      </c>
      <c r="Q147" s="39">
        <f>J136</f>
        <v>756</v>
      </c>
      <c r="R147" s="39">
        <f>J136</f>
        <v>756</v>
      </c>
      <c r="U147" s="39">
        <f>L136</f>
        <v>27110.16</v>
      </c>
      <c r="V147" s="39">
        <f>J138</f>
        <v>576</v>
      </c>
      <c r="W147" s="39">
        <f>L138</f>
        <v>20655.36</v>
      </c>
      <c r="X147" s="39">
        <f>J137</f>
        <v>5970</v>
      </c>
      <c r="Z147" s="39">
        <f>L137</f>
        <v>0</v>
      </c>
      <c r="AB147" s="39">
        <f>J139</f>
        <v>566</v>
      </c>
      <c r="AN147">
        <f>IF(Source!BI45&lt;=1,J136+J137+J139+J145+J146, 0)</f>
        <v>10235.719999999999</v>
      </c>
      <c r="AO147">
        <f>IF(Source!BI45&lt;=1,J139, 0)</f>
        <v>566</v>
      </c>
      <c r="AP147">
        <f>IF(Source!BI45&lt;=1,J137, 0)</f>
        <v>5970</v>
      </c>
      <c r="AQ147">
        <f>IF(Source!BI45&lt;=1,J136, 0)</f>
        <v>756</v>
      </c>
      <c r="AX147">
        <f>IF(Source!BI45=2,J136+J137+J139+J145+J146, 0)</f>
        <v>0</v>
      </c>
      <c r="AY147">
        <f>IF(Source!BI45=2,J139, 0)</f>
        <v>0</v>
      </c>
      <c r="AZ147">
        <f>IF(Source!BI45=2,J137, 0)</f>
        <v>0</v>
      </c>
      <c r="BA147">
        <f>IF(Source!BI45=2,J136, 0)</f>
        <v>0</v>
      </c>
    </row>
    <row r="148" spans="1:56" ht="132" x14ac:dyDescent="0.2">
      <c r="A148" s="66" t="str">
        <f>Source!E48</f>
        <v>12</v>
      </c>
      <c r="B148" s="67" t="s">
        <v>490</v>
      </c>
      <c r="C148" s="67" t="s">
        <v>491</v>
      </c>
      <c r="D148" s="47" t="str">
        <f>Source!H48</f>
        <v>1000 м2</v>
      </c>
      <c r="E148" s="43">
        <f>Source!K48</f>
        <v>0.24</v>
      </c>
      <c r="F148" s="43"/>
      <c r="G148" s="43">
        <f>Source!I48</f>
        <v>0.24</v>
      </c>
      <c r="H148" s="48"/>
      <c r="I148" s="49"/>
      <c r="J148" s="42"/>
      <c r="K148" s="49"/>
      <c r="L148" s="42"/>
      <c r="AC148">
        <f>Source!X48</f>
        <v>0.6</v>
      </c>
      <c r="AD148">
        <f>Source!HK48</f>
        <v>21.68</v>
      </c>
      <c r="AE148">
        <f>Source!Y48</f>
        <v>0.46</v>
      </c>
      <c r="AF148">
        <f>Source!HL48</f>
        <v>16.350000000000001</v>
      </c>
      <c r="AS148">
        <f>IF(Source!BI48&lt;=1,AD148, 0)</f>
        <v>21.68</v>
      </c>
      <c r="AT148">
        <f>IF(Source!BI48&lt;=1,AF148, 0)</f>
        <v>16.350000000000001</v>
      </c>
      <c r="BC148">
        <f>IF(Source!BI48=2,AD148, 0)</f>
        <v>0</v>
      </c>
      <c r="BD148">
        <f>IF(Source!BI48=2,AF148, 0)</f>
        <v>0</v>
      </c>
    </row>
    <row r="149" spans="1:56" ht="89.25" x14ac:dyDescent="0.2">
      <c r="B149" s="36" t="str">
        <f>Source!EO48</f>
        <v>Поправка: п.8.7.1</v>
      </c>
      <c r="C149" s="36" t="str">
        <f>Source!CN48</f>
        <v>Поправка: п.8.7.1  Наименование: При выполнении работ в существующих зданиях и сооружениях, аналогичных процессам при новом строительстве (кроме работ по нормам сборника № 46 «Работы при реконструкции зданий и сооружений»)</v>
      </c>
    </row>
    <row r="150" spans="1:56" x14ac:dyDescent="0.2">
      <c r="C150" s="37" t="str">
        <f>"Объем: "&amp;Source!K48&amp;"=240/"&amp;"1000"</f>
        <v>Объем: 0.24=240/1000</v>
      </c>
    </row>
    <row r="151" spans="1:56" ht="14.25" x14ac:dyDescent="0.2">
      <c r="A151" s="66"/>
      <c r="B151" s="68">
        <v>1</v>
      </c>
      <c r="C151" s="67" t="s">
        <v>457</v>
      </c>
      <c r="D151" s="47"/>
      <c r="E151" s="43"/>
      <c r="F151" s="43"/>
      <c r="G151" s="43"/>
      <c r="H151" s="48">
        <f>Source!AO48</f>
        <v>0.77</v>
      </c>
      <c r="I151" s="49">
        <f>ROUND(1.15*2,7)</f>
        <v>2.2999999999999998</v>
      </c>
      <c r="J151" s="42">
        <f>ROUND(Source!AF48*Source!I48, 2)</f>
        <v>0.48</v>
      </c>
      <c r="K151" s="49">
        <f>IF(Source!BA48&lt;&gt; 0, Source!BA48, 1)</f>
        <v>35.86</v>
      </c>
      <c r="L151" s="42">
        <f>Source!HJ48</f>
        <v>17.21</v>
      </c>
    </row>
    <row r="152" spans="1:56" ht="14.25" x14ac:dyDescent="0.2">
      <c r="A152" s="66"/>
      <c r="B152" s="68">
        <v>3</v>
      </c>
      <c r="C152" s="67" t="s">
        <v>458</v>
      </c>
      <c r="D152" s="47"/>
      <c r="E152" s="43"/>
      <c r="F152" s="43"/>
      <c r="G152" s="43"/>
      <c r="H152" s="48">
        <f>Source!AM48</f>
        <v>3.1</v>
      </c>
      <c r="I152" s="49">
        <f>ROUND(1.25*2,7)</f>
        <v>2.5</v>
      </c>
      <c r="J152" s="42">
        <f>ROUND(Source!AD48*Source!I48, 2)</f>
        <v>1.92</v>
      </c>
      <c r="K152" s="49"/>
      <c r="L152" s="42"/>
    </row>
    <row r="153" spans="1:56" ht="14.25" x14ac:dyDescent="0.2">
      <c r="A153" s="66"/>
      <c r="B153" s="67" t="str">
        <f>EtalonRes!I61</f>
        <v>01.2.01.02</v>
      </c>
      <c r="C153" s="67" t="str">
        <f>EtalonRes!K61</f>
        <v>Битум</v>
      </c>
      <c r="D153" s="47" t="str">
        <f>EtalonRes!O61</f>
        <v>т</v>
      </c>
      <c r="E153" s="43">
        <f>EtalonRes!X61</f>
        <v>1.4E-3</v>
      </c>
      <c r="F153" s="43">
        <f>ROUND(2,7)</f>
        <v>2</v>
      </c>
      <c r="G153" s="43">
        <f>ROUND(EtalonRes!AG61*Source!I48, 7)</f>
        <v>6.7199999999999996E-4</v>
      </c>
      <c r="H153" s="48"/>
      <c r="I153" s="49"/>
      <c r="J153" s="42"/>
      <c r="K153" s="49"/>
      <c r="L153" s="42"/>
    </row>
    <row r="154" spans="1:56" ht="14.25" x14ac:dyDescent="0.2">
      <c r="A154" s="66"/>
      <c r="B154" s="67" t="str">
        <f>EtalonRes!I62</f>
        <v>04.2.01.04</v>
      </c>
      <c r="C154" s="67" t="str">
        <f>EtalonRes!K62</f>
        <v>Смесь асфальтобетонная</v>
      </c>
      <c r="D154" s="47" t="str">
        <f>EtalonRes!O62</f>
        <v>т</v>
      </c>
      <c r="E154" s="43">
        <f>EtalonRes!X62</f>
        <v>12.1</v>
      </c>
      <c r="F154" s="43">
        <f>ROUND(2,7)</f>
        <v>2</v>
      </c>
      <c r="G154" s="43">
        <f>ROUND(EtalonRes!AG62*Source!I48, 7)</f>
        <v>5.8079999999999998</v>
      </c>
      <c r="H154" s="48"/>
      <c r="I154" s="49"/>
      <c r="J154" s="42"/>
      <c r="K154" s="49"/>
      <c r="L154" s="42"/>
    </row>
    <row r="155" spans="1:56" ht="14.25" x14ac:dyDescent="0.2">
      <c r="A155" s="66"/>
      <c r="B155" s="67"/>
      <c r="C155" s="69" t="s">
        <v>461</v>
      </c>
      <c r="D155" s="51" t="s">
        <v>462</v>
      </c>
      <c r="E155" s="52">
        <f>Source!AQ48</f>
        <v>0.09</v>
      </c>
      <c r="F155" s="52">
        <f>ROUND(1.15*2,7)</f>
        <v>2.2999999999999998</v>
      </c>
      <c r="G155" s="52">
        <f>ROUND(Source!U48, 7)</f>
        <v>4.9680000000000002E-2</v>
      </c>
      <c r="H155" s="53"/>
      <c r="I155" s="54"/>
      <c r="J155" s="55"/>
      <c r="K155" s="54"/>
      <c r="L155" s="55"/>
    </row>
    <row r="156" spans="1:56" ht="14.25" x14ac:dyDescent="0.2">
      <c r="A156" s="66"/>
      <c r="B156" s="67"/>
      <c r="C156" s="67" t="s">
        <v>463</v>
      </c>
      <c r="D156" s="47"/>
      <c r="E156" s="43"/>
      <c r="F156" s="43"/>
      <c r="G156" s="43"/>
      <c r="H156" s="48">
        <f>H151+H152</f>
        <v>3.87</v>
      </c>
      <c r="I156" s="49"/>
      <c r="J156" s="42">
        <f>J151+J152</f>
        <v>2.4</v>
      </c>
      <c r="K156" s="49"/>
      <c r="L156" s="42"/>
    </row>
    <row r="157" spans="1:56" ht="14.25" x14ac:dyDescent="0.2">
      <c r="A157" s="66"/>
      <c r="B157" s="67"/>
      <c r="C157" s="67" t="s">
        <v>464</v>
      </c>
      <c r="D157" s="47"/>
      <c r="E157" s="43"/>
      <c r="F157" s="43"/>
      <c r="G157" s="43"/>
      <c r="H157" s="48"/>
      <c r="I157" s="49"/>
      <c r="J157" s="42">
        <f>SUM(Q148:Q160)+SUM(V148:V160)</f>
        <v>0.48</v>
      </c>
      <c r="K157" s="49"/>
      <c r="L157" s="42">
        <f>SUM(U148:U160)+SUM(W148:W160)</f>
        <v>17.21</v>
      </c>
    </row>
    <row r="158" spans="1:56" ht="14.25" x14ac:dyDescent="0.2">
      <c r="A158" s="66"/>
      <c r="B158" s="67" t="s">
        <v>474</v>
      </c>
      <c r="C158" s="67" t="s">
        <v>475</v>
      </c>
      <c r="D158" s="47" t="s">
        <v>467</v>
      </c>
      <c r="E158" s="43">
        <f>Source!BZ48</f>
        <v>126</v>
      </c>
      <c r="F158" s="43"/>
      <c r="G158" s="43">
        <f>Source!AT48</f>
        <v>126</v>
      </c>
      <c r="H158" s="48"/>
      <c r="I158" s="49"/>
      <c r="J158" s="42">
        <f>SUM(AC148:AC160)</f>
        <v>0.6</v>
      </c>
      <c r="K158" s="49"/>
      <c r="L158" s="42">
        <f>SUM(AD148:AD160)</f>
        <v>21.68</v>
      </c>
    </row>
    <row r="159" spans="1:56" ht="14.25" x14ac:dyDescent="0.2">
      <c r="A159" s="70"/>
      <c r="B159" s="69" t="s">
        <v>476</v>
      </c>
      <c r="C159" s="69" t="s">
        <v>477</v>
      </c>
      <c r="D159" s="51" t="s">
        <v>467</v>
      </c>
      <c r="E159" s="52">
        <f>Source!CA48</f>
        <v>95</v>
      </c>
      <c r="F159" s="52"/>
      <c r="G159" s="52">
        <f>Source!AU48</f>
        <v>95</v>
      </c>
      <c r="H159" s="53"/>
      <c r="I159" s="54"/>
      <c r="J159" s="55">
        <f>SUM(AE148:AE160)</f>
        <v>0.46</v>
      </c>
      <c r="K159" s="54"/>
      <c r="L159" s="55">
        <f>SUM(AF148:AF160)</f>
        <v>16.350000000000001</v>
      </c>
    </row>
    <row r="160" spans="1:56" ht="15" x14ac:dyDescent="0.25">
      <c r="C160" s="106" t="s">
        <v>470</v>
      </c>
      <c r="D160" s="106"/>
      <c r="E160" s="106"/>
      <c r="F160" s="106"/>
      <c r="G160" s="106"/>
      <c r="H160" s="106"/>
      <c r="I160" s="106">
        <f>J151+J152+J158+J159</f>
        <v>3.46</v>
      </c>
      <c r="J160" s="106"/>
      <c r="O160" s="39">
        <f>I160</f>
        <v>3.46</v>
      </c>
      <c r="P160">
        <f>K160</f>
        <v>0</v>
      </c>
      <c r="Q160" s="39">
        <f>J151</f>
        <v>0.48</v>
      </c>
      <c r="R160" s="39">
        <f>J151</f>
        <v>0.48</v>
      </c>
      <c r="U160" s="39">
        <f>L151</f>
        <v>17.21</v>
      </c>
      <c r="V160">
        <f>0</f>
        <v>0</v>
      </c>
      <c r="W160">
        <f>0</f>
        <v>0</v>
      </c>
      <c r="X160" s="39">
        <f>J152</f>
        <v>1.92</v>
      </c>
      <c r="Z160" s="39">
        <f>L152</f>
        <v>0</v>
      </c>
      <c r="AB160">
        <f>0</f>
        <v>0</v>
      </c>
      <c r="AN160">
        <f>IF(Source!BI48&lt;=1,J151+J152+J158+J159, 0)</f>
        <v>3.46</v>
      </c>
      <c r="AO160">
        <f>IF(Source!BI48&lt;=1,0, 0)</f>
        <v>0</v>
      </c>
      <c r="AP160">
        <f>IF(Source!BI48&lt;=1,J152, 0)</f>
        <v>1.92</v>
      </c>
      <c r="AQ160">
        <f>IF(Source!BI48&lt;=1,J151, 0)</f>
        <v>0.48</v>
      </c>
      <c r="AX160">
        <f>IF(Source!BI48=2,J151+J152+J158+J159, 0)</f>
        <v>0</v>
      </c>
      <c r="AY160">
        <f>IF(Source!BI48=2,0, 0)</f>
        <v>0</v>
      </c>
      <c r="AZ160">
        <f>IF(Source!BI48=2,J152, 0)</f>
        <v>0</v>
      </c>
      <c r="BA160">
        <f>IF(Source!BI48=2,J151, 0)</f>
        <v>0</v>
      </c>
    </row>
    <row r="161" spans="1:56" ht="28.5" x14ac:dyDescent="0.2">
      <c r="A161" s="66" t="str">
        <f>Source!E51</f>
        <v>13</v>
      </c>
      <c r="B161" s="67" t="s">
        <v>492</v>
      </c>
      <c r="C161" s="67" t="str">
        <f>Source!G51</f>
        <v>Эмульсия битумно-катионная, марка ЭБК-3</v>
      </c>
      <c r="D161" s="47" t="str">
        <f>Source!H51</f>
        <v>т</v>
      </c>
      <c r="E161" s="43">
        <f>Source!K51</f>
        <v>0.05</v>
      </c>
      <c r="F161" s="43"/>
      <c r="G161" s="43">
        <f>Source!I51</f>
        <v>0.05</v>
      </c>
      <c r="H161" s="48">
        <f>Source!AL51</f>
        <v>2696.76</v>
      </c>
      <c r="I161" s="49"/>
      <c r="J161" s="42">
        <f>ROUND(Source!AC51*Source!I51, 2)</f>
        <v>134.85</v>
      </c>
      <c r="K161" s="49"/>
      <c r="L161" s="42"/>
      <c r="AC161">
        <f>Source!X51</f>
        <v>0</v>
      </c>
      <c r="AD161">
        <f>Source!HK51</f>
        <v>0</v>
      </c>
      <c r="AE161">
        <f>Source!Y51</f>
        <v>0</v>
      </c>
      <c r="AF161">
        <f>Source!HL51</f>
        <v>0</v>
      </c>
      <c r="AS161">
        <f>IF(Source!BI51&lt;=1,AD161, 0)</f>
        <v>0</v>
      </c>
      <c r="AT161">
        <f>IF(Source!BI51&lt;=1,AF161, 0)</f>
        <v>0</v>
      </c>
      <c r="BC161">
        <f>IF(Source!BI51=2,AD161, 0)</f>
        <v>0</v>
      </c>
      <c r="BD161">
        <f>IF(Source!BI51=2,AF161, 0)</f>
        <v>0</v>
      </c>
    </row>
    <row r="162" spans="1:56" x14ac:dyDescent="0.2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</row>
    <row r="163" spans="1:56" ht="15" x14ac:dyDescent="0.25">
      <c r="C163" s="106" t="s">
        <v>470</v>
      </c>
      <c r="D163" s="106"/>
      <c r="E163" s="106"/>
      <c r="F163" s="106"/>
      <c r="G163" s="106"/>
      <c r="H163" s="106"/>
      <c r="I163" s="106">
        <f>J161</f>
        <v>134.85</v>
      </c>
      <c r="J163" s="106"/>
      <c r="O163" s="39">
        <f>I163</f>
        <v>134.85</v>
      </c>
      <c r="P163">
        <f>K163</f>
        <v>0</v>
      </c>
      <c r="Q163">
        <f>0</f>
        <v>0</v>
      </c>
      <c r="R163">
        <f>0</f>
        <v>0</v>
      </c>
      <c r="U163">
        <f>0</f>
        <v>0</v>
      </c>
      <c r="V163">
        <f>0</f>
        <v>0</v>
      </c>
      <c r="W163">
        <f>0</f>
        <v>0</v>
      </c>
      <c r="X163">
        <f>0</f>
        <v>0</v>
      </c>
      <c r="Z163">
        <f>0</f>
        <v>0</v>
      </c>
      <c r="AB163" s="39">
        <f>I163</f>
        <v>134.85</v>
      </c>
      <c r="AN163">
        <f>IF(Source!BI51&lt;=1,J161, 0)</f>
        <v>134.85</v>
      </c>
      <c r="AO163">
        <f>IF(Source!BI51&lt;=1,I163, 0)</f>
        <v>134.85</v>
      </c>
      <c r="AP163">
        <f>IF(Source!BI51&lt;=1,0, 0)</f>
        <v>0</v>
      </c>
      <c r="AQ163">
        <f>IF(Source!BI51&lt;=1,0, 0)</f>
        <v>0</v>
      </c>
      <c r="AX163">
        <f>IF(Source!BI51=2,J161, 0)</f>
        <v>0</v>
      </c>
      <c r="AY163">
        <f>IF(Source!BI51=2,I163, 0)</f>
        <v>0</v>
      </c>
      <c r="AZ163">
        <f>IF(Source!BI51=2,0, 0)</f>
        <v>0</v>
      </c>
      <c r="BA163">
        <f>IF(Source!BI51=2,0, 0)</f>
        <v>0</v>
      </c>
    </row>
    <row r="164" spans="1:56" ht="71.25" x14ac:dyDescent="0.2">
      <c r="A164" s="66" t="str">
        <f>Source!E52</f>
        <v>14</v>
      </c>
      <c r="B164" s="67" t="s">
        <v>493</v>
      </c>
      <c r="C164" s="67" t="str">
        <f>Source!G52</f>
        <v>Смеси асфальтобетонные дорожные, аэродромные и асфальтобетон (горячие для плотного асфальтобетона мелко и крупнозернистые, песчаные), марка II, тип Б</v>
      </c>
      <c r="D164" s="47" t="str">
        <f>Source!H52</f>
        <v>т</v>
      </c>
      <c r="E164" s="43">
        <f>Source!K52</f>
        <v>444.8</v>
      </c>
      <c r="F164" s="43"/>
      <c r="G164" s="43">
        <f>Source!I52</f>
        <v>444.8</v>
      </c>
      <c r="H164" s="48">
        <f>Source!AL52</f>
        <v>581.92999999999995</v>
      </c>
      <c r="I164" s="49"/>
      <c r="J164" s="42">
        <f>ROUND(Source!AC52*Source!I52, 2)</f>
        <v>258873.60000000001</v>
      </c>
      <c r="K164" s="49"/>
      <c r="L164" s="42"/>
      <c r="AC164">
        <f>Source!X52</f>
        <v>0</v>
      </c>
      <c r="AD164">
        <f>Source!HK52</f>
        <v>0</v>
      </c>
      <c r="AE164">
        <f>Source!Y52</f>
        <v>0</v>
      </c>
      <c r="AF164">
        <f>Source!HL52</f>
        <v>0</v>
      </c>
      <c r="AS164">
        <f>IF(Source!BI52&lt;=1,AD164, 0)</f>
        <v>0</v>
      </c>
      <c r="AT164">
        <f>IF(Source!BI52&lt;=1,AF164, 0)</f>
        <v>0</v>
      </c>
      <c r="BC164">
        <f>IF(Source!BI52=2,AD164, 0)</f>
        <v>0</v>
      </c>
      <c r="BD164">
        <f>IF(Source!BI52=2,AF164, 0)</f>
        <v>0</v>
      </c>
    </row>
    <row r="165" spans="1:56" x14ac:dyDescent="0.2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</row>
    <row r="166" spans="1:56" ht="15" x14ac:dyDescent="0.25">
      <c r="C166" s="106" t="s">
        <v>470</v>
      </c>
      <c r="D166" s="106"/>
      <c r="E166" s="106"/>
      <c r="F166" s="106"/>
      <c r="G166" s="106"/>
      <c r="H166" s="106"/>
      <c r="I166" s="106">
        <f>J164</f>
        <v>258873.60000000001</v>
      </c>
      <c r="J166" s="106"/>
      <c r="O166" s="39">
        <f>I166</f>
        <v>258873.60000000001</v>
      </c>
      <c r="P166">
        <f>K166</f>
        <v>0</v>
      </c>
      <c r="Q166">
        <f>0</f>
        <v>0</v>
      </c>
      <c r="R166">
        <f>0</f>
        <v>0</v>
      </c>
      <c r="U166">
        <f>0</f>
        <v>0</v>
      </c>
      <c r="V166">
        <f>0</f>
        <v>0</v>
      </c>
      <c r="W166">
        <f>0</f>
        <v>0</v>
      </c>
      <c r="X166">
        <f>0</f>
        <v>0</v>
      </c>
      <c r="Z166">
        <f>0</f>
        <v>0</v>
      </c>
      <c r="AB166" s="39">
        <f>I166</f>
        <v>258873.60000000001</v>
      </c>
      <c r="AN166">
        <f>IF(Source!BI52&lt;=1,J164, 0)</f>
        <v>258873.60000000001</v>
      </c>
      <c r="AO166">
        <f>IF(Source!BI52&lt;=1,I166, 0)</f>
        <v>258873.60000000001</v>
      </c>
      <c r="AP166">
        <f>IF(Source!BI52&lt;=1,0, 0)</f>
        <v>0</v>
      </c>
      <c r="AQ166">
        <f>IF(Source!BI52&lt;=1,0, 0)</f>
        <v>0</v>
      </c>
      <c r="AX166">
        <f>IF(Source!BI52=2,J164, 0)</f>
        <v>0</v>
      </c>
      <c r="AY166">
        <f>IF(Source!BI52=2,I166, 0)</f>
        <v>0</v>
      </c>
      <c r="AZ166">
        <f>IF(Source!BI52=2,0, 0)</f>
        <v>0</v>
      </c>
      <c r="BA166">
        <f>IF(Source!BI52=2,0, 0)</f>
        <v>0</v>
      </c>
    </row>
    <row r="167" spans="1:56" ht="105" x14ac:dyDescent="0.2">
      <c r="A167" s="66" t="str">
        <f>Source!E53</f>
        <v>15</v>
      </c>
      <c r="B167" s="67" t="s">
        <v>494</v>
      </c>
      <c r="C167" s="67" t="s">
        <v>495</v>
      </c>
      <c r="D167" s="47" t="str">
        <f>Source!H53</f>
        <v>100 м</v>
      </c>
      <c r="E167" s="43">
        <f>Source!K53</f>
        <v>0.18</v>
      </c>
      <c r="F167" s="43"/>
      <c r="G167" s="43">
        <f>Source!I53</f>
        <v>0.18</v>
      </c>
      <c r="H167" s="48"/>
      <c r="I167" s="49"/>
      <c r="J167" s="42"/>
      <c r="K167" s="49"/>
      <c r="L167" s="42"/>
      <c r="AC167">
        <f>Source!X53</f>
        <v>152.41</v>
      </c>
      <c r="AD167">
        <f>Source!HK53</f>
        <v>5465.4</v>
      </c>
      <c r="AE167">
        <f>Source!Y53</f>
        <v>114.91</v>
      </c>
      <c r="AF167">
        <f>Source!HL53</f>
        <v>4120.74</v>
      </c>
      <c r="AS167">
        <f>IF(Source!BI53&lt;=1,AD167, 0)</f>
        <v>5465.4</v>
      </c>
      <c r="AT167">
        <f>IF(Source!BI53&lt;=1,AF167, 0)</f>
        <v>4120.74</v>
      </c>
      <c r="BC167">
        <f>IF(Source!BI53=2,AD167, 0)</f>
        <v>0</v>
      </c>
      <c r="BD167">
        <f>IF(Source!BI53=2,AF167, 0)</f>
        <v>0</v>
      </c>
    </row>
    <row r="168" spans="1:56" ht="89.25" x14ac:dyDescent="0.2">
      <c r="B168" s="36" t="str">
        <f>Source!EO53</f>
        <v>Поправка: п.8.7.1</v>
      </c>
      <c r="C168" s="36" t="str">
        <f>Source!CN53</f>
        <v>Поправка: п.8.7.1  Наименование: При выполнении работ в существующих зданиях и сооружениях, аналогичных процессам при новом строительстве (кроме работ по нормам сборника № 46 «Работы при реконструкции зданий и сооружений»)</v>
      </c>
    </row>
    <row r="169" spans="1:56" x14ac:dyDescent="0.2">
      <c r="C169" s="37" t="str">
        <f>"Объем: "&amp;Source!K53&amp;"=18/"&amp;"100"</f>
        <v>Объем: 0.18=18/100</v>
      </c>
    </row>
    <row r="170" spans="1:56" ht="14.25" x14ac:dyDescent="0.2">
      <c r="A170" s="66"/>
      <c r="B170" s="68">
        <v>1</v>
      </c>
      <c r="C170" s="67" t="s">
        <v>457</v>
      </c>
      <c r="D170" s="47"/>
      <c r="E170" s="43"/>
      <c r="F170" s="43"/>
      <c r="G170" s="43"/>
      <c r="H170" s="48">
        <f>Source!AO53</f>
        <v>574.4</v>
      </c>
      <c r="I170" s="49">
        <f>ROUND(1.15,7)</f>
        <v>1.1499999999999999</v>
      </c>
      <c r="J170" s="42">
        <f>ROUND(Source!AF53*Source!I53, 2)</f>
        <v>118.98</v>
      </c>
      <c r="K170" s="49">
        <f>IF(Source!BA53&lt;&gt; 0, Source!BA53, 1)</f>
        <v>35.86</v>
      </c>
      <c r="L170" s="42">
        <f>Source!HJ53</f>
        <v>4266.62</v>
      </c>
    </row>
    <row r="171" spans="1:56" ht="14.25" x14ac:dyDescent="0.2">
      <c r="A171" s="66"/>
      <c r="B171" s="68">
        <v>3</v>
      </c>
      <c r="C171" s="67" t="s">
        <v>458</v>
      </c>
      <c r="D171" s="47"/>
      <c r="E171" s="43"/>
      <c r="F171" s="43"/>
      <c r="G171" s="43"/>
      <c r="H171" s="48">
        <f>Source!AM53</f>
        <v>80.150000000000006</v>
      </c>
      <c r="I171" s="49">
        <f>ROUND(1.25,7)</f>
        <v>1.25</v>
      </c>
      <c r="J171" s="42">
        <f>ROUND(Source!AD53*Source!I53, 2)</f>
        <v>18.18</v>
      </c>
      <c r="K171" s="49"/>
      <c r="L171" s="42"/>
    </row>
    <row r="172" spans="1:56" ht="14.25" x14ac:dyDescent="0.2">
      <c r="A172" s="66"/>
      <c r="B172" s="68">
        <v>2</v>
      </c>
      <c r="C172" s="67" t="s">
        <v>459</v>
      </c>
      <c r="D172" s="47"/>
      <c r="E172" s="43"/>
      <c r="F172" s="43"/>
      <c r="G172" s="43"/>
      <c r="H172" s="48">
        <f>Source!AN53</f>
        <v>8.4600000000000009</v>
      </c>
      <c r="I172" s="49">
        <f>ROUND(1.25,7)</f>
        <v>1.25</v>
      </c>
      <c r="J172" s="50">
        <f>ROUND(Source!AE53*Source!I53, 2)</f>
        <v>1.98</v>
      </c>
      <c r="K172" s="49">
        <f>IF(Source!BS53&lt;&gt; 0, Source!BS53, 1)</f>
        <v>35.86</v>
      </c>
      <c r="L172" s="50">
        <f>Source!HI53</f>
        <v>71</v>
      </c>
    </row>
    <row r="173" spans="1:56" ht="14.25" x14ac:dyDescent="0.2">
      <c r="A173" s="66"/>
      <c r="B173" s="68">
        <v>4</v>
      </c>
      <c r="C173" s="67" t="s">
        <v>460</v>
      </c>
      <c r="D173" s="47"/>
      <c r="E173" s="43"/>
      <c r="F173" s="43"/>
      <c r="G173" s="43"/>
      <c r="H173" s="48">
        <f>Source!AL53</f>
        <v>4258.09</v>
      </c>
      <c r="I173" s="49"/>
      <c r="J173" s="42">
        <f>ROUND(Source!AC53*Source!I53, 2)</f>
        <v>766.44</v>
      </c>
      <c r="K173" s="49"/>
      <c r="L173" s="42"/>
    </row>
    <row r="174" spans="1:56" ht="14.25" x14ac:dyDescent="0.2">
      <c r="A174" s="66"/>
      <c r="B174" s="67" t="str">
        <f>EtalonRes!I71</f>
        <v>13.2.03.02</v>
      </c>
      <c r="C174" s="67" t="str">
        <f>EtalonRes!K71</f>
        <v>Камни бортовые</v>
      </c>
      <c r="D174" s="47" t="str">
        <f>EtalonRes!O71</f>
        <v>м</v>
      </c>
      <c r="E174" s="43">
        <f>EtalonRes!X71</f>
        <v>100</v>
      </c>
      <c r="F174" s="43"/>
      <c r="G174" s="43">
        <f>ROUND(EtalonRes!AG71*Source!I53, 7)</f>
        <v>18</v>
      </c>
      <c r="H174" s="48"/>
      <c r="I174" s="49"/>
      <c r="J174" s="42"/>
      <c r="K174" s="49"/>
      <c r="L174" s="42"/>
    </row>
    <row r="175" spans="1:56" ht="14.25" x14ac:dyDescent="0.2">
      <c r="A175" s="66"/>
      <c r="B175" s="67"/>
      <c r="C175" s="69" t="s">
        <v>461</v>
      </c>
      <c r="D175" s="51" t="s">
        <v>462</v>
      </c>
      <c r="E175" s="52">
        <f>Source!AQ53</f>
        <v>76.08</v>
      </c>
      <c r="F175" s="52">
        <f>ROUND(1.15,7)</f>
        <v>1.1499999999999999</v>
      </c>
      <c r="G175" s="52">
        <f>ROUND(Source!U53, 7)</f>
        <v>15.748559999999999</v>
      </c>
      <c r="H175" s="53"/>
      <c r="I175" s="54"/>
      <c r="J175" s="55"/>
      <c r="K175" s="54"/>
      <c r="L175" s="55"/>
    </row>
    <row r="176" spans="1:56" ht="14.25" x14ac:dyDescent="0.2">
      <c r="A176" s="66"/>
      <c r="B176" s="67"/>
      <c r="C176" s="67" t="s">
        <v>463</v>
      </c>
      <c r="D176" s="47"/>
      <c r="E176" s="43"/>
      <c r="F176" s="43"/>
      <c r="G176" s="43"/>
      <c r="H176" s="48">
        <f>H170+H171+H173</f>
        <v>4912.6400000000003</v>
      </c>
      <c r="I176" s="49"/>
      <c r="J176" s="42">
        <f>J170+J171+J173</f>
        <v>903.6</v>
      </c>
      <c r="K176" s="49"/>
      <c r="L176" s="42"/>
    </row>
    <row r="177" spans="1:56" ht="14.25" x14ac:dyDescent="0.2">
      <c r="A177" s="66"/>
      <c r="B177" s="67"/>
      <c r="C177" s="67" t="s">
        <v>464</v>
      </c>
      <c r="D177" s="47"/>
      <c r="E177" s="43"/>
      <c r="F177" s="43"/>
      <c r="G177" s="43"/>
      <c r="H177" s="48"/>
      <c r="I177" s="49"/>
      <c r="J177" s="42">
        <f>SUM(Q167:Q180)+SUM(V167:V180)</f>
        <v>120.96000000000001</v>
      </c>
      <c r="K177" s="49"/>
      <c r="L177" s="42">
        <f>SUM(U167:U180)+SUM(W167:W180)</f>
        <v>4337.62</v>
      </c>
    </row>
    <row r="178" spans="1:56" ht="14.25" x14ac:dyDescent="0.2">
      <c r="A178" s="66"/>
      <c r="B178" s="67" t="s">
        <v>474</v>
      </c>
      <c r="C178" s="67" t="s">
        <v>475</v>
      </c>
      <c r="D178" s="47" t="s">
        <v>467</v>
      </c>
      <c r="E178" s="43">
        <f>Source!BZ53</f>
        <v>126</v>
      </c>
      <c r="F178" s="43"/>
      <c r="G178" s="43">
        <f>Source!AT53</f>
        <v>126</v>
      </c>
      <c r="H178" s="48"/>
      <c r="I178" s="49"/>
      <c r="J178" s="42">
        <f>SUM(AC167:AC180)</f>
        <v>152.41</v>
      </c>
      <c r="K178" s="49"/>
      <c r="L178" s="42">
        <f>SUM(AD167:AD180)</f>
        <v>5465.4</v>
      </c>
    </row>
    <row r="179" spans="1:56" ht="14.25" x14ac:dyDescent="0.2">
      <c r="A179" s="70"/>
      <c r="B179" s="69" t="s">
        <v>476</v>
      </c>
      <c r="C179" s="69" t="s">
        <v>477</v>
      </c>
      <c r="D179" s="51" t="s">
        <v>467</v>
      </c>
      <c r="E179" s="52">
        <f>Source!CA53</f>
        <v>95</v>
      </c>
      <c r="F179" s="52"/>
      <c r="G179" s="52">
        <f>Source!AU53</f>
        <v>95</v>
      </c>
      <c r="H179" s="53"/>
      <c r="I179" s="54"/>
      <c r="J179" s="55">
        <f>SUM(AE167:AE180)</f>
        <v>114.91</v>
      </c>
      <c r="K179" s="54"/>
      <c r="L179" s="55">
        <f>SUM(AF167:AF180)</f>
        <v>4120.74</v>
      </c>
    </row>
    <row r="180" spans="1:56" ht="15" x14ac:dyDescent="0.25">
      <c r="C180" s="106" t="s">
        <v>470</v>
      </c>
      <c r="D180" s="106"/>
      <c r="E180" s="106"/>
      <c r="F180" s="106"/>
      <c r="G180" s="106"/>
      <c r="H180" s="106"/>
      <c r="I180" s="106">
        <f>J170+J171+J173+J178+J179</f>
        <v>1170.92</v>
      </c>
      <c r="J180" s="106"/>
      <c r="O180" s="39">
        <f>I180</f>
        <v>1170.92</v>
      </c>
      <c r="P180">
        <f>K180</f>
        <v>0</v>
      </c>
      <c r="Q180" s="39">
        <f>J170</f>
        <v>118.98</v>
      </c>
      <c r="R180" s="39">
        <f>J170</f>
        <v>118.98</v>
      </c>
      <c r="U180" s="39">
        <f>L170</f>
        <v>4266.62</v>
      </c>
      <c r="V180" s="39">
        <f>J172</f>
        <v>1.98</v>
      </c>
      <c r="W180" s="39">
        <f>L172</f>
        <v>71</v>
      </c>
      <c r="X180" s="39">
        <f>J171</f>
        <v>18.18</v>
      </c>
      <c r="Z180" s="39">
        <f>L171</f>
        <v>0</v>
      </c>
      <c r="AB180" s="39">
        <f>J173</f>
        <v>766.44</v>
      </c>
      <c r="AN180">
        <f>IF(Source!BI53&lt;=1,J170+J171+J173+J178+J179, 0)</f>
        <v>1170.92</v>
      </c>
      <c r="AO180">
        <f>IF(Source!BI53&lt;=1,J173, 0)</f>
        <v>766.44</v>
      </c>
      <c r="AP180">
        <f>IF(Source!BI53&lt;=1,J171, 0)</f>
        <v>18.18</v>
      </c>
      <c r="AQ180">
        <f>IF(Source!BI53&lt;=1,J170, 0)</f>
        <v>118.98</v>
      </c>
      <c r="AX180">
        <f>IF(Source!BI53=2,J170+J171+J173+J178+J179, 0)</f>
        <v>0</v>
      </c>
      <c r="AY180">
        <f>IF(Source!BI53=2,J173, 0)</f>
        <v>0</v>
      </c>
      <c r="AZ180">
        <f>IF(Source!BI53=2,J171, 0)</f>
        <v>0</v>
      </c>
      <c r="BA180">
        <f>IF(Source!BI53=2,J170, 0)</f>
        <v>0</v>
      </c>
    </row>
    <row r="181" spans="1:56" ht="42.75" x14ac:dyDescent="0.2">
      <c r="A181" s="66" t="str">
        <f>Source!E54</f>
        <v>16</v>
      </c>
      <c r="B181" s="67" t="s">
        <v>496</v>
      </c>
      <c r="C181" s="67" t="str">
        <f>Source!G54</f>
        <v>Камни бортовые БР 100.30.15 /бетон В30 (М400), объем 0,043 м3/ (ГОСТ 6665-91)</v>
      </c>
      <c r="D181" s="47" t="str">
        <f>Source!H54</f>
        <v>шт.</v>
      </c>
      <c r="E181" s="43">
        <f>Source!K54</f>
        <v>8</v>
      </c>
      <c r="F181" s="43"/>
      <c r="G181" s="43">
        <f>Source!I54</f>
        <v>8</v>
      </c>
      <c r="H181" s="48">
        <f>Source!AL54</f>
        <v>63.12</v>
      </c>
      <c r="I181" s="49"/>
      <c r="J181" s="42">
        <f>ROUND(Source!AC54*Source!I54, 2)</f>
        <v>504</v>
      </c>
      <c r="K181" s="49"/>
      <c r="L181" s="42"/>
      <c r="AC181">
        <f>Source!X54</f>
        <v>0</v>
      </c>
      <c r="AD181">
        <f>Source!HK54</f>
        <v>0</v>
      </c>
      <c r="AE181">
        <f>Source!Y54</f>
        <v>0</v>
      </c>
      <c r="AF181">
        <f>Source!HL54</f>
        <v>0</v>
      </c>
      <c r="AS181">
        <f>IF(Source!BI54&lt;=1,AD181, 0)</f>
        <v>0</v>
      </c>
      <c r="AT181">
        <f>IF(Source!BI54&lt;=1,AF181, 0)</f>
        <v>0</v>
      </c>
      <c r="BC181">
        <f>IF(Source!BI54=2,AD181, 0)</f>
        <v>0</v>
      </c>
      <c r="BD181">
        <f>IF(Source!BI54=2,AF181, 0)</f>
        <v>0</v>
      </c>
    </row>
    <row r="182" spans="1:56" x14ac:dyDescent="0.2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</row>
    <row r="183" spans="1:56" ht="15" x14ac:dyDescent="0.25">
      <c r="C183" s="106" t="s">
        <v>470</v>
      </c>
      <c r="D183" s="106"/>
      <c r="E183" s="106"/>
      <c r="F183" s="106"/>
      <c r="G183" s="106"/>
      <c r="H183" s="106"/>
      <c r="I183" s="106">
        <f>J181</f>
        <v>504</v>
      </c>
      <c r="J183" s="106"/>
      <c r="O183" s="39">
        <f>I183</f>
        <v>504</v>
      </c>
      <c r="P183">
        <f>K183</f>
        <v>0</v>
      </c>
      <c r="Q183">
        <f>0</f>
        <v>0</v>
      </c>
      <c r="R183">
        <f>0</f>
        <v>0</v>
      </c>
      <c r="U183">
        <f>0</f>
        <v>0</v>
      </c>
      <c r="V183">
        <f>0</f>
        <v>0</v>
      </c>
      <c r="W183">
        <f>0</f>
        <v>0</v>
      </c>
      <c r="X183">
        <f>0</f>
        <v>0</v>
      </c>
      <c r="Z183">
        <f>0</f>
        <v>0</v>
      </c>
      <c r="AB183" s="39">
        <f>I183</f>
        <v>504</v>
      </c>
      <c r="AN183">
        <f>IF(Source!BI54&lt;=1,J181, 0)</f>
        <v>504</v>
      </c>
      <c r="AO183">
        <f>IF(Source!BI54&lt;=1,I183, 0)</f>
        <v>504</v>
      </c>
      <c r="AP183">
        <f>IF(Source!BI54&lt;=1,0, 0)</f>
        <v>0</v>
      </c>
      <c r="AQ183">
        <f>IF(Source!BI54&lt;=1,0, 0)</f>
        <v>0</v>
      </c>
      <c r="AX183">
        <f>IF(Source!BI54=2,J181, 0)</f>
        <v>0</v>
      </c>
      <c r="AY183">
        <f>IF(Source!BI54=2,I183, 0)</f>
        <v>0</v>
      </c>
      <c r="AZ183">
        <f>IF(Source!BI54=2,0, 0)</f>
        <v>0</v>
      </c>
      <c r="BA183">
        <f>IF(Source!BI54=2,0, 0)</f>
        <v>0</v>
      </c>
    </row>
    <row r="184" spans="1:56" ht="90.75" x14ac:dyDescent="0.2">
      <c r="A184" s="66" t="str">
        <f>Source!E55</f>
        <v>17</v>
      </c>
      <c r="B184" s="67" t="s">
        <v>497</v>
      </c>
      <c r="C184" s="67" t="s">
        <v>498</v>
      </c>
      <c r="D184" s="47" t="str">
        <f>Source!H55</f>
        <v>т</v>
      </c>
      <c r="E184" s="43">
        <f>Source!K55</f>
        <v>1.6</v>
      </c>
      <c r="F184" s="43"/>
      <c r="G184" s="43">
        <f>Source!I55</f>
        <v>1.6</v>
      </c>
      <c r="H184" s="48"/>
      <c r="I184" s="49"/>
      <c r="J184" s="42"/>
      <c r="K184" s="49"/>
      <c r="L184" s="42"/>
      <c r="AC184">
        <f>Source!X55</f>
        <v>16.13</v>
      </c>
      <c r="AD184">
        <f>Source!HK55</f>
        <v>578.35</v>
      </c>
      <c r="AE184">
        <f>Source!Y55</f>
        <v>12.16</v>
      </c>
      <c r="AF184">
        <f>Source!HL55</f>
        <v>436.06</v>
      </c>
      <c r="AS184">
        <f>IF(Source!BI55&lt;=1,AD184, 0)</f>
        <v>578.35</v>
      </c>
      <c r="AT184">
        <f>IF(Source!BI55&lt;=1,AF184, 0)</f>
        <v>436.06</v>
      </c>
      <c r="BC184">
        <f>IF(Source!BI55=2,AD184, 0)</f>
        <v>0</v>
      </c>
      <c r="BD184">
        <f>IF(Source!BI55=2,AF184, 0)</f>
        <v>0</v>
      </c>
    </row>
    <row r="185" spans="1:56" ht="165.75" x14ac:dyDescent="0.2">
      <c r="B185" s="36" t="str">
        <f>Source!EO55</f>
        <v>Поправка: п.8.7.1  Поправка: Сб. 27, п. 1.27. 8</v>
      </c>
      <c r="C185" s="36" t="str">
        <f>Source!CN55</f>
        <v>Поправка: п.8.7.1  Наименование: При выполнении работ в существующих зданиях и сооружениях, аналогичных процессам при новом строительстве (кроме работ по нормам сборника № 46 «Работы при реконструкции зданий и сооружений»)  Поправка: Сб. 27, п. 1.27. 8  Наименование: Доставка к месту работ битума, битумной эмульсии расценками не учтена, в связи, с чем при доставке 1 т битума и битумной эмульсии следует добавлять стоимость эксплуатации автогудронатора вместимостью 3500 л</v>
      </c>
    </row>
    <row r="186" spans="1:56" ht="14.25" x14ac:dyDescent="0.2">
      <c r="A186" s="66"/>
      <c r="B186" s="68">
        <v>3</v>
      </c>
      <c r="C186" s="67" t="s">
        <v>458</v>
      </c>
      <c r="D186" s="47"/>
      <c r="E186" s="43"/>
      <c r="F186" s="43"/>
      <c r="G186" s="43"/>
      <c r="H186" s="48">
        <f>Source!AM55</f>
        <v>41.68</v>
      </c>
      <c r="I186" s="49">
        <f>ROUND(1.25+2.76,7)</f>
        <v>4.01</v>
      </c>
      <c r="J186" s="42">
        <f>ROUND(Source!AD55*Source!I55, 2)</f>
        <v>240</v>
      </c>
      <c r="K186" s="49"/>
      <c r="L186" s="42"/>
    </row>
    <row r="187" spans="1:56" ht="14.25" x14ac:dyDescent="0.2">
      <c r="A187" s="66"/>
      <c r="B187" s="68">
        <v>2</v>
      </c>
      <c r="C187" s="67" t="s">
        <v>459</v>
      </c>
      <c r="D187" s="47"/>
      <c r="E187" s="43"/>
      <c r="F187" s="43"/>
      <c r="G187" s="43"/>
      <c r="H187" s="48">
        <f>Source!AN55</f>
        <v>6.25</v>
      </c>
      <c r="I187" s="49">
        <f>ROUND(1.25,7)</f>
        <v>1.25</v>
      </c>
      <c r="J187" s="50">
        <f>ROUND(Source!AE55*Source!I55, 2)</f>
        <v>12.8</v>
      </c>
      <c r="K187" s="49">
        <f>IF(Source!BS55&lt;&gt; 0, Source!BS55, 1)</f>
        <v>35.86</v>
      </c>
      <c r="L187" s="50">
        <f>Source!HI55</f>
        <v>459.01</v>
      </c>
    </row>
    <row r="188" spans="1:56" ht="14.25" x14ac:dyDescent="0.2">
      <c r="A188" s="66"/>
      <c r="B188" s="67" t="str">
        <f>EtalonRes!I74</f>
        <v>01.2.01.02</v>
      </c>
      <c r="C188" s="69" t="str">
        <f>EtalonRes!K74</f>
        <v>Битум</v>
      </c>
      <c r="D188" s="51" t="str">
        <f>EtalonRes!O74</f>
        <v>т</v>
      </c>
      <c r="E188" s="52">
        <f>EtalonRes!X74</f>
        <v>1.03</v>
      </c>
      <c r="F188" s="52"/>
      <c r="G188" s="52">
        <f>ROUND(EtalonRes!AG74*Source!I55, 7)</f>
        <v>1.6479999999999999</v>
      </c>
      <c r="H188" s="53"/>
      <c r="I188" s="54"/>
      <c r="J188" s="55"/>
      <c r="K188" s="54"/>
      <c r="L188" s="55"/>
    </row>
    <row r="189" spans="1:56" ht="14.25" x14ac:dyDescent="0.2">
      <c r="A189" s="66"/>
      <c r="B189" s="67"/>
      <c r="C189" s="67" t="s">
        <v>463</v>
      </c>
      <c r="D189" s="47"/>
      <c r="E189" s="43"/>
      <c r="F189" s="43"/>
      <c r="G189" s="43"/>
      <c r="H189" s="48">
        <f>H186</f>
        <v>41.68</v>
      </c>
      <c r="I189" s="49"/>
      <c r="J189" s="42">
        <f>J186</f>
        <v>240</v>
      </c>
      <c r="K189" s="49"/>
      <c r="L189" s="42"/>
    </row>
    <row r="190" spans="1:56" ht="14.25" x14ac:dyDescent="0.2">
      <c r="A190" s="66"/>
      <c r="B190" s="67"/>
      <c r="C190" s="67" t="s">
        <v>464</v>
      </c>
      <c r="D190" s="47"/>
      <c r="E190" s="43"/>
      <c r="F190" s="43"/>
      <c r="G190" s="43"/>
      <c r="H190" s="48"/>
      <c r="I190" s="49"/>
      <c r="J190" s="42">
        <f>SUM(Q184:Q193)+SUM(V184:V193)</f>
        <v>12.8</v>
      </c>
      <c r="K190" s="49"/>
      <c r="L190" s="42">
        <f>SUM(U184:U193)+SUM(W184:W193)</f>
        <v>459.01</v>
      </c>
    </row>
    <row r="191" spans="1:56" ht="14.25" x14ac:dyDescent="0.2">
      <c r="A191" s="66"/>
      <c r="B191" s="67" t="s">
        <v>474</v>
      </c>
      <c r="C191" s="67" t="s">
        <v>475</v>
      </c>
      <c r="D191" s="47" t="s">
        <v>467</v>
      </c>
      <c r="E191" s="43">
        <f>Source!BZ55</f>
        <v>126</v>
      </c>
      <c r="F191" s="43"/>
      <c r="G191" s="43">
        <f>Source!AT55</f>
        <v>126</v>
      </c>
      <c r="H191" s="48"/>
      <c r="I191" s="49"/>
      <c r="J191" s="42">
        <f>SUM(AC184:AC193)</f>
        <v>16.13</v>
      </c>
      <c r="K191" s="49"/>
      <c r="L191" s="42">
        <f>SUM(AD184:AD193)</f>
        <v>578.35</v>
      </c>
    </row>
    <row r="192" spans="1:56" ht="14.25" x14ac:dyDescent="0.2">
      <c r="A192" s="70"/>
      <c r="B192" s="69" t="s">
        <v>476</v>
      </c>
      <c r="C192" s="69" t="s">
        <v>477</v>
      </c>
      <c r="D192" s="51" t="s">
        <v>467</v>
      </c>
      <c r="E192" s="52">
        <f>Source!CA55</f>
        <v>95</v>
      </c>
      <c r="F192" s="52"/>
      <c r="G192" s="52">
        <f>Source!AU55</f>
        <v>95</v>
      </c>
      <c r="H192" s="53"/>
      <c r="I192" s="54"/>
      <c r="J192" s="55">
        <f>SUM(AE184:AE193)</f>
        <v>12.16</v>
      </c>
      <c r="K192" s="54"/>
      <c r="L192" s="55">
        <f>SUM(AF184:AF193)</f>
        <v>436.06</v>
      </c>
    </row>
    <row r="193" spans="1:56" ht="15" x14ac:dyDescent="0.25">
      <c r="C193" s="106" t="s">
        <v>470</v>
      </c>
      <c r="D193" s="106"/>
      <c r="E193" s="106"/>
      <c r="F193" s="106"/>
      <c r="G193" s="106"/>
      <c r="H193" s="106"/>
      <c r="I193" s="106">
        <f>J186+J191+J192</f>
        <v>268.29000000000002</v>
      </c>
      <c r="J193" s="106"/>
      <c r="O193" s="39">
        <f>I193</f>
        <v>268.29000000000002</v>
      </c>
      <c r="P193">
        <f>K193</f>
        <v>0</v>
      </c>
      <c r="Q193">
        <f>0</f>
        <v>0</v>
      </c>
      <c r="R193">
        <f>0</f>
        <v>0</v>
      </c>
      <c r="U193">
        <f>0</f>
        <v>0</v>
      </c>
      <c r="V193" s="39">
        <f>J187</f>
        <v>12.8</v>
      </c>
      <c r="W193" s="39">
        <f>L187</f>
        <v>459.01</v>
      </c>
      <c r="X193" s="39">
        <f>J186</f>
        <v>240</v>
      </c>
      <c r="Z193" s="39">
        <f>L186</f>
        <v>0</v>
      </c>
      <c r="AB193">
        <f>0</f>
        <v>0</v>
      </c>
      <c r="AN193">
        <f>IF(Source!BI55&lt;=1,J186+J191+J192, 0)</f>
        <v>268.29000000000002</v>
      </c>
      <c r="AO193">
        <f>IF(Source!BI55&lt;=1,0, 0)</f>
        <v>0</v>
      </c>
      <c r="AP193">
        <f>IF(Source!BI55&lt;=1,J186, 0)</f>
        <v>240</v>
      </c>
      <c r="AQ193">
        <f>IF(Source!BI55&lt;=1,0, 0)</f>
        <v>0</v>
      </c>
      <c r="AX193">
        <f>IF(Source!BI55=2,J186+J191+J192, 0)</f>
        <v>0</v>
      </c>
      <c r="AY193">
        <f>IF(Source!BI55=2,0, 0)</f>
        <v>0</v>
      </c>
      <c r="AZ193">
        <f>IF(Source!BI55=2,J186, 0)</f>
        <v>0</v>
      </c>
      <c r="BA193">
        <f>IF(Source!BI55=2,0, 0)</f>
        <v>0</v>
      </c>
    </row>
    <row r="194" spans="1:56" ht="28.5" x14ac:dyDescent="0.2">
      <c r="A194" s="66" t="str">
        <f>Source!E57</f>
        <v>18</v>
      </c>
      <c r="B194" s="67" t="s">
        <v>492</v>
      </c>
      <c r="C194" s="67" t="str">
        <f>Source!G57</f>
        <v>Эмульсия битумно-катионная, марка ЭБК-3</v>
      </c>
      <c r="D194" s="47" t="str">
        <f>Source!H57</f>
        <v>т</v>
      </c>
      <c r="E194" s="43">
        <f>Source!K57</f>
        <v>1.6479999999999999</v>
      </c>
      <c r="F194" s="43"/>
      <c r="G194" s="43">
        <f>Source!I57</f>
        <v>1.6479999999999999</v>
      </c>
      <c r="H194" s="48">
        <f>Source!AL57</f>
        <v>2696.76</v>
      </c>
      <c r="I194" s="49"/>
      <c r="J194" s="42">
        <f>ROUND(Source!AC57*Source!I57, 2)</f>
        <v>4444.66</v>
      </c>
      <c r="K194" s="49"/>
      <c r="L194" s="42"/>
      <c r="AC194">
        <f>Source!X57</f>
        <v>0</v>
      </c>
      <c r="AD194">
        <f>Source!HK57</f>
        <v>0</v>
      </c>
      <c r="AE194">
        <f>Source!Y57</f>
        <v>0</v>
      </c>
      <c r="AF194">
        <f>Source!HL57</f>
        <v>0</v>
      </c>
      <c r="AS194">
        <f>IF(Source!BI57&lt;=1,AD194, 0)</f>
        <v>0</v>
      </c>
      <c r="AT194">
        <f>IF(Source!BI57&lt;=1,AF194, 0)</f>
        <v>0</v>
      </c>
      <c r="BC194">
        <f>IF(Source!BI57=2,AD194, 0)</f>
        <v>0</v>
      </c>
      <c r="BD194">
        <f>IF(Source!BI57=2,AF194, 0)</f>
        <v>0</v>
      </c>
    </row>
    <row r="195" spans="1:56" x14ac:dyDescent="0.2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</row>
    <row r="196" spans="1:56" ht="15" x14ac:dyDescent="0.25">
      <c r="C196" s="106" t="s">
        <v>470</v>
      </c>
      <c r="D196" s="106"/>
      <c r="E196" s="106"/>
      <c r="F196" s="106"/>
      <c r="G196" s="106"/>
      <c r="H196" s="106"/>
      <c r="I196" s="106">
        <f>J194</f>
        <v>4444.66</v>
      </c>
      <c r="J196" s="106"/>
      <c r="O196" s="39">
        <f>I196</f>
        <v>4444.66</v>
      </c>
      <c r="P196">
        <f>K196</f>
        <v>0</v>
      </c>
      <c r="Q196">
        <f>0</f>
        <v>0</v>
      </c>
      <c r="R196">
        <f>0</f>
        <v>0</v>
      </c>
      <c r="U196">
        <f>0</f>
        <v>0</v>
      </c>
      <c r="V196">
        <f>0</f>
        <v>0</v>
      </c>
      <c r="W196">
        <f>0</f>
        <v>0</v>
      </c>
      <c r="X196">
        <f>0</f>
        <v>0</v>
      </c>
      <c r="Z196">
        <f>0</f>
        <v>0</v>
      </c>
      <c r="AB196" s="39">
        <f>I196</f>
        <v>4444.66</v>
      </c>
      <c r="AN196">
        <f>IF(Source!BI57&lt;=1,J194, 0)</f>
        <v>4444.66</v>
      </c>
      <c r="AO196">
        <f>IF(Source!BI57&lt;=1,I196, 0)</f>
        <v>4444.66</v>
      </c>
      <c r="AP196">
        <f>IF(Source!BI57&lt;=1,0, 0)</f>
        <v>0</v>
      </c>
      <c r="AQ196">
        <f>IF(Source!BI57&lt;=1,0, 0)</f>
        <v>0</v>
      </c>
      <c r="AX196">
        <f>IF(Source!BI57=2,J194, 0)</f>
        <v>0</v>
      </c>
      <c r="AY196">
        <f>IF(Source!BI57=2,I196, 0)</f>
        <v>0</v>
      </c>
      <c r="AZ196">
        <f>IF(Source!BI57=2,0, 0)</f>
        <v>0</v>
      </c>
      <c r="BA196">
        <f>IF(Source!BI57=2,0, 0)</f>
        <v>0</v>
      </c>
    </row>
    <row r="197" spans="1:56" ht="105" x14ac:dyDescent="0.2">
      <c r="A197" s="66" t="str">
        <f>Source!E58</f>
        <v>19</v>
      </c>
      <c r="B197" s="67" t="s">
        <v>499</v>
      </c>
      <c r="C197" s="67" t="s">
        <v>500</v>
      </c>
      <c r="D197" s="47" t="str">
        <f>Source!H58</f>
        <v>100 м</v>
      </c>
      <c r="E197" s="43">
        <f>Source!K58</f>
        <v>12</v>
      </c>
      <c r="F197" s="43"/>
      <c r="G197" s="43">
        <f>Source!I58</f>
        <v>12</v>
      </c>
      <c r="H197" s="48"/>
      <c r="I197" s="49"/>
      <c r="J197" s="42"/>
      <c r="K197" s="49"/>
      <c r="L197" s="42"/>
      <c r="AC197">
        <f>Source!X58</f>
        <v>3643.92</v>
      </c>
      <c r="AD197">
        <f>Source!HK58</f>
        <v>130670.97</v>
      </c>
      <c r="AE197">
        <f>Source!Y58</f>
        <v>2747.4</v>
      </c>
      <c r="AF197">
        <f>Source!HL58</f>
        <v>98521.76</v>
      </c>
      <c r="AS197">
        <f>IF(Source!BI58&lt;=1,AD197, 0)</f>
        <v>130670.97</v>
      </c>
      <c r="AT197">
        <f>IF(Source!BI58&lt;=1,AF197, 0)</f>
        <v>98521.76</v>
      </c>
      <c r="BC197">
        <f>IF(Source!BI58=2,AD197, 0)</f>
        <v>0</v>
      </c>
      <c r="BD197">
        <f>IF(Source!BI58=2,AF197, 0)</f>
        <v>0</v>
      </c>
    </row>
    <row r="198" spans="1:56" ht="89.25" x14ac:dyDescent="0.2">
      <c r="B198" s="36" t="str">
        <f>Source!EO58</f>
        <v>Поправка: п.8.7.1</v>
      </c>
      <c r="C198" s="36" t="str">
        <f>Source!CN58</f>
        <v>Поправка: п.8.7.1  Наименование: При выполнении работ в существующих зданиях и сооружениях, аналогичных процессам при новом строительстве (кроме работ по нормам сборника № 46 «Работы при реконструкции зданий и сооружений»)</v>
      </c>
    </row>
    <row r="199" spans="1:56" x14ac:dyDescent="0.2">
      <c r="C199" s="37" t="str">
        <f>"Объем: "&amp;Source!K58&amp;"=1200/"&amp;"100"</f>
        <v>Объем: 12=1200/100</v>
      </c>
    </row>
    <row r="200" spans="1:56" ht="14.25" x14ac:dyDescent="0.2">
      <c r="A200" s="66"/>
      <c r="B200" s="68">
        <v>1</v>
      </c>
      <c r="C200" s="67" t="s">
        <v>457</v>
      </c>
      <c r="D200" s="47"/>
      <c r="E200" s="43"/>
      <c r="F200" s="43"/>
      <c r="G200" s="43"/>
      <c r="H200" s="48">
        <f>Source!AO58</f>
        <v>159.58000000000001</v>
      </c>
      <c r="I200" s="49">
        <f>ROUND(1.15,7)</f>
        <v>1.1499999999999999</v>
      </c>
      <c r="J200" s="42">
        <f>ROUND(Source!AF58*Source!I58, 2)</f>
        <v>2208</v>
      </c>
      <c r="K200" s="49">
        <f>IF(Source!BA58&lt;&gt; 0, Source!BA58, 1)</f>
        <v>35.86</v>
      </c>
      <c r="L200" s="42">
        <f>Source!HJ58</f>
        <v>79178.880000000005</v>
      </c>
    </row>
    <row r="201" spans="1:56" ht="14.25" x14ac:dyDescent="0.2">
      <c r="A201" s="66"/>
      <c r="B201" s="68">
        <v>3</v>
      </c>
      <c r="C201" s="67" t="s">
        <v>458</v>
      </c>
      <c r="D201" s="47"/>
      <c r="E201" s="43"/>
      <c r="F201" s="43"/>
      <c r="G201" s="43"/>
      <c r="H201" s="48">
        <f>Source!AM58</f>
        <v>1321.73</v>
      </c>
      <c r="I201" s="49">
        <f>ROUND(1.25,7)</f>
        <v>1.25</v>
      </c>
      <c r="J201" s="42">
        <f>ROUND(Source!AD58*Source!I58, 2)</f>
        <v>19824</v>
      </c>
      <c r="K201" s="49"/>
      <c r="L201" s="42"/>
    </row>
    <row r="202" spans="1:56" ht="14.25" x14ac:dyDescent="0.2">
      <c r="A202" s="66"/>
      <c r="B202" s="68">
        <v>2</v>
      </c>
      <c r="C202" s="67" t="s">
        <v>459</v>
      </c>
      <c r="D202" s="47"/>
      <c r="E202" s="43"/>
      <c r="F202" s="43"/>
      <c r="G202" s="43"/>
      <c r="H202" s="48">
        <f>Source!AN58</f>
        <v>45.37</v>
      </c>
      <c r="I202" s="49">
        <f>ROUND(1.25,7)</f>
        <v>1.25</v>
      </c>
      <c r="J202" s="50">
        <f>ROUND(Source!AE58*Source!I58, 2)</f>
        <v>684</v>
      </c>
      <c r="K202" s="49">
        <f>IF(Source!BS58&lt;&gt; 0, Source!BS58, 1)</f>
        <v>35.86</v>
      </c>
      <c r="L202" s="50">
        <f>Source!HI58</f>
        <v>24528.240000000002</v>
      </c>
    </row>
    <row r="203" spans="1:56" ht="14.25" x14ac:dyDescent="0.2">
      <c r="A203" s="66"/>
      <c r="B203" s="68">
        <v>4</v>
      </c>
      <c r="C203" s="67" t="s">
        <v>460</v>
      </c>
      <c r="D203" s="47"/>
      <c r="E203" s="43"/>
      <c r="F203" s="43"/>
      <c r="G203" s="43"/>
      <c r="H203" s="48">
        <f>Source!AL58</f>
        <v>856.3</v>
      </c>
      <c r="I203" s="49"/>
      <c r="J203" s="42">
        <f>ROUND(Source!AC58*Source!I58, 2)</f>
        <v>10272</v>
      </c>
      <c r="K203" s="49"/>
      <c r="L203" s="42"/>
    </row>
    <row r="204" spans="1:56" ht="14.25" x14ac:dyDescent="0.2">
      <c r="A204" s="66"/>
      <c r="B204" s="67" t="str">
        <f>EtalonRes!I87</f>
        <v>01.7.07.26</v>
      </c>
      <c r="C204" s="67" t="str">
        <f>EtalonRes!K87</f>
        <v>Шнур полиуретановый</v>
      </c>
      <c r="D204" s="47" t="str">
        <f>EtalonRes!O87</f>
        <v>м</v>
      </c>
      <c r="E204" s="43">
        <f>EtalonRes!X87</f>
        <v>100</v>
      </c>
      <c r="F204" s="43"/>
      <c r="G204" s="43">
        <f>ROUND(EtalonRes!AG87*Source!I58, 7)</f>
        <v>1200</v>
      </c>
      <c r="H204" s="48"/>
      <c r="I204" s="49"/>
      <c r="J204" s="42"/>
      <c r="K204" s="49"/>
      <c r="L204" s="42"/>
    </row>
    <row r="205" spans="1:56" ht="28.5" x14ac:dyDescent="0.2">
      <c r="A205" s="66"/>
      <c r="B205" s="67" t="str">
        <f>EtalonRes!I88</f>
        <v>02.3.01.02</v>
      </c>
      <c r="C205" s="67" t="str">
        <f>EtalonRes!K88</f>
        <v>Песок для строительных работ природный</v>
      </c>
      <c r="D205" s="47" t="str">
        <f>EtalonRes!O88</f>
        <v>м3</v>
      </c>
      <c r="E205" s="43">
        <f>EtalonRes!X88</f>
        <v>2</v>
      </c>
      <c r="F205" s="43"/>
      <c r="G205" s="43">
        <f>ROUND(EtalonRes!AG88*Source!I58, 7)</f>
        <v>24</v>
      </c>
      <c r="H205" s="48"/>
      <c r="I205" s="49"/>
      <c r="J205" s="42"/>
      <c r="K205" s="49"/>
      <c r="L205" s="42"/>
    </row>
    <row r="206" spans="1:56" ht="14.25" x14ac:dyDescent="0.2">
      <c r="A206" s="66"/>
      <c r="B206" s="67"/>
      <c r="C206" s="69" t="s">
        <v>461</v>
      </c>
      <c r="D206" s="51" t="s">
        <v>462</v>
      </c>
      <c r="E206" s="52">
        <f>Source!AQ58</f>
        <v>21.89</v>
      </c>
      <c r="F206" s="52">
        <f>ROUND(1.15,7)</f>
        <v>1.1499999999999999</v>
      </c>
      <c r="G206" s="52">
        <f>ROUND(Source!U58, 7)</f>
        <v>302.08199999999999</v>
      </c>
      <c r="H206" s="53"/>
      <c r="I206" s="54"/>
      <c r="J206" s="55"/>
      <c r="K206" s="54"/>
      <c r="L206" s="55"/>
    </row>
    <row r="207" spans="1:56" ht="14.25" x14ac:dyDescent="0.2">
      <c r="A207" s="66"/>
      <c r="B207" s="67"/>
      <c r="C207" s="67" t="s">
        <v>463</v>
      </c>
      <c r="D207" s="47"/>
      <c r="E207" s="43"/>
      <c r="F207" s="43"/>
      <c r="G207" s="43"/>
      <c r="H207" s="48">
        <f>H200+H201+H203</f>
        <v>2337.6099999999997</v>
      </c>
      <c r="I207" s="49"/>
      <c r="J207" s="42">
        <f>J200+J201+J203</f>
        <v>32304</v>
      </c>
      <c r="K207" s="49"/>
      <c r="L207" s="42"/>
    </row>
    <row r="208" spans="1:56" ht="14.25" x14ac:dyDescent="0.2">
      <c r="A208" s="66"/>
      <c r="B208" s="67"/>
      <c r="C208" s="67" t="s">
        <v>464</v>
      </c>
      <c r="D208" s="47"/>
      <c r="E208" s="43"/>
      <c r="F208" s="43"/>
      <c r="G208" s="43"/>
      <c r="H208" s="48"/>
      <c r="I208" s="49"/>
      <c r="J208" s="42">
        <f>SUM(Q197:Q211)+SUM(V197:V211)</f>
        <v>2892</v>
      </c>
      <c r="K208" s="49"/>
      <c r="L208" s="42">
        <f>SUM(U197:U211)+SUM(W197:W211)</f>
        <v>103707.12000000001</v>
      </c>
    </row>
    <row r="209" spans="1:84" ht="14.25" x14ac:dyDescent="0.2">
      <c r="A209" s="66"/>
      <c r="B209" s="67" t="s">
        <v>474</v>
      </c>
      <c r="C209" s="67" t="s">
        <v>475</v>
      </c>
      <c r="D209" s="47" t="s">
        <v>467</v>
      </c>
      <c r="E209" s="43">
        <f>Source!BZ58</f>
        <v>126</v>
      </c>
      <c r="F209" s="43"/>
      <c r="G209" s="43">
        <f>Source!AT58</f>
        <v>126</v>
      </c>
      <c r="H209" s="48"/>
      <c r="I209" s="49"/>
      <c r="J209" s="42">
        <f>SUM(AC197:AC211)</f>
        <v>3643.92</v>
      </c>
      <c r="K209" s="49"/>
      <c r="L209" s="42">
        <f>SUM(AD197:AD211)</f>
        <v>130670.97</v>
      </c>
    </row>
    <row r="210" spans="1:84" ht="14.25" x14ac:dyDescent="0.2">
      <c r="A210" s="70"/>
      <c r="B210" s="69" t="s">
        <v>476</v>
      </c>
      <c r="C210" s="69" t="s">
        <v>477</v>
      </c>
      <c r="D210" s="51" t="s">
        <v>467</v>
      </c>
      <c r="E210" s="52">
        <f>Source!CA58</f>
        <v>95</v>
      </c>
      <c r="F210" s="52"/>
      <c r="G210" s="52">
        <f>Source!AU58</f>
        <v>95</v>
      </c>
      <c r="H210" s="53"/>
      <c r="I210" s="54"/>
      <c r="J210" s="55">
        <f>SUM(AE197:AE211)</f>
        <v>2747.4</v>
      </c>
      <c r="K210" s="54"/>
      <c r="L210" s="55">
        <f>SUM(AF197:AF211)</f>
        <v>98521.76</v>
      </c>
    </row>
    <row r="211" spans="1:84" ht="15" x14ac:dyDescent="0.25">
      <c r="C211" s="106" t="s">
        <v>470</v>
      </c>
      <c r="D211" s="106"/>
      <c r="E211" s="106"/>
      <c r="F211" s="106"/>
      <c r="G211" s="106"/>
      <c r="H211" s="106"/>
      <c r="I211" s="106">
        <f>J200+J201+J203+J209+J210</f>
        <v>38695.32</v>
      </c>
      <c r="J211" s="106"/>
      <c r="O211" s="39">
        <f>I211</f>
        <v>38695.32</v>
      </c>
      <c r="P211">
        <f>K211</f>
        <v>0</v>
      </c>
      <c r="Q211" s="39">
        <f>J200</f>
        <v>2208</v>
      </c>
      <c r="R211" s="39">
        <f>J200</f>
        <v>2208</v>
      </c>
      <c r="U211" s="39">
        <f>L200</f>
        <v>79178.880000000005</v>
      </c>
      <c r="V211" s="39">
        <f>J202</f>
        <v>684</v>
      </c>
      <c r="W211" s="39">
        <f>L202</f>
        <v>24528.240000000002</v>
      </c>
      <c r="X211" s="39">
        <f>J201</f>
        <v>19824</v>
      </c>
      <c r="Z211" s="39">
        <f>L201</f>
        <v>0</v>
      </c>
      <c r="AB211" s="39">
        <f>J203</f>
        <v>10272</v>
      </c>
      <c r="AN211">
        <f>IF(Source!BI58&lt;=1,J200+J201+J203+J209+J210, 0)</f>
        <v>38695.32</v>
      </c>
      <c r="AO211">
        <f>IF(Source!BI58&lt;=1,J203, 0)</f>
        <v>10272</v>
      </c>
      <c r="AP211">
        <f>IF(Source!BI58&lt;=1,J201, 0)</f>
        <v>19824</v>
      </c>
      <c r="AQ211">
        <f>IF(Source!BI58&lt;=1,J200, 0)</f>
        <v>2208</v>
      </c>
      <c r="AX211">
        <f>IF(Source!BI58=2,J200+J201+J203+J209+J210, 0)</f>
        <v>0</v>
      </c>
      <c r="AY211">
        <f>IF(Source!BI58=2,J203, 0)</f>
        <v>0</v>
      </c>
      <c r="AZ211">
        <f>IF(Source!BI58=2,J201, 0)</f>
        <v>0</v>
      </c>
      <c r="BA211">
        <f>IF(Source!BI58=2,J200, 0)</f>
        <v>0</v>
      </c>
    </row>
    <row r="213" spans="1:84" ht="15" x14ac:dyDescent="0.2">
      <c r="A213" s="58"/>
      <c r="B213" s="59"/>
      <c r="C213" s="108" t="s">
        <v>501</v>
      </c>
      <c r="D213" s="108"/>
      <c r="E213" s="108"/>
      <c r="F213" s="108"/>
      <c r="G213" s="108"/>
      <c r="H213" s="108"/>
      <c r="I213" s="60"/>
      <c r="J213" s="61">
        <f>J215+J216+J217+J218</f>
        <v>414400.27</v>
      </c>
      <c r="K213" s="61"/>
      <c r="L213" s="61"/>
      <c r="CF213" s="72" t="s">
        <v>501</v>
      </c>
    </row>
    <row r="214" spans="1:84" ht="14.25" x14ac:dyDescent="0.2">
      <c r="A214" s="62"/>
      <c r="B214" s="63"/>
      <c r="C214" s="111" t="s">
        <v>502</v>
      </c>
      <c r="D214" s="110"/>
      <c r="E214" s="110"/>
      <c r="F214" s="110"/>
      <c r="G214" s="110"/>
      <c r="H214" s="110"/>
      <c r="I214" s="64"/>
      <c r="J214" s="65"/>
      <c r="K214" s="65"/>
      <c r="L214" s="65"/>
    </row>
    <row r="215" spans="1:84" ht="14.25" x14ac:dyDescent="0.2">
      <c r="A215" s="62"/>
      <c r="B215" s="63"/>
      <c r="C215" s="110" t="s">
        <v>503</v>
      </c>
      <c r="D215" s="110"/>
      <c r="E215" s="110"/>
      <c r="F215" s="110"/>
      <c r="G215" s="110"/>
      <c r="H215" s="110"/>
      <c r="I215" s="64"/>
      <c r="J215" s="65">
        <f>SUM(Q38:Q211)</f>
        <v>4734.01</v>
      </c>
      <c r="K215" s="65"/>
      <c r="L215" s="65"/>
    </row>
    <row r="216" spans="1:84" ht="14.25" x14ac:dyDescent="0.2">
      <c r="A216" s="62"/>
      <c r="B216" s="63"/>
      <c r="C216" s="110" t="s">
        <v>504</v>
      </c>
      <c r="D216" s="110"/>
      <c r="E216" s="110"/>
      <c r="F216" s="110"/>
      <c r="G216" s="110"/>
      <c r="H216" s="110"/>
      <c r="I216" s="64"/>
      <c r="J216" s="65">
        <f>Source!F72</f>
        <v>52165.31</v>
      </c>
      <c r="K216" s="65"/>
      <c r="L216" s="65"/>
    </row>
    <row r="217" spans="1:84" ht="14.25" x14ac:dyDescent="0.2">
      <c r="A217" s="62"/>
      <c r="B217" s="63"/>
      <c r="C217" s="110" t="s">
        <v>505</v>
      </c>
      <c r="D217" s="110"/>
      <c r="E217" s="110"/>
      <c r="F217" s="110"/>
      <c r="G217" s="110"/>
      <c r="H217" s="110"/>
      <c r="I217" s="64"/>
      <c r="J217" s="65">
        <f>Source!F63-J222</f>
        <v>357500.95</v>
      </c>
      <c r="K217" s="65"/>
      <c r="L217" s="65"/>
    </row>
    <row r="218" spans="1:84" ht="14.25" hidden="1" customHeight="1" x14ac:dyDescent="0.2">
      <c r="A218" s="62"/>
      <c r="B218" s="63"/>
      <c r="C218" s="110" t="s">
        <v>506</v>
      </c>
      <c r="D218" s="110"/>
      <c r="E218" s="110"/>
      <c r="F218" s="110"/>
      <c r="G218" s="110"/>
      <c r="H218" s="110"/>
      <c r="I218" s="64"/>
      <c r="J218" s="65">
        <f>Source!F85</f>
        <v>0</v>
      </c>
      <c r="K218" s="65"/>
      <c r="L218" s="65"/>
    </row>
    <row r="219" spans="1:84" ht="14.25" x14ac:dyDescent="0.2">
      <c r="A219" s="62"/>
      <c r="B219" s="63"/>
      <c r="C219" s="110" t="s">
        <v>507</v>
      </c>
      <c r="D219" s="110"/>
      <c r="E219" s="110"/>
      <c r="F219" s="110"/>
      <c r="G219" s="110"/>
      <c r="H219" s="110"/>
      <c r="I219" s="64"/>
      <c r="J219" s="65">
        <f>SUM(Q38:Q211)+SUM(V38:V211)</f>
        <v>8410.39</v>
      </c>
      <c r="K219" s="65"/>
      <c r="L219" s="65"/>
    </row>
    <row r="220" spans="1:84" ht="14.25" x14ac:dyDescent="0.2">
      <c r="A220" s="62"/>
      <c r="B220" s="63"/>
      <c r="C220" s="110" t="s">
        <v>508</v>
      </c>
      <c r="D220" s="110"/>
      <c r="E220" s="110"/>
      <c r="F220" s="110"/>
      <c r="G220" s="110"/>
      <c r="H220" s="110"/>
      <c r="I220" s="64"/>
      <c r="J220" s="65">
        <f>Source!F86</f>
        <v>10294.19</v>
      </c>
      <c r="K220" s="65"/>
      <c r="L220" s="65"/>
    </row>
    <row r="221" spans="1:84" ht="14.25" x14ac:dyDescent="0.2">
      <c r="A221" s="62"/>
      <c r="B221" s="63"/>
      <c r="C221" s="110" t="s">
        <v>509</v>
      </c>
      <c r="D221" s="110"/>
      <c r="E221" s="110"/>
      <c r="F221" s="110"/>
      <c r="G221" s="110"/>
      <c r="H221" s="110"/>
      <c r="I221" s="64"/>
      <c r="J221" s="65">
        <f>Source!F87</f>
        <v>7553.33</v>
      </c>
      <c r="K221" s="65"/>
      <c r="L221" s="65"/>
    </row>
    <row r="222" spans="1:84" ht="14.25" hidden="1" customHeight="1" x14ac:dyDescent="0.2">
      <c r="A222" s="62"/>
      <c r="B222" s="63"/>
      <c r="C222" s="110" t="s">
        <v>510</v>
      </c>
      <c r="D222" s="110"/>
      <c r="E222" s="110"/>
      <c r="F222" s="110"/>
      <c r="G222" s="110"/>
      <c r="H222" s="110"/>
      <c r="I222" s="64"/>
      <c r="J222" s="65">
        <f>Source!F69</f>
        <v>0</v>
      </c>
      <c r="K222" s="65"/>
      <c r="L222" s="65"/>
    </row>
    <row r="223" spans="1:84" ht="14.25" hidden="1" customHeight="1" x14ac:dyDescent="0.2">
      <c r="A223" s="62"/>
      <c r="B223" s="63"/>
      <c r="C223" s="110" t="s">
        <v>511</v>
      </c>
      <c r="D223" s="110"/>
      <c r="E223" s="110"/>
      <c r="F223" s="110"/>
      <c r="G223" s="110"/>
      <c r="H223" s="110"/>
      <c r="I223" s="64"/>
      <c r="J223" s="65">
        <f>Source!F79</f>
        <v>0</v>
      </c>
      <c r="K223" s="65"/>
      <c r="L223" s="65"/>
    </row>
    <row r="224" spans="1:84" ht="15" x14ac:dyDescent="0.2">
      <c r="A224" s="58"/>
      <c r="B224" s="59"/>
      <c r="C224" s="108" t="s">
        <v>512</v>
      </c>
      <c r="D224" s="108"/>
      <c r="E224" s="108"/>
      <c r="F224" s="108"/>
      <c r="G224" s="108"/>
      <c r="H224" s="108"/>
      <c r="I224" s="60"/>
      <c r="J224" s="61">
        <f>Source!F88</f>
        <v>447493.79</v>
      </c>
      <c r="K224" s="61"/>
      <c r="L224" s="61"/>
    </row>
    <row r="225" spans="1:56" ht="14.25" hidden="1" customHeight="1" x14ac:dyDescent="0.2">
      <c r="A225" s="62"/>
      <c r="B225" s="63"/>
      <c r="C225" s="111" t="s">
        <v>502</v>
      </c>
      <c r="D225" s="110"/>
      <c r="E225" s="110"/>
      <c r="F225" s="110"/>
      <c r="G225" s="110"/>
      <c r="H225" s="110"/>
      <c r="I225" s="64"/>
      <c r="J225" s="65"/>
      <c r="K225" s="65"/>
      <c r="L225" s="65"/>
    </row>
    <row r="226" spans="1:56" ht="14.25" hidden="1" customHeight="1" x14ac:dyDescent="0.2">
      <c r="A226" s="62"/>
      <c r="B226" s="63"/>
      <c r="C226" s="110" t="s">
        <v>513</v>
      </c>
      <c r="D226" s="110"/>
      <c r="E226" s="110"/>
      <c r="F226" s="110"/>
      <c r="G226" s="110"/>
      <c r="H226" s="110"/>
      <c r="I226" s="64"/>
      <c r="J226" s="65"/>
      <c r="K226" s="65"/>
      <c r="L226" s="65">
        <f>SUM(BS38:BS211)</f>
        <v>0</v>
      </c>
    </row>
    <row r="227" spans="1:56" ht="14.25" hidden="1" customHeight="1" x14ac:dyDescent="0.2">
      <c r="A227" s="62"/>
      <c r="B227" s="63"/>
      <c r="C227" s="110" t="s">
        <v>514</v>
      </c>
      <c r="D227" s="110"/>
      <c r="E227" s="110"/>
      <c r="F227" s="110"/>
      <c r="G227" s="110"/>
      <c r="H227" s="110"/>
      <c r="I227" s="64"/>
      <c r="J227" s="65"/>
      <c r="K227" s="65"/>
      <c r="L227" s="65">
        <f>SUM(BT38:BT211)</f>
        <v>0</v>
      </c>
    </row>
    <row r="229" spans="1:56" ht="16.5" x14ac:dyDescent="0.25">
      <c r="A229" s="109" t="s">
        <v>541</v>
      </c>
      <c r="B229" s="109"/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</row>
    <row r="230" spans="1:56" ht="133.5" x14ac:dyDescent="0.2">
      <c r="A230" s="66" t="str">
        <f>Source!E94</f>
        <v>20</v>
      </c>
      <c r="B230" s="67" t="s">
        <v>455</v>
      </c>
      <c r="C230" s="67" t="s">
        <v>456</v>
      </c>
      <c r="D230" s="47" t="str">
        <f>Source!H94</f>
        <v>1000 м3</v>
      </c>
      <c r="E230" s="43">
        <f>Source!K94</f>
        <v>5.3999999999999999E-2</v>
      </c>
      <c r="F230" s="43"/>
      <c r="G230" s="43">
        <f>Source!I94</f>
        <v>5.3999999999999999E-2</v>
      </c>
      <c r="H230" s="48"/>
      <c r="I230" s="49"/>
      <c r="J230" s="42"/>
      <c r="K230" s="49"/>
      <c r="L230" s="42"/>
      <c r="AC230">
        <f>Source!X94</f>
        <v>69.150000000000006</v>
      </c>
      <c r="AD230">
        <f>Source!HK94</f>
        <v>2479.61</v>
      </c>
      <c r="AE230">
        <f>Source!Y94</f>
        <v>34.57</v>
      </c>
      <c r="AF230">
        <f>Source!HL94</f>
        <v>1239.81</v>
      </c>
      <c r="AS230">
        <f>IF(Source!BI94&lt;=1,AD230, 0)</f>
        <v>2479.61</v>
      </c>
      <c r="AT230">
        <f>IF(Source!BI94&lt;=1,AF230, 0)</f>
        <v>1239.81</v>
      </c>
      <c r="BC230">
        <f>IF(Source!BI94=2,AD230, 0)</f>
        <v>0</v>
      </c>
      <c r="BD230">
        <f>IF(Source!BI94=2,AF230, 0)</f>
        <v>0</v>
      </c>
    </row>
    <row r="231" spans="1:56" ht="89.25" x14ac:dyDescent="0.2">
      <c r="B231" s="36" t="str">
        <f>Source!EO94</f>
        <v>Поправка: п.8.7.1</v>
      </c>
      <c r="C231" s="36" t="str">
        <f>Source!CN94</f>
        <v>Поправка: п.8.7.1  Наименование: При выполнении работ в существующих зданиях и сооружениях, аналогичных процессам при новом строительстве (кроме работ по нормам сборника № 46 «Работы при реконструкции зданий и сооружений»)</v>
      </c>
    </row>
    <row r="232" spans="1:56" x14ac:dyDescent="0.2">
      <c r="C232" s="37" t="str">
        <f>"Объем: "&amp;Source!K94&amp;"=54/"&amp;"1000"</f>
        <v>Объем: 0.054=54/1000</v>
      </c>
    </row>
    <row r="233" spans="1:56" ht="14.25" x14ac:dyDescent="0.2">
      <c r="A233" s="66"/>
      <c r="B233" s="68">
        <v>1</v>
      </c>
      <c r="C233" s="67" t="s">
        <v>457</v>
      </c>
      <c r="D233" s="47"/>
      <c r="E233" s="43"/>
      <c r="F233" s="43"/>
      <c r="G233" s="43"/>
      <c r="H233" s="48">
        <f>Source!AO94</f>
        <v>218.3</v>
      </c>
      <c r="I233" s="49">
        <f>ROUND(1.15,7)</f>
        <v>1.1499999999999999</v>
      </c>
      <c r="J233" s="42">
        <f>ROUND(Source!AF94*Source!I94, 2)</f>
        <v>13.55</v>
      </c>
      <c r="K233" s="49">
        <f>IF(Source!BA94&lt;&gt; 0, Source!BA94, 1)</f>
        <v>35.86</v>
      </c>
      <c r="L233" s="42">
        <f>Source!HJ94</f>
        <v>485.9</v>
      </c>
    </row>
    <row r="234" spans="1:56" ht="14.25" x14ac:dyDescent="0.2">
      <c r="A234" s="66"/>
      <c r="B234" s="68">
        <v>3</v>
      </c>
      <c r="C234" s="67" t="s">
        <v>458</v>
      </c>
      <c r="D234" s="47"/>
      <c r="E234" s="43"/>
      <c r="F234" s="43"/>
      <c r="G234" s="43"/>
      <c r="H234" s="48">
        <f>Source!AM94</f>
        <v>6181.14</v>
      </c>
      <c r="I234" s="49">
        <f>ROUND(1.25,7)</f>
        <v>1.25</v>
      </c>
      <c r="J234" s="42">
        <f>ROUND(Source!AD94*Source!I94, 2)</f>
        <v>417.26</v>
      </c>
      <c r="K234" s="49"/>
      <c r="L234" s="42"/>
    </row>
    <row r="235" spans="1:56" ht="14.25" x14ac:dyDescent="0.2">
      <c r="A235" s="66"/>
      <c r="B235" s="68">
        <v>2</v>
      </c>
      <c r="C235" s="67" t="s">
        <v>459</v>
      </c>
      <c r="D235" s="47"/>
      <c r="E235" s="43"/>
      <c r="F235" s="43"/>
      <c r="G235" s="43"/>
      <c r="H235" s="48">
        <f>Source!AN94</f>
        <v>912.62</v>
      </c>
      <c r="I235" s="49">
        <f>ROUND(1.25,7)</f>
        <v>1.25</v>
      </c>
      <c r="J235" s="50">
        <f>ROUND(Source!AE94*Source!I94, 2)</f>
        <v>61.61</v>
      </c>
      <c r="K235" s="49">
        <f>IF(Source!BS94&lt;&gt; 0, Source!BS94, 1)</f>
        <v>35.86</v>
      </c>
      <c r="L235" s="50">
        <f>Source!HI94</f>
        <v>2209.33</v>
      </c>
    </row>
    <row r="236" spans="1:56" ht="14.25" x14ac:dyDescent="0.2">
      <c r="A236" s="66"/>
      <c r="B236" s="68">
        <v>4</v>
      </c>
      <c r="C236" s="67" t="s">
        <v>460</v>
      </c>
      <c r="D236" s="47"/>
      <c r="E236" s="43"/>
      <c r="F236" s="43"/>
      <c r="G236" s="43"/>
      <c r="H236" s="48">
        <f>Source!AL94</f>
        <v>6.61</v>
      </c>
      <c r="I236" s="49"/>
      <c r="J236" s="42">
        <f>ROUND(Source!AC94*Source!I94, 2)</f>
        <v>0.38</v>
      </c>
      <c r="K236" s="49"/>
      <c r="L236" s="42"/>
    </row>
    <row r="237" spans="1:56" ht="14.25" x14ac:dyDescent="0.2">
      <c r="A237" s="66"/>
      <c r="B237" s="67"/>
      <c r="C237" s="69" t="s">
        <v>461</v>
      </c>
      <c r="D237" s="51" t="s">
        <v>462</v>
      </c>
      <c r="E237" s="52">
        <f>Source!AQ94</f>
        <v>31.32</v>
      </c>
      <c r="F237" s="52">
        <f>ROUND(1.15,7)</f>
        <v>1.1499999999999999</v>
      </c>
      <c r="G237" s="52">
        <f>ROUND(Source!U94, 7)</f>
        <v>1.9449719999999999</v>
      </c>
      <c r="H237" s="53"/>
      <c r="I237" s="54"/>
      <c r="J237" s="55"/>
      <c r="K237" s="54"/>
      <c r="L237" s="55"/>
    </row>
    <row r="238" spans="1:56" ht="14.25" x14ac:dyDescent="0.2">
      <c r="A238" s="66"/>
      <c r="B238" s="67"/>
      <c r="C238" s="67" t="s">
        <v>463</v>
      </c>
      <c r="D238" s="47"/>
      <c r="E238" s="43"/>
      <c r="F238" s="43"/>
      <c r="G238" s="43"/>
      <c r="H238" s="48">
        <f>H233+H234+H236</f>
        <v>6406.05</v>
      </c>
      <c r="I238" s="49"/>
      <c r="J238" s="42">
        <f>J233+J234+J236</f>
        <v>431.19</v>
      </c>
      <c r="K238" s="49"/>
      <c r="L238" s="42"/>
    </row>
    <row r="239" spans="1:56" ht="14.25" x14ac:dyDescent="0.2">
      <c r="A239" s="66"/>
      <c r="B239" s="67"/>
      <c r="C239" s="67" t="s">
        <v>464</v>
      </c>
      <c r="D239" s="47"/>
      <c r="E239" s="43"/>
      <c r="F239" s="43"/>
      <c r="G239" s="43"/>
      <c r="H239" s="48"/>
      <c r="I239" s="49"/>
      <c r="J239" s="42">
        <f>SUM(Q230:Q242)+SUM(V230:V242)</f>
        <v>75.16</v>
      </c>
      <c r="K239" s="49"/>
      <c r="L239" s="42">
        <f>SUM(U230:U242)+SUM(W230:W242)</f>
        <v>2695.23</v>
      </c>
    </row>
    <row r="240" spans="1:56" ht="28.5" x14ac:dyDescent="0.2">
      <c r="A240" s="66"/>
      <c r="B240" s="67" t="s">
        <v>465</v>
      </c>
      <c r="C240" s="67" t="s">
        <v>466</v>
      </c>
      <c r="D240" s="47" t="s">
        <v>467</v>
      </c>
      <c r="E240" s="43">
        <f>Source!BZ94</f>
        <v>92</v>
      </c>
      <c r="F240" s="43"/>
      <c r="G240" s="43">
        <f>Source!AT94</f>
        <v>92</v>
      </c>
      <c r="H240" s="48"/>
      <c r="I240" s="49"/>
      <c r="J240" s="42">
        <f>SUM(AC230:AC242)</f>
        <v>69.150000000000006</v>
      </c>
      <c r="K240" s="49"/>
      <c r="L240" s="42">
        <f>SUM(AD230:AD242)</f>
        <v>2479.61</v>
      </c>
    </row>
    <row r="241" spans="1:56" ht="28.5" x14ac:dyDescent="0.2">
      <c r="A241" s="70"/>
      <c r="B241" s="69" t="s">
        <v>468</v>
      </c>
      <c r="C241" s="69" t="s">
        <v>469</v>
      </c>
      <c r="D241" s="51" t="s">
        <v>467</v>
      </c>
      <c r="E241" s="52">
        <f>Source!CA94</f>
        <v>46</v>
      </c>
      <c r="F241" s="52"/>
      <c r="G241" s="52">
        <f>Source!AU94</f>
        <v>46</v>
      </c>
      <c r="H241" s="53"/>
      <c r="I241" s="54"/>
      <c r="J241" s="55">
        <f>SUM(AE230:AE242)</f>
        <v>34.57</v>
      </c>
      <c r="K241" s="54"/>
      <c r="L241" s="55">
        <f>SUM(AF230:AF242)</f>
        <v>1239.81</v>
      </c>
    </row>
    <row r="242" spans="1:56" ht="15" x14ac:dyDescent="0.25">
      <c r="C242" s="106" t="s">
        <v>470</v>
      </c>
      <c r="D242" s="106"/>
      <c r="E242" s="106"/>
      <c r="F242" s="106"/>
      <c r="G242" s="106"/>
      <c r="H242" s="106"/>
      <c r="I242" s="106">
        <f>J233+J234+J236+J240+J241</f>
        <v>534.91000000000008</v>
      </c>
      <c r="J242" s="106"/>
      <c r="O242" s="39">
        <f>I242</f>
        <v>534.91000000000008</v>
      </c>
      <c r="P242">
        <f>K242</f>
        <v>0</v>
      </c>
      <c r="Q242" s="39">
        <f>J233</f>
        <v>13.55</v>
      </c>
      <c r="R242" s="39">
        <f>J233</f>
        <v>13.55</v>
      </c>
      <c r="U242" s="39">
        <f>L233</f>
        <v>485.9</v>
      </c>
      <c r="V242" s="39">
        <f>J235</f>
        <v>61.61</v>
      </c>
      <c r="W242" s="39">
        <f>L235</f>
        <v>2209.33</v>
      </c>
      <c r="X242" s="39">
        <f>J234</f>
        <v>417.26</v>
      </c>
      <c r="Z242" s="39">
        <f>L234</f>
        <v>0</v>
      </c>
      <c r="AB242" s="39">
        <f>J236</f>
        <v>0.38</v>
      </c>
      <c r="AN242">
        <f>IF(Source!BI94&lt;=1,J233+J234+J236+J240+J241, 0)</f>
        <v>534.91000000000008</v>
      </c>
      <c r="AO242">
        <f>IF(Source!BI94&lt;=1,J236, 0)</f>
        <v>0.38</v>
      </c>
      <c r="AP242">
        <f>IF(Source!BI94&lt;=1,J234, 0)</f>
        <v>417.26</v>
      </c>
      <c r="AQ242">
        <f>IF(Source!BI94&lt;=1,J233, 0)</f>
        <v>13.55</v>
      </c>
      <c r="AX242">
        <f>IF(Source!BI94=2,J233+J234+J236+J240+J241, 0)</f>
        <v>0</v>
      </c>
      <c r="AY242">
        <f>IF(Source!BI94=2,J236, 0)</f>
        <v>0</v>
      </c>
      <c r="AZ242">
        <f>IF(Source!BI94=2,J234, 0)</f>
        <v>0</v>
      </c>
      <c r="BA242">
        <f>IF(Source!BI94=2,J233, 0)</f>
        <v>0</v>
      </c>
    </row>
    <row r="243" spans="1:56" ht="57" x14ac:dyDescent="0.2">
      <c r="A243" s="66" t="str">
        <f>Source!E95</f>
        <v>21</v>
      </c>
      <c r="B243" s="67" t="s">
        <v>471</v>
      </c>
      <c r="C243" s="67" t="str">
        <f>Source!G95</f>
        <v>Перевозка грузов I класса автомобилями бортовыми грузоподъемностью до 15 т на расстояние до 15 км</v>
      </c>
      <c r="D243" s="47" t="str">
        <f>Source!H95</f>
        <v>1 Т ГРУЗА</v>
      </c>
      <c r="E243" s="43">
        <f>Source!K95</f>
        <v>92</v>
      </c>
      <c r="F243" s="43"/>
      <c r="G243" s="43">
        <f>Source!I95</f>
        <v>92</v>
      </c>
      <c r="H243" s="48">
        <f>Source!AK95</f>
        <v>13.79</v>
      </c>
      <c r="I243" s="49"/>
      <c r="J243" s="42">
        <f>ROUND(Source!AB95*Source!I95, 2)</f>
        <v>1288</v>
      </c>
      <c r="K243" s="49"/>
      <c r="L243" s="42"/>
      <c r="AC243">
        <f>Source!X95</f>
        <v>0</v>
      </c>
      <c r="AD243">
        <f>Source!HK95</f>
        <v>0</v>
      </c>
      <c r="AE243">
        <f>Source!Y95</f>
        <v>0</v>
      </c>
      <c r="AF243">
        <f>Source!HL95</f>
        <v>0</v>
      </c>
      <c r="AS243">
        <f>IF(Source!BI95&lt;=1,AD243, 0)</f>
        <v>0</v>
      </c>
      <c r="AT243">
        <f>IF(Source!BI95&lt;=1,AF243, 0)</f>
        <v>0</v>
      </c>
      <c r="BC243">
        <f>IF(Source!BI95=2,AD243, 0)</f>
        <v>0</v>
      </c>
      <c r="BD243">
        <f>IF(Source!BI95=2,AF243, 0)</f>
        <v>0</v>
      </c>
    </row>
    <row r="244" spans="1:56" x14ac:dyDescent="0.2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</row>
    <row r="245" spans="1:56" ht="15" x14ac:dyDescent="0.25">
      <c r="C245" s="106" t="s">
        <v>470</v>
      </c>
      <c r="D245" s="106"/>
      <c r="E245" s="106"/>
      <c r="F245" s="106"/>
      <c r="G245" s="106"/>
      <c r="H245" s="106"/>
      <c r="I245" s="106">
        <f>J243</f>
        <v>1288</v>
      </c>
      <c r="J245" s="106"/>
      <c r="O245" s="39">
        <f>I245</f>
        <v>1288</v>
      </c>
      <c r="P245">
        <f>K245</f>
        <v>0</v>
      </c>
      <c r="Q245">
        <f>0</f>
        <v>0</v>
      </c>
      <c r="R245">
        <f>0</f>
        <v>0</v>
      </c>
      <c r="U245">
        <f>0</f>
        <v>0</v>
      </c>
      <c r="V245">
        <f>0</f>
        <v>0</v>
      </c>
      <c r="W245">
        <f>0</f>
        <v>0</v>
      </c>
      <c r="X245">
        <f>0</f>
        <v>0</v>
      </c>
      <c r="Z245">
        <f>0</f>
        <v>0</v>
      </c>
      <c r="AB245">
        <f>0</f>
        <v>0</v>
      </c>
      <c r="AN245">
        <f>IF(Source!BI95&lt;=1,J243, 0)</f>
        <v>1288</v>
      </c>
      <c r="AO245">
        <f>IF(Source!BI95&lt;=1,0, 0)</f>
        <v>0</v>
      </c>
      <c r="AP245">
        <f>IF(Source!BI95&lt;=1,0, 0)</f>
        <v>0</v>
      </c>
      <c r="AQ245">
        <f>IF(Source!BI95&lt;=1,0, 0)</f>
        <v>0</v>
      </c>
      <c r="AX245">
        <f>IF(Source!BI95=2,J243, 0)</f>
        <v>0</v>
      </c>
      <c r="AY245">
        <f>IF(Source!BI95=2,0, 0)</f>
        <v>0</v>
      </c>
      <c r="AZ245">
        <f>IF(Source!BI95=2,0, 0)</f>
        <v>0</v>
      </c>
      <c r="BA245">
        <f>IF(Source!BI95=2,0, 0)</f>
        <v>0</v>
      </c>
    </row>
    <row r="246" spans="1:56" ht="105" x14ac:dyDescent="0.2">
      <c r="A246" s="66" t="str">
        <f>Source!E96</f>
        <v>22</v>
      </c>
      <c r="B246" s="67" t="s">
        <v>499</v>
      </c>
      <c r="C246" s="67" t="s">
        <v>500</v>
      </c>
      <c r="D246" s="47" t="str">
        <f>Source!H96</f>
        <v>100 м</v>
      </c>
      <c r="E246" s="43">
        <f>Source!K96</f>
        <v>1.1000000000000001</v>
      </c>
      <c r="F246" s="43"/>
      <c r="G246" s="43">
        <f>Source!I96</f>
        <v>1.1000000000000001</v>
      </c>
      <c r="H246" s="48"/>
      <c r="I246" s="49"/>
      <c r="J246" s="42"/>
      <c r="K246" s="49"/>
      <c r="L246" s="42"/>
      <c r="AC246">
        <f>Source!X96</f>
        <v>334.03</v>
      </c>
      <c r="AD246">
        <f>Source!HK96</f>
        <v>11978.16</v>
      </c>
      <c r="AE246">
        <f>Source!Y96</f>
        <v>251.85</v>
      </c>
      <c r="AF246">
        <f>Source!HL96</f>
        <v>9031.16</v>
      </c>
      <c r="AS246">
        <f>IF(Source!BI96&lt;=1,AD246, 0)</f>
        <v>11978.16</v>
      </c>
      <c r="AT246">
        <f>IF(Source!BI96&lt;=1,AF246, 0)</f>
        <v>9031.16</v>
      </c>
      <c r="BC246">
        <f>IF(Source!BI96=2,AD246, 0)</f>
        <v>0</v>
      </c>
      <c r="BD246">
        <f>IF(Source!BI96=2,AF246, 0)</f>
        <v>0</v>
      </c>
    </row>
    <row r="247" spans="1:56" ht="89.25" x14ac:dyDescent="0.2">
      <c r="B247" s="36" t="str">
        <f>Source!EO96</f>
        <v>Поправка: п.8.7.1</v>
      </c>
      <c r="C247" s="36" t="str">
        <f>Source!CN96</f>
        <v>Поправка: п.8.7.1  Наименование: При выполнении работ в существующих зданиях и сооружениях, аналогичных процессам при новом строительстве (кроме работ по нормам сборника № 46 «Работы при реконструкции зданий и сооружений»)</v>
      </c>
    </row>
    <row r="248" spans="1:56" x14ac:dyDescent="0.2">
      <c r="C248" s="37" t="str">
        <f>"Объем: "&amp;Source!K96&amp;"=110/"&amp;"100"</f>
        <v>Объем: 1.1=110/100</v>
      </c>
    </row>
    <row r="249" spans="1:56" ht="14.25" x14ac:dyDescent="0.2">
      <c r="A249" s="66"/>
      <c r="B249" s="68">
        <v>1</v>
      </c>
      <c r="C249" s="67" t="s">
        <v>457</v>
      </c>
      <c r="D249" s="47"/>
      <c r="E249" s="43"/>
      <c r="F249" s="43"/>
      <c r="G249" s="43"/>
      <c r="H249" s="48">
        <f>Source!AO96</f>
        <v>159.58000000000001</v>
      </c>
      <c r="I249" s="49">
        <f>ROUND(1.15,7)</f>
        <v>1.1499999999999999</v>
      </c>
      <c r="J249" s="42">
        <f>ROUND(Source!AF96*Source!I96, 2)</f>
        <v>202.4</v>
      </c>
      <c r="K249" s="49">
        <f>IF(Source!BA96&lt;&gt; 0, Source!BA96, 1)</f>
        <v>35.86</v>
      </c>
      <c r="L249" s="42">
        <f>Source!HJ96</f>
        <v>7258.06</v>
      </c>
    </row>
    <row r="250" spans="1:56" ht="14.25" x14ac:dyDescent="0.2">
      <c r="A250" s="66"/>
      <c r="B250" s="68">
        <v>3</v>
      </c>
      <c r="C250" s="67" t="s">
        <v>458</v>
      </c>
      <c r="D250" s="47"/>
      <c r="E250" s="43"/>
      <c r="F250" s="43"/>
      <c r="G250" s="43"/>
      <c r="H250" s="48">
        <f>Source!AM96</f>
        <v>1321.73</v>
      </c>
      <c r="I250" s="49">
        <f>ROUND(1.25,7)</f>
        <v>1.25</v>
      </c>
      <c r="J250" s="42">
        <f>ROUND(Source!AD96*Source!I96, 2)</f>
        <v>1817.2</v>
      </c>
      <c r="K250" s="49"/>
      <c r="L250" s="42"/>
    </row>
    <row r="251" spans="1:56" ht="14.25" x14ac:dyDescent="0.2">
      <c r="A251" s="66"/>
      <c r="B251" s="68">
        <v>2</v>
      </c>
      <c r="C251" s="67" t="s">
        <v>459</v>
      </c>
      <c r="D251" s="47"/>
      <c r="E251" s="43"/>
      <c r="F251" s="43"/>
      <c r="G251" s="43"/>
      <c r="H251" s="48">
        <f>Source!AN96</f>
        <v>45.37</v>
      </c>
      <c r="I251" s="49">
        <f>ROUND(1.25,7)</f>
        <v>1.25</v>
      </c>
      <c r="J251" s="50">
        <f>ROUND(Source!AE96*Source!I96, 2)</f>
        <v>62.7</v>
      </c>
      <c r="K251" s="49">
        <f>IF(Source!BS96&lt;&gt; 0, Source!BS96, 1)</f>
        <v>35.86</v>
      </c>
      <c r="L251" s="50">
        <f>Source!HI96</f>
        <v>2248.42</v>
      </c>
    </row>
    <row r="252" spans="1:56" ht="14.25" x14ac:dyDescent="0.2">
      <c r="A252" s="66"/>
      <c r="B252" s="68">
        <v>4</v>
      </c>
      <c r="C252" s="67" t="s">
        <v>460</v>
      </c>
      <c r="D252" s="47"/>
      <c r="E252" s="43"/>
      <c r="F252" s="43"/>
      <c r="G252" s="43"/>
      <c r="H252" s="48">
        <f>Source!AL96</f>
        <v>856.3</v>
      </c>
      <c r="I252" s="49"/>
      <c r="J252" s="42">
        <f>ROUND(Source!AC96*Source!I96, 2)</f>
        <v>941.6</v>
      </c>
      <c r="K252" s="49"/>
      <c r="L252" s="42"/>
    </row>
    <row r="253" spans="1:56" ht="14.25" x14ac:dyDescent="0.2">
      <c r="A253" s="66"/>
      <c r="B253" s="67" t="str">
        <f>EtalonRes!I106</f>
        <v>01.7.07.26</v>
      </c>
      <c r="C253" s="67" t="str">
        <f>EtalonRes!K106</f>
        <v>Шнур полиуретановый</v>
      </c>
      <c r="D253" s="47" t="str">
        <f>EtalonRes!O106</f>
        <v>м</v>
      </c>
      <c r="E253" s="43">
        <f>EtalonRes!X106</f>
        <v>100</v>
      </c>
      <c r="F253" s="43"/>
      <c r="G253" s="43">
        <f>ROUND(EtalonRes!AG106*Source!I96, 7)</f>
        <v>110</v>
      </c>
      <c r="H253" s="48"/>
      <c r="I253" s="49"/>
      <c r="J253" s="42"/>
      <c r="K253" s="49"/>
      <c r="L253" s="42"/>
    </row>
    <row r="254" spans="1:56" ht="28.5" x14ac:dyDescent="0.2">
      <c r="A254" s="66"/>
      <c r="B254" s="67" t="str">
        <f>EtalonRes!I107</f>
        <v>02.3.01.02</v>
      </c>
      <c r="C254" s="67" t="str">
        <f>EtalonRes!K107</f>
        <v>Песок для строительных работ природный</v>
      </c>
      <c r="D254" s="47" t="str">
        <f>EtalonRes!O107</f>
        <v>м3</v>
      </c>
      <c r="E254" s="43">
        <f>EtalonRes!X107</f>
        <v>2</v>
      </c>
      <c r="F254" s="43"/>
      <c r="G254" s="43">
        <f>ROUND(EtalonRes!AG107*Source!I96, 7)</f>
        <v>2.2000000000000002</v>
      </c>
      <c r="H254" s="48"/>
      <c r="I254" s="49"/>
      <c r="J254" s="42"/>
      <c r="K254" s="49"/>
      <c r="L254" s="42"/>
    </row>
    <row r="255" spans="1:56" ht="14.25" x14ac:dyDescent="0.2">
      <c r="A255" s="66"/>
      <c r="B255" s="67"/>
      <c r="C255" s="69" t="s">
        <v>461</v>
      </c>
      <c r="D255" s="51" t="s">
        <v>462</v>
      </c>
      <c r="E255" s="52">
        <f>Source!AQ96</f>
        <v>21.89</v>
      </c>
      <c r="F255" s="52">
        <f>ROUND(1.15,7)</f>
        <v>1.1499999999999999</v>
      </c>
      <c r="G255" s="52">
        <f>ROUND(Source!U96, 7)</f>
        <v>27.690850000000001</v>
      </c>
      <c r="H255" s="53"/>
      <c r="I255" s="54"/>
      <c r="J255" s="55"/>
      <c r="K255" s="54"/>
      <c r="L255" s="55"/>
    </row>
    <row r="256" spans="1:56" ht="14.25" x14ac:dyDescent="0.2">
      <c r="A256" s="66"/>
      <c r="B256" s="67"/>
      <c r="C256" s="67" t="s">
        <v>463</v>
      </c>
      <c r="D256" s="47"/>
      <c r="E256" s="43"/>
      <c r="F256" s="43"/>
      <c r="G256" s="43"/>
      <c r="H256" s="48">
        <f>H249+H250+H252</f>
        <v>2337.6099999999997</v>
      </c>
      <c r="I256" s="49"/>
      <c r="J256" s="42">
        <f>J249+J250+J252</f>
        <v>2961.2000000000003</v>
      </c>
      <c r="K256" s="49"/>
      <c r="L256" s="42"/>
    </row>
    <row r="257" spans="1:56" ht="14.25" x14ac:dyDescent="0.2">
      <c r="A257" s="66"/>
      <c r="B257" s="67"/>
      <c r="C257" s="67" t="s">
        <v>464</v>
      </c>
      <c r="D257" s="47"/>
      <c r="E257" s="43"/>
      <c r="F257" s="43"/>
      <c r="G257" s="43"/>
      <c r="H257" s="48"/>
      <c r="I257" s="49"/>
      <c r="J257" s="42">
        <f>SUM(Q246:Q260)+SUM(V246:V260)</f>
        <v>265.10000000000002</v>
      </c>
      <c r="K257" s="49"/>
      <c r="L257" s="42">
        <f>SUM(U246:U260)+SUM(W246:W260)</f>
        <v>9506.48</v>
      </c>
    </row>
    <row r="258" spans="1:56" ht="14.25" x14ac:dyDescent="0.2">
      <c r="A258" s="66"/>
      <c r="B258" s="67" t="s">
        <v>474</v>
      </c>
      <c r="C258" s="67" t="s">
        <v>475</v>
      </c>
      <c r="D258" s="47" t="s">
        <v>467</v>
      </c>
      <c r="E258" s="43">
        <f>Source!BZ96</f>
        <v>126</v>
      </c>
      <c r="F258" s="43"/>
      <c r="G258" s="43">
        <f>Source!AT96</f>
        <v>126</v>
      </c>
      <c r="H258" s="48"/>
      <c r="I258" s="49"/>
      <c r="J258" s="42">
        <f>SUM(AC246:AC260)</f>
        <v>334.03</v>
      </c>
      <c r="K258" s="49"/>
      <c r="L258" s="42">
        <f>SUM(AD246:AD260)</f>
        <v>11978.16</v>
      </c>
    </row>
    <row r="259" spans="1:56" ht="14.25" x14ac:dyDescent="0.2">
      <c r="A259" s="70"/>
      <c r="B259" s="69" t="s">
        <v>476</v>
      </c>
      <c r="C259" s="69" t="s">
        <v>477</v>
      </c>
      <c r="D259" s="51" t="s">
        <v>467</v>
      </c>
      <c r="E259" s="52">
        <f>Source!CA96</f>
        <v>95</v>
      </c>
      <c r="F259" s="52"/>
      <c r="G259" s="52">
        <f>Source!AU96</f>
        <v>95</v>
      </c>
      <c r="H259" s="53"/>
      <c r="I259" s="54"/>
      <c r="J259" s="55">
        <f>SUM(AE246:AE260)</f>
        <v>251.85</v>
      </c>
      <c r="K259" s="54"/>
      <c r="L259" s="55">
        <f>SUM(AF246:AF260)</f>
        <v>9031.16</v>
      </c>
    </row>
    <row r="260" spans="1:56" ht="15" x14ac:dyDescent="0.25">
      <c r="C260" s="106" t="s">
        <v>470</v>
      </c>
      <c r="D260" s="106"/>
      <c r="E260" s="106"/>
      <c r="F260" s="106"/>
      <c r="G260" s="106"/>
      <c r="H260" s="106"/>
      <c r="I260" s="106">
        <f>J249+J250+J252+J258+J259</f>
        <v>3547.0800000000004</v>
      </c>
      <c r="J260" s="106"/>
      <c r="O260" s="39">
        <f>I260</f>
        <v>3547.0800000000004</v>
      </c>
      <c r="P260">
        <f>K260</f>
        <v>0</v>
      </c>
      <c r="Q260" s="39">
        <f>J249</f>
        <v>202.4</v>
      </c>
      <c r="R260" s="39">
        <f>J249</f>
        <v>202.4</v>
      </c>
      <c r="U260" s="39">
        <f>L249</f>
        <v>7258.06</v>
      </c>
      <c r="V260" s="39">
        <f>J251</f>
        <v>62.7</v>
      </c>
      <c r="W260" s="39">
        <f>L251</f>
        <v>2248.42</v>
      </c>
      <c r="X260" s="39">
        <f>J250</f>
        <v>1817.2</v>
      </c>
      <c r="Z260" s="39">
        <f>L250</f>
        <v>0</v>
      </c>
      <c r="AB260" s="39">
        <f>J252</f>
        <v>941.6</v>
      </c>
      <c r="AN260">
        <f>IF(Source!BI96&lt;=1,J249+J250+J252+J258+J259, 0)</f>
        <v>3547.0800000000004</v>
      </c>
      <c r="AO260">
        <f>IF(Source!BI96&lt;=1,J252, 0)</f>
        <v>941.6</v>
      </c>
      <c r="AP260">
        <f>IF(Source!BI96&lt;=1,J250, 0)</f>
        <v>1817.2</v>
      </c>
      <c r="AQ260">
        <f>IF(Source!BI96&lt;=1,J249, 0)</f>
        <v>202.4</v>
      </c>
      <c r="AX260">
        <f>IF(Source!BI96=2,J249+J250+J252+J258+J259, 0)</f>
        <v>0</v>
      </c>
      <c r="AY260">
        <f>IF(Source!BI96=2,J252, 0)</f>
        <v>0</v>
      </c>
      <c r="AZ260">
        <f>IF(Source!BI96=2,J250, 0)</f>
        <v>0</v>
      </c>
      <c r="BA260">
        <f>IF(Source!BI96=2,J249, 0)</f>
        <v>0</v>
      </c>
    </row>
    <row r="261" spans="1:56" ht="119.25" x14ac:dyDescent="0.2">
      <c r="A261" s="66" t="str">
        <f>Source!E97</f>
        <v>23</v>
      </c>
      <c r="B261" s="67" t="s">
        <v>515</v>
      </c>
      <c r="C261" s="67" t="s">
        <v>516</v>
      </c>
      <c r="D261" s="47" t="str">
        <f>Source!H97</f>
        <v>100 м2</v>
      </c>
      <c r="E261" s="43">
        <f>Source!K97</f>
        <v>3</v>
      </c>
      <c r="F261" s="43"/>
      <c r="G261" s="43">
        <f>Source!I97</f>
        <v>3</v>
      </c>
      <c r="H261" s="48"/>
      <c r="I261" s="49"/>
      <c r="J261" s="42"/>
      <c r="K261" s="49"/>
      <c r="L261" s="42"/>
      <c r="AC261">
        <f>Source!X97</f>
        <v>1005.48</v>
      </c>
      <c r="AD261">
        <f>Source!HK97</f>
        <v>36056.51</v>
      </c>
      <c r="AE261">
        <f>Source!Y97</f>
        <v>758.1</v>
      </c>
      <c r="AF261">
        <f>Source!HL97</f>
        <v>27185.47</v>
      </c>
      <c r="AS261">
        <f>IF(Source!BI97&lt;=1,AD261, 0)</f>
        <v>36056.51</v>
      </c>
      <c r="AT261">
        <f>IF(Source!BI97&lt;=1,AF261, 0)</f>
        <v>27185.47</v>
      </c>
      <c r="BC261">
        <f>IF(Source!BI97=2,AD261, 0)</f>
        <v>0</v>
      </c>
      <c r="BD261">
        <f>IF(Source!BI97=2,AF261, 0)</f>
        <v>0</v>
      </c>
    </row>
    <row r="262" spans="1:56" ht="89.25" x14ac:dyDescent="0.2">
      <c r="B262" s="36" t="str">
        <f>Source!EO97</f>
        <v>Поправка: п.8.7.1</v>
      </c>
      <c r="C262" s="36" t="str">
        <f>Source!CN97</f>
        <v>Поправка: п.8.7.1  Наименование: При выполнении работ в существующих зданиях и сооружениях, аналогичных процессам при новом строительстве (кроме работ по нормам сборника № 46 «Работы при реконструкции зданий и сооружений»)</v>
      </c>
    </row>
    <row r="263" spans="1:56" x14ac:dyDescent="0.2">
      <c r="C263" s="37" t="str">
        <f>"Объем: "&amp;Source!K97&amp;"=300/"&amp;"100"</f>
        <v>Объем: 3=300/100</v>
      </c>
    </row>
    <row r="264" spans="1:56" ht="14.25" x14ac:dyDescent="0.2">
      <c r="A264" s="66"/>
      <c r="B264" s="68">
        <v>1</v>
      </c>
      <c r="C264" s="67" t="s">
        <v>457</v>
      </c>
      <c r="D264" s="47"/>
      <c r="E264" s="43"/>
      <c r="F264" s="43"/>
      <c r="G264" s="43"/>
      <c r="H264" s="48">
        <f>Source!AO97</f>
        <v>198.11</v>
      </c>
      <c r="I264" s="49">
        <f>ROUND(1.15,7)</f>
        <v>1.1499999999999999</v>
      </c>
      <c r="J264" s="42">
        <f>ROUND(Source!AF97*Source!I97, 2)</f>
        <v>684</v>
      </c>
      <c r="K264" s="49">
        <f>IF(Source!BA97&lt;&gt; 0, Source!BA97, 1)</f>
        <v>35.86</v>
      </c>
      <c r="L264" s="42">
        <f>Source!HJ97</f>
        <v>24528.240000000002</v>
      </c>
    </row>
    <row r="265" spans="1:56" ht="14.25" x14ac:dyDescent="0.2">
      <c r="A265" s="66"/>
      <c r="B265" s="68">
        <v>3</v>
      </c>
      <c r="C265" s="67" t="s">
        <v>458</v>
      </c>
      <c r="D265" s="47"/>
      <c r="E265" s="43"/>
      <c r="F265" s="43"/>
      <c r="G265" s="43"/>
      <c r="H265" s="48">
        <f>Source!AM97</f>
        <v>284.04000000000002</v>
      </c>
      <c r="I265" s="49">
        <f>ROUND(1.25,7)</f>
        <v>1.25</v>
      </c>
      <c r="J265" s="42">
        <f>ROUND(Source!AD97*Source!I97, 2)</f>
        <v>1065</v>
      </c>
      <c r="K265" s="49"/>
      <c r="L265" s="42"/>
    </row>
    <row r="266" spans="1:56" ht="14.25" x14ac:dyDescent="0.2">
      <c r="A266" s="66"/>
      <c r="B266" s="68">
        <v>2</v>
      </c>
      <c r="C266" s="67" t="s">
        <v>459</v>
      </c>
      <c r="D266" s="47"/>
      <c r="E266" s="43"/>
      <c r="F266" s="43"/>
      <c r="G266" s="43"/>
      <c r="H266" s="48">
        <f>Source!AN97</f>
        <v>30.6</v>
      </c>
      <c r="I266" s="49">
        <f>ROUND(1.25,7)</f>
        <v>1.25</v>
      </c>
      <c r="J266" s="50">
        <f>ROUND(Source!AE97*Source!I97, 2)</f>
        <v>114</v>
      </c>
      <c r="K266" s="49">
        <f>IF(Source!BS97&lt;&gt; 0, Source!BS97, 1)</f>
        <v>35.86</v>
      </c>
      <c r="L266" s="50">
        <f>Source!HI97</f>
        <v>4088.04</v>
      </c>
    </row>
    <row r="267" spans="1:56" ht="14.25" x14ac:dyDescent="0.2">
      <c r="A267" s="66"/>
      <c r="B267" s="68">
        <v>4</v>
      </c>
      <c r="C267" s="67" t="s">
        <v>460</v>
      </c>
      <c r="D267" s="47"/>
      <c r="E267" s="43"/>
      <c r="F267" s="43"/>
      <c r="G267" s="43"/>
      <c r="H267" s="48">
        <f>Source!AL97</f>
        <v>4.88</v>
      </c>
      <c r="I267" s="49"/>
      <c r="J267" s="42">
        <f>ROUND(Source!AC97*Source!I97, 2)</f>
        <v>15</v>
      </c>
      <c r="K267" s="49"/>
      <c r="L267" s="42"/>
    </row>
    <row r="268" spans="1:56" ht="14.25" x14ac:dyDescent="0.2">
      <c r="A268" s="66"/>
      <c r="B268" s="67" t="str">
        <f>EtalonRes!I114</f>
        <v>02.2.05.04</v>
      </c>
      <c r="C268" s="67" t="str">
        <f>EtalonRes!K114</f>
        <v>Щебень известняковый или кирпичный</v>
      </c>
      <c r="D268" s="47" t="str">
        <f>EtalonRes!O114</f>
        <v>м3</v>
      </c>
      <c r="E268" s="43">
        <f>EtalonRes!X114</f>
        <v>17.399999999999999</v>
      </c>
      <c r="F268" s="43"/>
      <c r="G268" s="43">
        <f>ROUND(EtalonRes!AG114*Source!I97, 7)</f>
        <v>52.2</v>
      </c>
      <c r="H268" s="48"/>
      <c r="I268" s="49"/>
      <c r="J268" s="42"/>
      <c r="K268" s="49"/>
      <c r="L268" s="42"/>
    </row>
    <row r="269" spans="1:56" ht="14.25" x14ac:dyDescent="0.2">
      <c r="A269" s="66"/>
      <c r="B269" s="67"/>
      <c r="C269" s="69" t="s">
        <v>461</v>
      </c>
      <c r="D269" s="51" t="s">
        <v>462</v>
      </c>
      <c r="E269" s="52">
        <f>Source!AQ97</f>
        <v>26.24</v>
      </c>
      <c r="F269" s="52">
        <f>ROUND(1.15,7)</f>
        <v>1.1499999999999999</v>
      </c>
      <c r="G269" s="52">
        <f>ROUND(Source!U97, 7)</f>
        <v>90.528000000000006</v>
      </c>
      <c r="H269" s="53"/>
      <c r="I269" s="54"/>
      <c r="J269" s="55"/>
      <c r="K269" s="54"/>
      <c r="L269" s="55"/>
    </row>
    <row r="270" spans="1:56" ht="14.25" x14ac:dyDescent="0.2">
      <c r="A270" s="66"/>
      <c r="B270" s="67"/>
      <c r="C270" s="67" t="s">
        <v>463</v>
      </c>
      <c r="D270" s="47"/>
      <c r="E270" s="43"/>
      <c r="F270" s="43"/>
      <c r="G270" s="43"/>
      <c r="H270" s="48">
        <f>H264+H265+H267</f>
        <v>487.03000000000003</v>
      </c>
      <c r="I270" s="49"/>
      <c r="J270" s="42">
        <f>J264+J265+J267</f>
        <v>1764</v>
      </c>
      <c r="K270" s="49"/>
      <c r="L270" s="42"/>
    </row>
    <row r="271" spans="1:56" ht="14.25" x14ac:dyDescent="0.2">
      <c r="A271" s="66"/>
      <c r="B271" s="67"/>
      <c r="C271" s="67" t="s">
        <v>464</v>
      </c>
      <c r="D271" s="47"/>
      <c r="E271" s="43"/>
      <c r="F271" s="43"/>
      <c r="G271" s="43"/>
      <c r="H271" s="48"/>
      <c r="I271" s="49"/>
      <c r="J271" s="42">
        <f>SUM(Q261:Q274)+SUM(V261:V274)</f>
        <v>798</v>
      </c>
      <c r="K271" s="49"/>
      <c r="L271" s="42">
        <f>SUM(U261:U274)+SUM(W261:W274)</f>
        <v>28616.280000000002</v>
      </c>
    </row>
    <row r="272" spans="1:56" ht="14.25" x14ac:dyDescent="0.2">
      <c r="A272" s="66"/>
      <c r="B272" s="67" t="s">
        <v>474</v>
      </c>
      <c r="C272" s="67" t="s">
        <v>475</v>
      </c>
      <c r="D272" s="47" t="s">
        <v>467</v>
      </c>
      <c r="E272" s="43">
        <f>Source!BZ97</f>
        <v>126</v>
      </c>
      <c r="F272" s="43"/>
      <c r="G272" s="43">
        <f>Source!AT97</f>
        <v>126</v>
      </c>
      <c r="H272" s="48"/>
      <c r="I272" s="49"/>
      <c r="J272" s="42">
        <f>SUM(AC261:AC274)</f>
        <v>1005.48</v>
      </c>
      <c r="K272" s="49"/>
      <c r="L272" s="42">
        <f>SUM(AD261:AD274)</f>
        <v>36056.51</v>
      </c>
    </row>
    <row r="273" spans="1:56" ht="14.25" x14ac:dyDescent="0.2">
      <c r="A273" s="70"/>
      <c r="B273" s="69" t="s">
        <v>476</v>
      </c>
      <c r="C273" s="69" t="s">
        <v>477</v>
      </c>
      <c r="D273" s="51" t="s">
        <v>467</v>
      </c>
      <c r="E273" s="52">
        <f>Source!CA97</f>
        <v>95</v>
      </c>
      <c r="F273" s="52"/>
      <c r="G273" s="52">
        <f>Source!AU97</f>
        <v>95</v>
      </c>
      <c r="H273" s="53"/>
      <c r="I273" s="54"/>
      <c r="J273" s="55">
        <f>SUM(AE261:AE274)</f>
        <v>758.1</v>
      </c>
      <c r="K273" s="54"/>
      <c r="L273" s="55">
        <f>SUM(AF261:AF274)</f>
        <v>27185.47</v>
      </c>
    </row>
    <row r="274" spans="1:56" ht="15" x14ac:dyDescent="0.25">
      <c r="C274" s="106" t="s">
        <v>470</v>
      </c>
      <c r="D274" s="106"/>
      <c r="E274" s="106"/>
      <c r="F274" s="106"/>
      <c r="G274" s="106"/>
      <c r="H274" s="106"/>
      <c r="I274" s="106">
        <f>J264+J265+J267+J272+J273</f>
        <v>3527.58</v>
      </c>
      <c r="J274" s="106"/>
      <c r="O274" s="39">
        <f>I274</f>
        <v>3527.58</v>
      </c>
      <c r="P274">
        <f>K274</f>
        <v>0</v>
      </c>
      <c r="Q274" s="39">
        <f>J264</f>
        <v>684</v>
      </c>
      <c r="R274" s="39">
        <f>J264</f>
        <v>684</v>
      </c>
      <c r="U274" s="39">
        <f>L264</f>
        <v>24528.240000000002</v>
      </c>
      <c r="V274" s="39">
        <f>J266</f>
        <v>114</v>
      </c>
      <c r="W274" s="39">
        <f>L266</f>
        <v>4088.04</v>
      </c>
      <c r="X274" s="39">
        <f>J265</f>
        <v>1065</v>
      </c>
      <c r="Z274" s="39">
        <f>L265</f>
        <v>0</v>
      </c>
      <c r="AB274" s="39">
        <f>J267</f>
        <v>15</v>
      </c>
      <c r="AN274">
        <f>IF(Source!BI97&lt;=1,J264+J265+J267+J272+J273, 0)</f>
        <v>3527.58</v>
      </c>
      <c r="AO274">
        <f>IF(Source!BI97&lt;=1,J267, 0)</f>
        <v>15</v>
      </c>
      <c r="AP274">
        <f>IF(Source!BI97&lt;=1,J265, 0)</f>
        <v>1065</v>
      </c>
      <c r="AQ274">
        <f>IF(Source!BI97&lt;=1,J264, 0)</f>
        <v>684</v>
      </c>
      <c r="AX274">
        <f>IF(Source!BI97=2,J264+J265+J267+J272+J273, 0)</f>
        <v>0</v>
      </c>
      <c r="AY274">
        <f>IF(Source!BI97=2,J267, 0)</f>
        <v>0</v>
      </c>
      <c r="AZ274">
        <f>IF(Source!BI97=2,J265, 0)</f>
        <v>0</v>
      </c>
      <c r="BA274">
        <f>IF(Source!BI97=2,J264, 0)</f>
        <v>0</v>
      </c>
    </row>
    <row r="275" spans="1:56" ht="119.25" x14ac:dyDescent="0.2">
      <c r="A275" s="66" t="str">
        <f>Source!E99</f>
        <v>24</v>
      </c>
      <c r="B275" s="67" t="s">
        <v>517</v>
      </c>
      <c r="C275" s="67" t="s">
        <v>518</v>
      </c>
      <c r="D275" s="47" t="str">
        <f>Source!H99</f>
        <v>100 м2</v>
      </c>
      <c r="E275" s="43">
        <f>Source!K99</f>
        <v>3</v>
      </c>
      <c r="F275" s="43"/>
      <c r="G275" s="43">
        <f>Source!I99</f>
        <v>3</v>
      </c>
      <c r="H275" s="48"/>
      <c r="I275" s="49"/>
      <c r="J275" s="42"/>
      <c r="K275" s="49"/>
      <c r="L275" s="42"/>
      <c r="AC275">
        <f>Source!X99</f>
        <v>22.68</v>
      </c>
      <c r="AD275">
        <f>Source!HK99</f>
        <v>813.3</v>
      </c>
      <c r="AE275">
        <f>Source!Y99</f>
        <v>17.100000000000001</v>
      </c>
      <c r="AF275">
        <f>Source!HL99</f>
        <v>613.21</v>
      </c>
      <c r="AS275">
        <f>IF(Source!BI99&lt;=1,AD275, 0)</f>
        <v>813.3</v>
      </c>
      <c r="AT275">
        <f>IF(Source!BI99&lt;=1,AF275, 0)</f>
        <v>613.21</v>
      </c>
      <c r="BC275">
        <f>IF(Source!BI99=2,AD275, 0)</f>
        <v>0</v>
      </c>
      <c r="BD275">
        <f>IF(Source!BI99=2,AF275, 0)</f>
        <v>0</v>
      </c>
    </row>
    <row r="276" spans="1:56" ht="89.25" x14ac:dyDescent="0.2">
      <c r="B276" s="36" t="str">
        <f>Source!EO99</f>
        <v>Поправка: п.8.7.1</v>
      </c>
      <c r="C276" s="36" t="str">
        <f>Source!CN99</f>
        <v>Поправка: п.8.7.1  Наименование: При выполнении работ в существующих зданиях и сооружениях, аналогичных процессам при новом строительстве (кроме работ по нормам сборника № 46 «Работы при реконструкции зданий и сооружений»)</v>
      </c>
    </row>
    <row r="277" spans="1:56" x14ac:dyDescent="0.2">
      <c r="C277" s="37" t="str">
        <f>"Объем: "&amp;Source!K99&amp;"=300/"&amp;"100"</f>
        <v>Объем: 3=300/100</v>
      </c>
    </row>
    <row r="278" spans="1:56" ht="14.25" x14ac:dyDescent="0.2">
      <c r="A278" s="66"/>
      <c r="B278" s="68">
        <v>1</v>
      </c>
      <c r="C278" s="67" t="s">
        <v>457</v>
      </c>
      <c r="D278" s="47"/>
      <c r="E278" s="43"/>
      <c r="F278" s="43"/>
      <c r="G278" s="43"/>
      <c r="H278" s="48">
        <f>Source!AO99</f>
        <v>4.08</v>
      </c>
      <c r="I278" s="49">
        <f>ROUND(1.15,7)</f>
        <v>1.1499999999999999</v>
      </c>
      <c r="J278" s="42">
        <f>ROUND(Source!AF99*Source!I99, 2)</f>
        <v>15</v>
      </c>
      <c r="K278" s="49">
        <f>IF(Source!BA99&lt;&gt; 0, Source!BA99, 1)</f>
        <v>35.86</v>
      </c>
      <c r="L278" s="42">
        <f>Source!HJ99</f>
        <v>537.9</v>
      </c>
    </row>
    <row r="279" spans="1:56" ht="14.25" x14ac:dyDescent="0.2">
      <c r="A279" s="66"/>
      <c r="B279" s="68">
        <v>3</v>
      </c>
      <c r="C279" s="67" t="s">
        <v>458</v>
      </c>
      <c r="D279" s="47"/>
      <c r="E279" s="43"/>
      <c r="F279" s="43"/>
      <c r="G279" s="43"/>
      <c r="H279" s="48">
        <f>Source!AM99</f>
        <v>9.3699999999999992</v>
      </c>
      <c r="I279" s="49">
        <f>ROUND(1.25,7)</f>
        <v>1.25</v>
      </c>
      <c r="J279" s="42">
        <f>ROUND(Source!AD99*Source!I99, 2)</f>
        <v>36</v>
      </c>
      <c r="K279" s="49"/>
      <c r="L279" s="42"/>
    </row>
    <row r="280" spans="1:56" ht="14.25" x14ac:dyDescent="0.2">
      <c r="A280" s="66"/>
      <c r="B280" s="68">
        <v>2</v>
      </c>
      <c r="C280" s="67" t="s">
        <v>459</v>
      </c>
      <c r="D280" s="47"/>
      <c r="E280" s="43"/>
      <c r="F280" s="43"/>
      <c r="G280" s="43"/>
      <c r="H280" s="48">
        <f>Source!AN99</f>
        <v>0.88</v>
      </c>
      <c r="I280" s="49">
        <f>ROUND(1.25,7)</f>
        <v>1.25</v>
      </c>
      <c r="J280" s="50">
        <f>ROUND(Source!AE99*Source!I99, 2)</f>
        <v>3</v>
      </c>
      <c r="K280" s="49">
        <f>IF(Source!BS99&lt;&gt; 0, Source!BS99, 1)</f>
        <v>35.86</v>
      </c>
      <c r="L280" s="50">
        <f>Source!HI99</f>
        <v>107.58</v>
      </c>
    </row>
    <row r="281" spans="1:56" ht="14.25" x14ac:dyDescent="0.2">
      <c r="A281" s="66"/>
      <c r="B281" s="67" t="str">
        <f>EtalonRes!I118</f>
        <v>02.2.05.04</v>
      </c>
      <c r="C281" s="67" t="str">
        <f>EtalonRes!K118</f>
        <v>Щебень известняковый или кирпичный</v>
      </c>
      <c r="D281" s="47" t="str">
        <f>EtalonRes!O118</f>
        <v>м3</v>
      </c>
      <c r="E281" s="43">
        <f>EtalonRes!X118</f>
        <v>1.5</v>
      </c>
      <c r="F281" s="43"/>
      <c r="G281" s="43">
        <f>ROUND(EtalonRes!AG118*Source!I99, 7)</f>
        <v>4.5</v>
      </c>
      <c r="H281" s="48"/>
      <c r="I281" s="49"/>
      <c r="J281" s="42"/>
      <c r="K281" s="49"/>
      <c r="L281" s="42"/>
    </row>
    <row r="282" spans="1:56" ht="14.25" x14ac:dyDescent="0.2">
      <c r="A282" s="66"/>
      <c r="B282" s="67"/>
      <c r="C282" s="69" t="s">
        <v>461</v>
      </c>
      <c r="D282" s="51" t="s">
        <v>462</v>
      </c>
      <c r="E282" s="52">
        <f>Source!AQ99</f>
        <v>0.54</v>
      </c>
      <c r="F282" s="52">
        <f>ROUND(1.15,7)</f>
        <v>1.1499999999999999</v>
      </c>
      <c r="G282" s="52">
        <f>ROUND(Source!U99, 7)</f>
        <v>1.863</v>
      </c>
      <c r="H282" s="53"/>
      <c r="I282" s="54"/>
      <c r="J282" s="55"/>
      <c r="K282" s="54"/>
      <c r="L282" s="55"/>
    </row>
    <row r="283" spans="1:56" ht="14.25" x14ac:dyDescent="0.2">
      <c r="A283" s="66"/>
      <c r="B283" s="67"/>
      <c r="C283" s="67" t="s">
        <v>463</v>
      </c>
      <c r="D283" s="47"/>
      <c r="E283" s="43"/>
      <c r="F283" s="43"/>
      <c r="G283" s="43"/>
      <c r="H283" s="48">
        <f>H278+H279</f>
        <v>13.45</v>
      </c>
      <c r="I283" s="49"/>
      <c r="J283" s="42">
        <f>J278+J279</f>
        <v>51</v>
      </c>
      <c r="K283" s="49"/>
      <c r="L283" s="42"/>
    </row>
    <row r="284" spans="1:56" ht="14.25" x14ac:dyDescent="0.2">
      <c r="A284" s="66"/>
      <c r="B284" s="67"/>
      <c r="C284" s="67" t="s">
        <v>464</v>
      </c>
      <c r="D284" s="47"/>
      <c r="E284" s="43"/>
      <c r="F284" s="43"/>
      <c r="G284" s="43"/>
      <c r="H284" s="48"/>
      <c r="I284" s="49"/>
      <c r="J284" s="42">
        <f>SUM(Q275:Q287)+SUM(V275:V287)</f>
        <v>18</v>
      </c>
      <c r="K284" s="49"/>
      <c r="L284" s="42">
        <f>SUM(U275:U287)+SUM(W275:W287)</f>
        <v>645.48</v>
      </c>
    </row>
    <row r="285" spans="1:56" ht="14.25" x14ac:dyDescent="0.2">
      <c r="A285" s="66"/>
      <c r="B285" s="67" t="s">
        <v>474</v>
      </c>
      <c r="C285" s="67" t="s">
        <v>475</v>
      </c>
      <c r="D285" s="47" t="s">
        <v>467</v>
      </c>
      <c r="E285" s="43">
        <f>Source!BZ99</f>
        <v>126</v>
      </c>
      <c r="F285" s="43"/>
      <c r="G285" s="43">
        <f>Source!AT99</f>
        <v>126</v>
      </c>
      <c r="H285" s="48"/>
      <c r="I285" s="49"/>
      <c r="J285" s="42">
        <f>SUM(AC275:AC287)</f>
        <v>22.68</v>
      </c>
      <c r="K285" s="49"/>
      <c r="L285" s="42">
        <f>SUM(AD275:AD287)</f>
        <v>813.3</v>
      </c>
    </row>
    <row r="286" spans="1:56" ht="14.25" x14ac:dyDescent="0.2">
      <c r="A286" s="70"/>
      <c r="B286" s="69" t="s">
        <v>476</v>
      </c>
      <c r="C286" s="69" t="s">
        <v>477</v>
      </c>
      <c r="D286" s="51" t="s">
        <v>467</v>
      </c>
      <c r="E286" s="52">
        <f>Source!CA99</f>
        <v>95</v>
      </c>
      <c r="F286" s="52"/>
      <c r="G286" s="52">
        <f>Source!AU99</f>
        <v>95</v>
      </c>
      <c r="H286" s="53"/>
      <c r="I286" s="54"/>
      <c r="J286" s="55">
        <f>SUM(AE275:AE287)</f>
        <v>17.100000000000001</v>
      </c>
      <c r="K286" s="54"/>
      <c r="L286" s="55">
        <f>SUM(AF275:AF287)</f>
        <v>613.21</v>
      </c>
    </row>
    <row r="287" spans="1:56" ht="15" x14ac:dyDescent="0.25">
      <c r="C287" s="106" t="s">
        <v>470</v>
      </c>
      <c r="D287" s="106"/>
      <c r="E287" s="106"/>
      <c r="F287" s="106"/>
      <c r="G287" s="106"/>
      <c r="H287" s="106"/>
      <c r="I287" s="106">
        <f>J278+J279+J285+J286</f>
        <v>90.78</v>
      </c>
      <c r="J287" s="106"/>
      <c r="O287" s="39">
        <f>I287</f>
        <v>90.78</v>
      </c>
      <c r="P287">
        <f>K287</f>
        <v>0</v>
      </c>
      <c r="Q287" s="39">
        <f>J278</f>
        <v>15</v>
      </c>
      <c r="R287" s="39">
        <f>J278</f>
        <v>15</v>
      </c>
      <c r="U287" s="39">
        <f>L278</f>
        <v>537.9</v>
      </c>
      <c r="V287" s="39">
        <f>J280</f>
        <v>3</v>
      </c>
      <c r="W287" s="39">
        <f>L280</f>
        <v>107.58</v>
      </c>
      <c r="X287" s="39">
        <f>J279</f>
        <v>36</v>
      </c>
      <c r="Z287" s="39">
        <f>L279</f>
        <v>0</v>
      </c>
      <c r="AB287">
        <f>0</f>
        <v>0</v>
      </c>
      <c r="AN287">
        <f>IF(Source!BI99&lt;=1,J278+J279+J285+J286, 0)</f>
        <v>90.78</v>
      </c>
      <c r="AO287">
        <f>IF(Source!BI99&lt;=1,0, 0)</f>
        <v>0</v>
      </c>
      <c r="AP287">
        <f>IF(Source!BI99&lt;=1,J279, 0)</f>
        <v>36</v>
      </c>
      <c r="AQ287">
        <f>IF(Source!BI99&lt;=1,J278, 0)</f>
        <v>15</v>
      </c>
      <c r="AX287">
        <f>IF(Source!BI99=2,J278+J279+J285+J286, 0)</f>
        <v>0</v>
      </c>
      <c r="AY287">
        <f>IF(Source!BI99=2,0, 0)</f>
        <v>0</v>
      </c>
      <c r="AZ287">
        <f>IF(Source!BI99=2,J279, 0)</f>
        <v>0</v>
      </c>
      <c r="BA287">
        <f>IF(Source!BI99=2,J278, 0)</f>
        <v>0</v>
      </c>
    </row>
    <row r="288" spans="1:56" ht="42.75" x14ac:dyDescent="0.2">
      <c r="A288" s="66" t="str">
        <f>Source!E101</f>
        <v>25</v>
      </c>
      <c r="B288" s="67" t="s">
        <v>478</v>
      </c>
      <c r="C288" s="67" t="str">
        <f>Source!G101</f>
        <v>Щебень из природного камня для строительных работ марка 600, фракция 20-40 мм</v>
      </c>
      <c r="D288" s="47" t="str">
        <f>Source!H101</f>
        <v>м3</v>
      </c>
      <c r="E288" s="43">
        <f>Source!K101</f>
        <v>56.7</v>
      </c>
      <c r="F288" s="43"/>
      <c r="G288" s="43">
        <f>Source!I101</f>
        <v>56.7</v>
      </c>
      <c r="H288" s="48">
        <f>Source!AL101</f>
        <v>162.33000000000001</v>
      </c>
      <c r="I288" s="49"/>
      <c r="J288" s="42">
        <f>ROUND(Source!AC101*Source!I101, 2)</f>
        <v>9185.4</v>
      </c>
      <c r="K288" s="49"/>
      <c r="L288" s="42"/>
      <c r="AC288">
        <f>Source!X101</f>
        <v>0</v>
      </c>
      <c r="AD288">
        <f>Source!HK101</f>
        <v>0</v>
      </c>
      <c r="AE288">
        <f>Source!Y101</f>
        <v>0</v>
      </c>
      <c r="AF288">
        <f>Source!HL101</f>
        <v>0</v>
      </c>
      <c r="AS288">
        <f>IF(Source!BI101&lt;=1,AD288, 0)</f>
        <v>0</v>
      </c>
      <c r="AT288">
        <f>IF(Source!BI101&lt;=1,AF288, 0)</f>
        <v>0</v>
      </c>
      <c r="BC288">
        <f>IF(Source!BI101=2,AD288, 0)</f>
        <v>0</v>
      </c>
      <c r="BD288">
        <f>IF(Source!BI101=2,AF288, 0)</f>
        <v>0</v>
      </c>
    </row>
    <row r="289" spans="1:56" x14ac:dyDescent="0.2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</row>
    <row r="290" spans="1:56" ht="15" x14ac:dyDescent="0.25">
      <c r="C290" s="106" t="s">
        <v>470</v>
      </c>
      <c r="D290" s="106"/>
      <c r="E290" s="106"/>
      <c r="F290" s="106"/>
      <c r="G290" s="106"/>
      <c r="H290" s="106"/>
      <c r="I290" s="106">
        <f>J288</f>
        <v>9185.4</v>
      </c>
      <c r="J290" s="106"/>
      <c r="O290" s="39">
        <f>I290</f>
        <v>9185.4</v>
      </c>
      <c r="P290">
        <f>K290</f>
        <v>0</v>
      </c>
      <c r="Q290">
        <f>0</f>
        <v>0</v>
      </c>
      <c r="R290">
        <f>0</f>
        <v>0</v>
      </c>
      <c r="U290">
        <f>0</f>
        <v>0</v>
      </c>
      <c r="V290">
        <f>0</f>
        <v>0</v>
      </c>
      <c r="W290">
        <f>0</f>
        <v>0</v>
      </c>
      <c r="X290">
        <f>0</f>
        <v>0</v>
      </c>
      <c r="Z290">
        <f>0</f>
        <v>0</v>
      </c>
      <c r="AB290" s="39">
        <f>I290</f>
        <v>9185.4</v>
      </c>
      <c r="AN290">
        <f>IF(Source!BI101&lt;=1,J288, 0)</f>
        <v>9185.4</v>
      </c>
      <c r="AO290">
        <f>IF(Source!BI101&lt;=1,I290, 0)</f>
        <v>9185.4</v>
      </c>
      <c r="AP290">
        <f>IF(Source!BI101&lt;=1,0, 0)</f>
        <v>0</v>
      </c>
      <c r="AQ290">
        <f>IF(Source!BI101&lt;=1,0, 0)</f>
        <v>0</v>
      </c>
      <c r="AX290">
        <f>IF(Source!BI101=2,J288, 0)</f>
        <v>0</v>
      </c>
      <c r="AY290">
        <f>IF(Source!BI101=2,I290, 0)</f>
        <v>0</v>
      </c>
      <c r="AZ290">
        <f>IF(Source!BI101=2,0, 0)</f>
        <v>0</v>
      </c>
      <c r="BA290">
        <f>IF(Source!BI101=2,0, 0)</f>
        <v>0</v>
      </c>
    </row>
    <row r="291" spans="1:56" ht="147.75" x14ac:dyDescent="0.2">
      <c r="A291" s="66" t="str">
        <f>Source!E102</f>
        <v>26</v>
      </c>
      <c r="B291" s="67" t="s">
        <v>519</v>
      </c>
      <c r="C291" s="67" t="s">
        <v>520</v>
      </c>
      <c r="D291" s="47" t="str">
        <f>Source!H102</f>
        <v>100 м2</v>
      </c>
      <c r="E291" s="43">
        <f>Source!K102</f>
        <v>3</v>
      </c>
      <c r="F291" s="43"/>
      <c r="G291" s="43">
        <f>Source!I102</f>
        <v>3</v>
      </c>
      <c r="H291" s="48"/>
      <c r="I291" s="49"/>
      <c r="J291" s="42"/>
      <c r="K291" s="49"/>
      <c r="L291" s="42"/>
      <c r="AC291">
        <f>Source!X102</f>
        <v>548.1</v>
      </c>
      <c r="AD291">
        <f>Source!HK102</f>
        <v>19654.87</v>
      </c>
      <c r="AE291">
        <f>Source!Y102</f>
        <v>413.25</v>
      </c>
      <c r="AF291">
        <f>Source!HL102</f>
        <v>14819.15</v>
      </c>
      <c r="AS291">
        <f>IF(Source!BI102&lt;=1,AD291, 0)</f>
        <v>19654.87</v>
      </c>
      <c r="AT291">
        <f>IF(Source!BI102&lt;=1,AF291, 0)</f>
        <v>14819.15</v>
      </c>
      <c r="BC291">
        <f>IF(Source!BI102=2,AD291, 0)</f>
        <v>0</v>
      </c>
      <c r="BD291">
        <f>IF(Source!BI102=2,AF291, 0)</f>
        <v>0</v>
      </c>
    </row>
    <row r="292" spans="1:56" ht="89.25" x14ac:dyDescent="0.2">
      <c r="B292" s="36" t="str">
        <f>Source!EO102</f>
        <v>Поправка: п.8.7.1</v>
      </c>
      <c r="C292" s="36" t="str">
        <f>Source!CN102</f>
        <v>Поправка: п.8.7.1  Наименование: При выполнении работ в существующих зданиях и сооружениях, аналогичных процессам при новом строительстве (кроме работ по нормам сборника № 46 «Работы при реконструкции зданий и сооружений»)</v>
      </c>
    </row>
    <row r="293" spans="1:56" x14ac:dyDescent="0.2">
      <c r="C293" s="37" t="str">
        <f>"Объем: "&amp;Source!K102&amp;"=300/"&amp;"100"</f>
        <v>Объем: 3=300/100</v>
      </c>
    </row>
    <row r="294" spans="1:56" ht="14.25" x14ac:dyDescent="0.2">
      <c r="A294" s="66"/>
      <c r="B294" s="68">
        <v>1</v>
      </c>
      <c r="C294" s="67" t="s">
        <v>457</v>
      </c>
      <c r="D294" s="47"/>
      <c r="E294" s="43"/>
      <c r="F294" s="43"/>
      <c r="G294" s="43"/>
      <c r="H294" s="48">
        <f>Source!AO102</f>
        <v>125.34</v>
      </c>
      <c r="I294" s="49">
        <f>ROUND(1.15,7)</f>
        <v>1.1499999999999999</v>
      </c>
      <c r="J294" s="42">
        <f>ROUND(Source!AF102*Source!I102, 2)</f>
        <v>432</v>
      </c>
      <c r="K294" s="49">
        <f>IF(Source!BA102&lt;&gt; 0, Source!BA102, 1)</f>
        <v>35.86</v>
      </c>
      <c r="L294" s="42">
        <f>Source!HJ102</f>
        <v>15491.52</v>
      </c>
    </row>
    <row r="295" spans="1:56" ht="14.25" x14ac:dyDescent="0.2">
      <c r="A295" s="66"/>
      <c r="B295" s="68">
        <v>3</v>
      </c>
      <c r="C295" s="67" t="s">
        <v>458</v>
      </c>
      <c r="D295" s="47"/>
      <c r="E295" s="43"/>
      <c r="F295" s="43"/>
      <c r="G295" s="43"/>
      <c r="H295" s="48">
        <f>Source!AM102</f>
        <v>60.02</v>
      </c>
      <c r="I295" s="49">
        <f>ROUND(1.25,7)</f>
        <v>1.25</v>
      </c>
      <c r="J295" s="42">
        <f>ROUND(Source!AD102*Source!I102, 2)</f>
        <v>225</v>
      </c>
      <c r="K295" s="49"/>
      <c r="L295" s="42"/>
    </row>
    <row r="296" spans="1:56" ht="14.25" x14ac:dyDescent="0.2">
      <c r="A296" s="66"/>
      <c r="B296" s="68">
        <v>2</v>
      </c>
      <c r="C296" s="67" t="s">
        <v>459</v>
      </c>
      <c r="D296" s="47"/>
      <c r="E296" s="43"/>
      <c r="F296" s="43"/>
      <c r="G296" s="43"/>
      <c r="H296" s="48">
        <f>Source!AN102</f>
        <v>0.7</v>
      </c>
      <c r="I296" s="49">
        <f>ROUND(1.25,7)</f>
        <v>1.25</v>
      </c>
      <c r="J296" s="50">
        <f>ROUND(Source!AE102*Source!I102, 2)</f>
        <v>3</v>
      </c>
      <c r="K296" s="49">
        <f>IF(Source!BS102&lt;&gt; 0, Source!BS102, 1)</f>
        <v>35.86</v>
      </c>
      <c r="L296" s="50">
        <f>Source!HI102</f>
        <v>107.58</v>
      </c>
    </row>
    <row r="297" spans="1:56" ht="14.25" x14ac:dyDescent="0.2">
      <c r="A297" s="66"/>
      <c r="B297" s="68">
        <v>4</v>
      </c>
      <c r="C297" s="67" t="s">
        <v>460</v>
      </c>
      <c r="D297" s="47"/>
      <c r="E297" s="43"/>
      <c r="F297" s="43"/>
      <c r="G297" s="43"/>
      <c r="H297" s="48">
        <f>Source!AL102</f>
        <v>127.43</v>
      </c>
      <c r="I297" s="49"/>
      <c r="J297" s="42">
        <f>ROUND(Source!AC102*Source!I102, 2)</f>
        <v>381</v>
      </c>
      <c r="K297" s="49"/>
      <c r="L297" s="42"/>
    </row>
    <row r="298" spans="1:56" ht="28.5" x14ac:dyDescent="0.2">
      <c r="A298" s="66"/>
      <c r="B298" s="67" t="str">
        <f>EtalonRes!I126</f>
        <v>02.3.01.02</v>
      </c>
      <c r="C298" s="67" t="str">
        <f>EtalonRes!K126</f>
        <v>Песок для строительных работ природный</v>
      </c>
      <c r="D298" s="47" t="str">
        <f>EtalonRes!O126</f>
        <v>м3</v>
      </c>
      <c r="E298" s="43">
        <f>EtalonRes!X126</f>
        <v>0.5</v>
      </c>
      <c r="F298" s="43"/>
      <c r="G298" s="43">
        <f>ROUND(EtalonRes!AG126*Source!I102, 7)</f>
        <v>1.5</v>
      </c>
      <c r="H298" s="48"/>
      <c r="I298" s="49"/>
      <c r="J298" s="42"/>
      <c r="K298" s="49"/>
      <c r="L298" s="42"/>
    </row>
    <row r="299" spans="1:56" ht="14.25" x14ac:dyDescent="0.2">
      <c r="A299" s="66"/>
      <c r="B299" s="67" t="str">
        <f>EtalonRes!I127</f>
        <v>04.2.01.04</v>
      </c>
      <c r="C299" s="67" t="str">
        <f>EtalonRes!K127</f>
        <v>Смесь асфальтобетонная</v>
      </c>
      <c r="D299" s="47" t="str">
        <f>EtalonRes!O127</f>
        <v>т</v>
      </c>
      <c r="E299" s="43">
        <f>EtalonRes!X127</f>
        <v>7.14</v>
      </c>
      <c r="F299" s="43"/>
      <c r="G299" s="43">
        <f>ROUND(EtalonRes!AG127*Source!I102, 7)</f>
        <v>21.42</v>
      </c>
      <c r="H299" s="48"/>
      <c r="I299" s="49"/>
      <c r="J299" s="42"/>
      <c r="K299" s="49"/>
      <c r="L299" s="42"/>
    </row>
    <row r="300" spans="1:56" ht="14.25" x14ac:dyDescent="0.2">
      <c r="A300" s="66"/>
      <c r="B300" s="67"/>
      <c r="C300" s="69" t="s">
        <v>461</v>
      </c>
      <c r="D300" s="51" t="s">
        <v>462</v>
      </c>
      <c r="E300" s="52">
        <f>Source!AQ102</f>
        <v>15.12</v>
      </c>
      <c r="F300" s="52">
        <f>ROUND(1.15,7)</f>
        <v>1.1499999999999999</v>
      </c>
      <c r="G300" s="52">
        <f>ROUND(Source!U102, 7)</f>
        <v>52.164000000000001</v>
      </c>
      <c r="H300" s="53"/>
      <c r="I300" s="54"/>
      <c r="J300" s="55"/>
      <c r="K300" s="54"/>
      <c r="L300" s="55"/>
    </row>
    <row r="301" spans="1:56" ht="14.25" x14ac:dyDescent="0.2">
      <c r="A301" s="66"/>
      <c r="B301" s="67"/>
      <c r="C301" s="67" t="s">
        <v>463</v>
      </c>
      <c r="D301" s="47"/>
      <c r="E301" s="43"/>
      <c r="F301" s="43"/>
      <c r="G301" s="43"/>
      <c r="H301" s="48">
        <f>H294+H295+H297</f>
        <v>312.79000000000002</v>
      </c>
      <c r="I301" s="49"/>
      <c r="J301" s="42">
        <f>J294+J295+J297</f>
        <v>1038</v>
      </c>
      <c r="K301" s="49"/>
      <c r="L301" s="42"/>
    </row>
    <row r="302" spans="1:56" ht="14.25" x14ac:dyDescent="0.2">
      <c r="A302" s="66"/>
      <c r="B302" s="67"/>
      <c r="C302" s="67" t="s">
        <v>464</v>
      </c>
      <c r="D302" s="47"/>
      <c r="E302" s="43"/>
      <c r="F302" s="43"/>
      <c r="G302" s="43"/>
      <c r="H302" s="48"/>
      <c r="I302" s="49"/>
      <c r="J302" s="42">
        <f>SUM(Q291:Q305)+SUM(V291:V305)</f>
        <v>435</v>
      </c>
      <c r="K302" s="49"/>
      <c r="L302" s="42">
        <f>SUM(U291:U305)+SUM(W291:W305)</f>
        <v>15599.1</v>
      </c>
    </row>
    <row r="303" spans="1:56" ht="14.25" x14ac:dyDescent="0.2">
      <c r="A303" s="66"/>
      <c r="B303" s="67" t="s">
        <v>474</v>
      </c>
      <c r="C303" s="67" t="s">
        <v>475</v>
      </c>
      <c r="D303" s="47" t="s">
        <v>467</v>
      </c>
      <c r="E303" s="43">
        <f>Source!BZ102</f>
        <v>126</v>
      </c>
      <c r="F303" s="43"/>
      <c r="G303" s="43">
        <f>Source!AT102</f>
        <v>126</v>
      </c>
      <c r="H303" s="48"/>
      <c r="I303" s="49"/>
      <c r="J303" s="42">
        <f>SUM(AC291:AC305)</f>
        <v>548.1</v>
      </c>
      <c r="K303" s="49"/>
      <c r="L303" s="42">
        <f>SUM(AD291:AD305)</f>
        <v>19654.87</v>
      </c>
    </row>
    <row r="304" spans="1:56" ht="14.25" x14ac:dyDescent="0.2">
      <c r="A304" s="70"/>
      <c r="B304" s="69" t="s">
        <v>476</v>
      </c>
      <c r="C304" s="69" t="s">
        <v>477</v>
      </c>
      <c r="D304" s="51" t="s">
        <v>467</v>
      </c>
      <c r="E304" s="52">
        <f>Source!CA102</f>
        <v>95</v>
      </c>
      <c r="F304" s="52"/>
      <c r="G304" s="52">
        <f>Source!AU102</f>
        <v>95</v>
      </c>
      <c r="H304" s="53"/>
      <c r="I304" s="54"/>
      <c r="J304" s="55">
        <f>SUM(AE291:AE305)</f>
        <v>413.25</v>
      </c>
      <c r="K304" s="54"/>
      <c r="L304" s="55">
        <f>SUM(AF291:AF305)</f>
        <v>14819.15</v>
      </c>
    </row>
    <row r="305" spans="1:56" ht="15" x14ac:dyDescent="0.25">
      <c r="C305" s="106" t="s">
        <v>470</v>
      </c>
      <c r="D305" s="106"/>
      <c r="E305" s="106"/>
      <c r="F305" s="106"/>
      <c r="G305" s="106"/>
      <c r="H305" s="106"/>
      <c r="I305" s="106">
        <f>J294+J295+J297+J303+J304</f>
        <v>1999.35</v>
      </c>
      <c r="J305" s="106"/>
      <c r="O305" s="39">
        <f>I305</f>
        <v>1999.35</v>
      </c>
      <c r="P305">
        <f>K305</f>
        <v>0</v>
      </c>
      <c r="Q305" s="39">
        <f>J294</f>
        <v>432</v>
      </c>
      <c r="R305" s="39">
        <f>J294</f>
        <v>432</v>
      </c>
      <c r="U305" s="39">
        <f>L294</f>
        <v>15491.52</v>
      </c>
      <c r="V305" s="39">
        <f>J296</f>
        <v>3</v>
      </c>
      <c r="W305" s="39">
        <f>L296</f>
        <v>107.58</v>
      </c>
      <c r="X305" s="39">
        <f>J295</f>
        <v>225</v>
      </c>
      <c r="Z305" s="39">
        <f>L295</f>
        <v>0</v>
      </c>
      <c r="AB305" s="39">
        <f>J297</f>
        <v>381</v>
      </c>
      <c r="AN305">
        <f>IF(Source!BI102&lt;=1,J294+J295+J297+J303+J304, 0)</f>
        <v>1999.35</v>
      </c>
      <c r="AO305">
        <f>IF(Source!BI102&lt;=1,J297, 0)</f>
        <v>381</v>
      </c>
      <c r="AP305">
        <f>IF(Source!BI102&lt;=1,J295, 0)</f>
        <v>225</v>
      </c>
      <c r="AQ305">
        <f>IF(Source!BI102&lt;=1,J294, 0)</f>
        <v>432</v>
      </c>
      <c r="AX305">
        <f>IF(Source!BI102=2,J294+J295+J297+J303+J304, 0)</f>
        <v>0</v>
      </c>
      <c r="AY305">
        <f>IF(Source!BI102=2,J297, 0)</f>
        <v>0</v>
      </c>
      <c r="AZ305">
        <f>IF(Source!BI102=2,J295, 0)</f>
        <v>0</v>
      </c>
      <c r="BA305">
        <f>IF(Source!BI102=2,J294, 0)</f>
        <v>0</v>
      </c>
    </row>
    <row r="306" spans="1:56" ht="28.5" x14ac:dyDescent="0.2">
      <c r="A306" s="66" t="str">
        <f>Source!E104</f>
        <v>27</v>
      </c>
      <c r="B306" s="67" t="s">
        <v>521</v>
      </c>
      <c r="C306" s="67" t="str">
        <f>Source!G104</f>
        <v>Битумы нефтяные дорожные марки БНД-60/90, БНД 90/130</v>
      </c>
      <c r="D306" s="47" t="str">
        <f>Source!H104</f>
        <v>т</v>
      </c>
      <c r="E306" s="43">
        <f>Source!K104</f>
        <v>-0.18</v>
      </c>
      <c r="F306" s="43"/>
      <c r="G306" s="43">
        <f>Source!I104</f>
        <v>-0.18</v>
      </c>
      <c r="H306" s="48">
        <f>Source!AL104</f>
        <v>2123.75</v>
      </c>
      <c r="I306" s="49"/>
      <c r="J306" s="42">
        <f>ROUND(Source!AC104*Source!I104, 2)</f>
        <v>-382.32</v>
      </c>
      <c r="K306" s="49"/>
      <c r="L306" s="42"/>
      <c r="AC306">
        <f>Source!X104</f>
        <v>0</v>
      </c>
      <c r="AD306">
        <f>Source!HK104</f>
        <v>0</v>
      </c>
      <c r="AE306">
        <f>Source!Y104</f>
        <v>0</v>
      </c>
      <c r="AF306">
        <f>Source!HL104</f>
        <v>0</v>
      </c>
      <c r="AS306">
        <f>IF(Source!BI104&lt;=1,AD306, 0)</f>
        <v>0</v>
      </c>
      <c r="AT306">
        <f>IF(Source!BI104&lt;=1,AF306, 0)</f>
        <v>0</v>
      </c>
      <c r="BC306">
        <f>IF(Source!BI104=2,AD306, 0)</f>
        <v>0</v>
      </c>
      <c r="BD306">
        <f>IF(Source!BI104=2,AF306, 0)</f>
        <v>0</v>
      </c>
    </row>
    <row r="307" spans="1:56" ht="89.25" x14ac:dyDescent="0.2">
      <c r="A307" s="40"/>
      <c r="B307" s="41" t="str">
        <f>Source!EO104</f>
        <v>Поправка: п.8.7.1</v>
      </c>
      <c r="C307" s="41" t="str">
        <f>Source!CN104</f>
        <v>Поправка: п.8.7.1  Наименование: При выполнении работ в существующих зданиях и сооружениях, аналогичных процессам при новом строительстве (кроме работ по нормам сборника № 46 «Работы при реконструкции зданий и сооружений»)</v>
      </c>
      <c r="D307" s="40"/>
      <c r="E307" s="40"/>
      <c r="F307" s="40"/>
      <c r="G307" s="40"/>
      <c r="H307" s="40"/>
      <c r="I307" s="40"/>
      <c r="J307" s="40"/>
      <c r="K307" s="40"/>
      <c r="L307" s="40"/>
    </row>
    <row r="308" spans="1:56" ht="15" x14ac:dyDescent="0.25">
      <c r="C308" s="106" t="s">
        <v>470</v>
      </c>
      <c r="D308" s="106"/>
      <c r="E308" s="106"/>
      <c r="F308" s="106"/>
      <c r="G308" s="106"/>
      <c r="H308" s="106"/>
      <c r="I308" s="106">
        <f>J306</f>
        <v>-382.32</v>
      </c>
      <c r="J308" s="106"/>
      <c r="O308" s="39">
        <f>I308</f>
        <v>-382.32</v>
      </c>
      <c r="P308">
        <f>K308</f>
        <v>0</v>
      </c>
      <c r="Q308">
        <f>0</f>
        <v>0</v>
      </c>
      <c r="R308">
        <f>0</f>
        <v>0</v>
      </c>
      <c r="U308">
        <f>0</f>
        <v>0</v>
      </c>
      <c r="V308">
        <f>0</f>
        <v>0</v>
      </c>
      <c r="W308">
        <f>0</f>
        <v>0</v>
      </c>
      <c r="X308">
        <f>0</f>
        <v>0</v>
      </c>
      <c r="Z308">
        <f>0</f>
        <v>0</v>
      </c>
      <c r="AB308" s="39">
        <f>I308</f>
        <v>-382.32</v>
      </c>
      <c r="AN308">
        <f>IF(Source!BI104&lt;=1,J306, 0)</f>
        <v>-382.32</v>
      </c>
      <c r="AO308">
        <f>IF(Source!BI104&lt;=1,I308, 0)</f>
        <v>-382.32</v>
      </c>
      <c r="AP308">
        <f>IF(Source!BI104&lt;=1,0, 0)</f>
        <v>0</v>
      </c>
      <c r="AQ308">
        <f>IF(Source!BI104&lt;=1,0, 0)</f>
        <v>0</v>
      </c>
      <c r="AX308">
        <f>IF(Source!BI104=2,J306, 0)</f>
        <v>0</v>
      </c>
      <c r="AY308">
        <f>IF(Source!BI104=2,I308, 0)</f>
        <v>0</v>
      </c>
      <c r="AZ308">
        <f>IF(Source!BI104=2,0, 0)</f>
        <v>0</v>
      </c>
      <c r="BA308">
        <f>IF(Source!BI104=2,0, 0)</f>
        <v>0</v>
      </c>
    </row>
    <row r="309" spans="1:56" ht="132" x14ac:dyDescent="0.2">
      <c r="A309" s="66" t="str">
        <f>Source!E105</f>
        <v>28</v>
      </c>
      <c r="B309" s="67" t="s">
        <v>522</v>
      </c>
      <c r="C309" s="67" t="s">
        <v>523</v>
      </c>
      <c r="D309" s="47" t="str">
        <f>Source!H105</f>
        <v>100 м2</v>
      </c>
      <c r="E309" s="43">
        <f>Source!K105</f>
        <v>3</v>
      </c>
      <c r="F309" s="43"/>
      <c r="G309" s="43">
        <f>Source!I105</f>
        <v>3</v>
      </c>
      <c r="H309" s="48"/>
      <c r="I309" s="49"/>
      <c r="J309" s="42"/>
      <c r="K309" s="49"/>
      <c r="L309" s="42"/>
      <c r="AC309">
        <f>Source!X105</f>
        <v>332.64</v>
      </c>
      <c r="AD309">
        <f>Source!HK105</f>
        <v>11928.47</v>
      </c>
      <c r="AE309">
        <f>Source!Y105</f>
        <v>250.8</v>
      </c>
      <c r="AF309">
        <f>Source!HL105</f>
        <v>8993.69</v>
      </c>
      <c r="AS309">
        <f>IF(Source!BI105&lt;=1,AD309, 0)</f>
        <v>11928.47</v>
      </c>
      <c r="AT309">
        <f>IF(Source!BI105&lt;=1,AF309, 0)</f>
        <v>8993.69</v>
      </c>
      <c r="BC309">
        <f>IF(Source!BI105=2,AD309, 0)</f>
        <v>0</v>
      </c>
      <c r="BD309">
        <f>IF(Source!BI105=2,AF309, 0)</f>
        <v>0</v>
      </c>
    </row>
    <row r="310" spans="1:56" ht="89.25" x14ac:dyDescent="0.2">
      <c r="B310" s="36" t="str">
        <f>Source!EO105</f>
        <v>Поправка: п.8.7.1</v>
      </c>
      <c r="C310" s="36" t="str">
        <f>Source!CN105</f>
        <v>Поправка: п.8.7.1  Наименование: При выполнении работ в существующих зданиях и сооружениях, аналогичных процессам при новом строительстве (кроме работ по нормам сборника № 46 «Работы при реконструкции зданий и сооружений»)</v>
      </c>
    </row>
    <row r="311" spans="1:56" x14ac:dyDescent="0.2">
      <c r="C311" s="37" t="str">
        <f>"Объем: "&amp;Source!K105&amp;"=300/"&amp;"100"</f>
        <v>Объем: 3=300/100</v>
      </c>
    </row>
    <row r="312" spans="1:56" ht="14.25" x14ac:dyDescent="0.2">
      <c r="A312" s="66"/>
      <c r="B312" s="68">
        <v>1</v>
      </c>
      <c r="C312" s="67" t="s">
        <v>457</v>
      </c>
      <c r="D312" s="47"/>
      <c r="E312" s="43"/>
      <c r="F312" s="43"/>
      <c r="G312" s="43"/>
      <c r="H312" s="48">
        <f>Source!AO105</f>
        <v>19.23</v>
      </c>
      <c r="I312" s="49">
        <f>ROUND((4)*1.15,7)</f>
        <v>4.5999999999999996</v>
      </c>
      <c r="J312" s="42">
        <f>ROUND(Source!AF105*Source!I105, 2)</f>
        <v>264</v>
      </c>
      <c r="K312" s="49">
        <f>IF(Source!BA105&lt;&gt; 0, Source!BA105, 1)</f>
        <v>35.86</v>
      </c>
      <c r="L312" s="42">
        <f>Source!HJ105</f>
        <v>9467.0400000000009</v>
      </c>
    </row>
    <row r="313" spans="1:56" ht="14.25" x14ac:dyDescent="0.2">
      <c r="A313" s="66"/>
      <c r="B313" s="68">
        <v>3</v>
      </c>
      <c r="C313" s="67" t="s">
        <v>458</v>
      </c>
      <c r="D313" s="47"/>
      <c r="E313" s="43"/>
      <c r="F313" s="43"/>
      <c r="G313" s="43"/>
      <c r="H313" s="48">
        <f>Source!AM105</f>
        <v>8.76</v>
      </c>
      <c r="I313" s="49">
        <f>ROUND(4,7)</f>
        <v>4</v>
      </c>
      <c r="J313" s="42">
        <f>ROUND(Source!AD105*Source!I105, 2)</f>
        <v>105</v>
      </c>
      <c r="K313" s="49"/>
      <c r="L313" s="42"/>
    </row>
    <row r="314" spans="1:56" ht="14.25" x14ac:dyDescent="0.2">
      <c r="A314" s="66"/>
      <c r="B314" s="67" t="str">
        <f>EtalonRes!I130</f>
        <v>04.2.01.04</v>
      </c>
      <c r="C314" s="67" t="str">
        <f>EtalonRes!K130</f>
        <v>Смесь асфальтобетонная</v>
      </c>
      <c r="D314" s="47" t="str">
        <f>EtalonRes!O130</f>
        <v>т</v>
      </c>
      <c r="E314" s="43">
        <f>EtalonRes!X130</f>
        <v>1.21</v>
      </c>
      <c r="F314" s="43">
        <f>ROUND(4,7)</f>
        <v>4</v>
      </c>
      <c r="G314" s="43">
        <f>ROUND(EtalonRes!AG130*Source!I105, 7)</f>
        <v>14.52</v>
      </c>
      <c r="H314" s="48"/>
      <c r="I314" s="49"/>
      <c r="J314" s="42"/>
      <c r="K314" s="49"/>
      <c r="L314" s="42"/>
    </row>
    <row r="315" spans="1:56" ht="14.25" x14ac:dyDescent="0.2">
      <c r="A315" s="66"/>
      <c r="B315" s="67"/>
      <c r="C315" s="69" t="s">
        <v>461</v>
      </c>
      <c r="D315" s="51" t="s">
        <v>462</v>
      </c>
      <c r="E315" s="52">
        <f>Source!AQ105</f>
        <v>2.3199999999999998</v>
      </c>
      <c r="F315" s="52">
        <f>ROUND((4)*1.15,7)</f>
        <v>4.5999999999999996</v>
      </c>
      <c r="G315" s="52">
        <f>ROUND(Source!U105, 7)</f>
        <v>32.015999999999998</v>
      </c>
      <c r="H315" s="53"/>
      <c r="I315" s="54"/>
      <c r="J315" s="55"/>
      <c r="K315" s="54"/>
      <c r="L315" s="55"/>
    </row>
    <row r="316" spans="1:56" ht="14.25" x14ac:dyDescent="0.2">
      <c r="A316" s="66"/>
      <c r="B316" s="67"/>
      <c r="C316" s="67" t="s">
        <v>463</v>
      </c>
      <c r="D316" s="47"/>
      <c r="E316" s="43"/>
      <c r="F316" s="43"/>
      <c r="G316" s="43"/>
      <c r="H316" s="48">
        <f>H312+H313</f>
        <v>27.990000000000002</v>
      </c>
      <c r="I316" s="49"/>
      <c r="J316" s="42">
        <f>J312+J313</f>
        <v>369</v>
      </c>
      <c r="K316" s="49"/>
      <c r="L316" s="42"/>
    </row>
    <row r="317" spans="1:56" ht="14.25" x14ac:dyDescent="0.2">
      <c r="A317" s="66"/>
      <c r="B317" s="67"/>
      <c r="C317" s="67" t="s">
        <v>464</v>
      </c>
      <c r="D317" s="47"/>
      <c r="E317" s="43"/>
      <c r="F317" s="43"/>
      <c r="G317" s="43"/>
      <c r="H317" s="48"/>
      <c r="I317" s="49"/>
      <c r="J317" s="42">
        <f>SUM(Q309:Q320)+SUM(V309:V320)</f>
        <v>264</v>
      </c>
      <c r="K317" s="49"/>
      <c r="L317" s="42">
        <f>SUM(U309:U320)+SUM(W309:W320)</f>
        <v>9467.0400000000009</v>
      </c>
    </row>
    <row r="318" spans="1:56" ht="14.25" x14ac:dyDescent="0.2">
      <c r="A318" s="66"/>
      <c r="B318" s="67" t="s">
        <v>474</v>
      </c>
      <c r="C318" s="67" t="s">
        <v>475</v>
      </c>
      <c r="D318" s="47" t="s">
        <v>467</v>
      </c>
      <c r="E318" s="43">
        <f>Source!BZ105</f>
        <v>126</v>
      </c>
      <c r="F318" s="43"/>
      <c r="G318" s="43">
        <f>Source!AT105</f>
        <v>126</v>
      </c>
      <c r="H318" s="48"/>
      <c r="I318" s="49"/>
      <c r="J318" s="42">
        <f>SUM(AC309:AC320)</f>
        <v>332.64</v>
      </c>
      <c r="K318" s="49"/>
      <c r="L318" s="42">
        <f>SUM(AD309:AD320)</f>
        <v>11928.47</v>
      </c>
    </row>
    <row r="319" spans="1:56" ht="14.25" x14ac:dyDescent="0.2">
      <c r="A319" s="70"/>
      <c r="B319" s="69" t="s">
        <v>476</v>
      </c>
      <c r="C319" s="69" t="s">
        <v>477</v>
      </c>
      <c r="D319" s="51" t="s">
        <v>467</v>
      </c>
      <c r="E319" s="52">
        <f>Source!CA105</f>
        <v>95</v>
      </c>
      <c r="F319" s="52"/>
      <c r="G319" s="52">
        <f>Source!AU105</f>
        <v>95</v>
      </c>
      <c r="H319" s="53"/>
      <c r="I319" s="54"/>
      <c r="J319" s="55">
        <f>SUM(AE309:AE320)</f>
        <v>250.8</v>
      </c>
      <c r="K319" s="54"/>
      <c r="L319" s="55">
        <f>SUM(AF309:AF320)</f>
        <v>8993.69</v>
      </c>
    </row>
    <row r="320" spans="1:56" ht="15" x14ac:dyDescent="0.25">
      <c r="C320" s="106" t="s">
        <v>470</v>
      </c>
      <c r="D320" s="106"/>
      <c r="E320" s="106"/>
      <c r="F320" s="106"/>
      <c r="G320" s="106"/>
      <c r="H320" s="106"/>
      <c r="I320" s="106">
        <f>J312+J313+J318+J319</f>
        <v>952.44</v>
      </c>
      <c r="J320" s="106"/>
      <c r="O320" s="39">
        <f>I320</f>
        <v>952.44</v>
      </c>
      <c r="P320">
        <f>K320</f>
        <v>0</v>
      </c>
      <c r="Q320" s="39">
        <f>J312</f>
        <v>264</v>
      </c>
      <c r="R320" s="39">
        <f>J312</f>
        <v>264</v>
      </c>
      <c r="U320" s="39">
        <f>L312</f>
        <v>9467.0400000000009</v>
      </c>
      <c r="V320">
        <f>0</f>
        <v>0</v>
      </c>
      <c r="W320">
        <f>0</f>
        <v>0</v>
      </c>
      <c r="X320" s="39">
        <f>J313</f>
        <v>105</v>
      </c>
      <c r="Z320" s="39">
        <f>L313</f>
        <v>0</v>
      </c>
      <c r="AB320">
        <f>0</f>
        <v>0</v>
      </c>
      <c r="AN320">
        <f>IF(Source!BI105&lt;=1,J312+J313+J318+J319, 0)</f>
        <v>952.44</v>
      </c>
      <c r="AO320">
        <f>IF(Source!BI105&lt;=1,0, 0)</f>
        <v>0</v>
      </c>
      <c r="AP320">
        <f>IF(Source!BI105&lt;=1,J313, 0)</f>
        <v>105</v>
      </c>
      <c r="AQ320">
        <f>IF(Source!BI105&lt;=1,J312, 0)</f>
        <v>264</v>
      </c>
      <c r="AX320">
        <f>IF(Source!BI105=2,J312+J313+J318+J319, 0)</f>
        <v>0</v>
      </c>
      <c r="AY320">
        <f>IF(Source!BI105=2,0, 0)</f>
        <v>0</v>
      </c>
      <c r="AZ320">
        <f>IF(Source!BI105=2,J313, 0)</f>
        <v>0</v>
      </c>
      <c r="BA320">
        <f>IF(Source!BI105=2,J312, 0)</f>
        <v>0</v>
      </c>
    </row>
    <row r="321" spans="1:56" ht="28.5" x14ac:dyDescent="0.2">
      <c r="A321" s="66" t="str">
        <f>Source!E107</f>
        <v>29</v>
      </c>
      <c r="B321" s="67" t="s">
        <v>492</v>
      </c>
      <c r="C321" s="67" t="str">
        <f>Source!G107</f>
        <v>Эмульсия битумно-катионная, марка ЭБК-3</v>
      </c>
      <c r="D321" s="47" t="str">
        <f>Source!H107</f>
        <v>т</v>
      </c>
      <c r="E321" s="43">
        <f>Source!K107</f>
        <v>0.18</v>
      </c>
      <c r="F321" s="43"/>
      <c r="G321" s="43">
        <f>Source!I107</f>
        <v>0.18</v>
      </c>
      <c r="H321" s="48">
        <f>Source!AL107</f>
        <v>2696.76</v>
      </c>
      <c r="I321" s="49"/>
      <c r="J321" s="42">
        <f>ROUND(Source!AC107*Source!I107, 2)</f>
        <v>485.46</v>
      </c>
      <c r="K321" s="49"/>
      <c r="L321" s="42"/>
      <c r="AC321">
        <f>Source!X107</f>
        <v>0</v>
      </c>
      <c r="AD321">
        <f>Source!HK107</f>
        <v>0</v>
      </c>
      <c r="AE321">
        <f>Source!Y107</f>
        <v>0</v>
      </c>
      <c r="AF321">
        <f>Source!HL107</f>
        <v>0</v>
      </c>
      <c r="AS321">
        <f>IF(Source!BI107&lt;=1,AD321, 0)</f>
        <v>0</v>
      </c>
      <c r="AT321">
        <f>IF(Source!BI107&lt;=1,AF321, 0)</f>
        <v>0</v>
      </c>
      <c r="BC321">
        <f>IF(Source!BI107=2,AD321, 0)</f>
        <v>0</v>
      </c>
      <c r="BD321">
        <f>IF(Source!BI107=2,AF321, 0)</f>
        <v>0</v>
      </c>
    </row>
    <row r="322" spans="1:56" x14ac:dyDescent="0.2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</row>
    <row r="323" spans="1:56" ht="15" x14ac:dyDescent="0.25">
      <c r="C323" s="106" t="s">
        <v>470</v>
      </c>
      <c r="D323" s="106"/>
      <c r="E323" s="106"/>
      <c r="F323" s="106"/>
      <c r="G323" s="106"/>
      <c r="H323" s="106"/>
      <c r="I323" s="106">
        <f>J321</f>
        <v>485.46</v>
      </c>
      <c r="J323" s="106"/>
      <c r="O323" s="39">
        <f>I323</f>
        <v>485.46</v>
      </c>
      <c r="P323">
        <f>K323</f>
        <v>0</v>
      </c>
      <c r="Q323">
        <f>0</f>
        <v>0</v>
      </c>
      <c r="R323">
        <f>0</f>
        <v>0</v>
      </c>
      <c r="U323">
        <f>0</f>
        <v>0</v>
      </c>
      <c r="V323">
        <f>0</f>
        <v>0</v>
      </c>
      <c r="W323">
        <f>0</f>
        <v>0</v>
      </c>
      <c r="X323">
        <f>0</f>
        <v>0</v>
      </c>
      <c r="Z323">
        <f>0</f>
        <v>0</v>
      </c>
      <c r="AB323" s="39">
        <f>I323</f>
        <v>485.46</v>
      </c>
      <c r="AN323">
        <f>IF(Source!BI107&lt;=1,J321, 0)</f>
        <v>485.46</v>
      </c>
      <c r="AO323">
        <f>IF(Source!BI107&lt;=1,I323, 0)</f>
        <v>485.46</v>
      </c>
      <c r="AP323">
        <f>IF(Source!BI107&lt;=1,0, 0)</f>
        <v>0</v>
      </c>
      <c r="AQ323">
        <f>IF(Source!BI107&lt;=1,0, 0)</f>
        <v>0</v>
      </c>
      <c r="AX323">
        <f>IF(Source!BI107=2,J321, 0)</f>
        <v>0</v>
      </c>
      <c r="AY323">
        <f>IF(Source!BI107=2,I323, 0)</f>
        <v>0</v>
      </c>
      <c r="AZ323">
        <f>IF(Source!BI107=2,0, 0)</f>
        <v>0</v>
      </c>
      <c r="BA323">
        <f>IF(Source!BI107=2,0, 0)</f>
        <v>0</v>
      </c>
    </row>
    <row r="324" spans="1:56" ht="71.25" x14ac:dyDescent="0.2">
      <c r="A324" s="66" t="str">
        <f>Source!E108</f>
        <v>30</v>
      </c>
      <c r="B324" s="67" t="s">
        <v>524</v>
      </c>
      <c r="C324" s="67" t="str">
        <f>Source!G108</f>
        <v>Смеси асфальтобетонные дорожные, аэродромные и асфальтобетон (горячие для плотного асфальтобетона мелко и крупнозернистые, песчаные), марка II, тип Г</v>
      </c>
      <c r="D324" s="47" t="str">
        <f>Source!H108</f>
        <v>т</v>
      </c>
      <c r="E324" s="43">
        <f>Source!K108</f>
        <v>42.84</v>
      </c>
      <c r="F324" s="43"/>
      <c r="G324" s="43">
        <f>Source!I108</f>
        <v>42.84</v>
      </c>
      <c r="H324" s="48">
        <f>Source!AL108</f>
        <v>650.54999999999995</v>
      </c>
      <c r="I324" s="49"/>
      <c r="J324" s="42">
        <f>ROUND(Source!AC108*Source!I108, 2)</f>
        <v>27888.84</v>
      </c>
      <c r="K324" s="49"/>
      <c r="L324" s="42"/>
      <c r="AC324">
        <f>Source!X108</f>
        <v>0</v>
      </c>
      <c r="AD324">
        <f>Source!HK108</f>
        <v>0</v>
      </c>
      <c r="AE324">
        <f>Source!Y108</f>
        <v>0</v>
      </c>
      <c r="AF324">
        <f>Source!HL108</f>
        <v>0</v>
      </c>
      <c r="AS324">
        <f>IF(Source!BI108&lt;=1,AD324, 0)</f>
        <v>0</v>
      </c>
      <c r="AT324">
        <f>IF(Source!BI108&lt;=1,AF324, 0)</f>
        <v>0</v>
      </c>
      <c r="BC324">
        <f>IF(Source!BI108=2,AD324, 0)</f>
        <v>0</v>
      </c>
      <c r="BD324">
        <f>IF(Source!BI108=2,AF324, 0)</f>
        <v>0</v>
      </c>
    </row>
    <row r="325" spans="1:56" x14ac:dyDescent="0.2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</row>
    <row r="326" spans="1:56" ht="15" x14ac:dyDescent="0.25">
      <c r="C326" s="106" t="s">
        <v>470</v>
      </c>
      <c r="D326" s="106"/>
      <c r="E326" s="106"/>
      <c r="F326" s="106"/>
      <c r="G326" s="106"/>
      <c r="H326" s="106"/>
      <c r="I326" s="106">
        <f>J324</f>
        <v>27888.84</v>
      </c>
      <c r="J326" s="106"/>
      <c r="O326" s="39">
        <f>I326</f>
        <v>27888.84</v>
      </c>
      <c r="P326">
        <f>K326</f>
        <v>0</v>
      </c>
      <c r="Q326">
        <f>0</f>
        <v>0</v>
      </c>
      <c r="R326">
        <f>0</f>
        <v>0</v>
      </c>
      <c r="U326">
        <f>0</f>
        <v>0</v>
      </c>
      <c r="V326">
        <f>0</f>
        <v>0</v>
      </c>
      <c r="W326">
        <f>0</f>
        <v>0</v>
      </c>
      <c r="X326">
        <f>0</f>
        <v>0</v>
      </c>
      <c r="Z326">
        <f>0</f>
        <v>0</v>
      </c>
      <c r="AB326" s="39">
        <f>I326</f>
        <v>27888.84</v>
      </c>
      <c r="AN326">
        <f>IF(Source!BI108&lt;=1,J324, 0)</f>
        <v>27888.84</v>
      </c>
      <c r="AO326">
        <f>IF(Source!BI108&lt;=1,I326, 0)</f>
        <v>27888.84</v>
      </c>
      <c r="AP326">
        <f>IF(Source!BI108&lt;=1,0, 0)</f>
        <v>0</v>
      </c>
      <c r="AQ326">
        <f>IF(Source!BI108&lt;=1,0, 0)</f>
        <v>0</v>
      </c>
      <c r="AX326">
        <f>IF(Source!BI108=2,J324, 0)</f>
        <v>0</v>
      </c>
      <c r="AY326">
        <f>IF(Source!BI108=2,I326, 0)</f>
        <v>0</v>
      </c>
      <c r="AZ326">
        <f>IF(Source!BI108=2,0, 0)</f>
        <v>0</v>
      </c>
      <c r="BA326">
        <f>IF(Source!BI108=2,0, 0)</f>
        <v>0</v>
      </c>
    </row>
    <row r="327" spans="1:56" ht="105" x14ac:dyDescent="0.2">
      <c r="A327" s="66" t="str">
        <f>Source!E109</f>
        <v>31</v>
      </c>
      <c r="B327" s="67" t="s">
        <v>494</v>
      </c>
      <c r="C327" s="67" t="s">
        <v>495</v>
      </c>
      <c r="D327" s="47" t="str">
        <f>Source!H109</f>
        <v>100 м</v>
      </c>
      <c r="E327" s="43">
        <f>Source!K109</f>
        <v>0.14000000000000001</v>
      </c>
      <c r="F327" s="43"/>
      <c r="G327" s="43">
        <f>Source!I109</f>
        <v>0.14000000000000001</v>
      </c>
      <c r="H327" s="48"/>
      <c r="I327" s="49"/>
      <c r="J327" s="42"/>
      <c r="K327" s="49"/>
      <c r="L327" s="42"/>
      <c r="AC327">
        <f>Source!X109</f>
        <v>118.54</v>
      </c>
      <c r="AD327">
        <f>Source!HK109</f>
        <v>4250.8599999999997</v>
      </c>
      <c r="AE327">
        <f>Source!Y109</f>
        <v>89.38</v>
      </c>
      <c r="AF327">
        <f>Source!HL109</f>
        <v>3205.02</v>
      </c>
      <c r="AS327">
        <f>IF(Source!BI109&lt;=1,AD327, 0)</f>
        <v>4250.8599999999997</v>
      </c>
      <c r="AT327">
        <f>IF(Source!BI109&lt;=1,AF327, 0)</f>
        <v>3205.02</v>
      </c>
      <c r="BC327">
        <f>IF(Source!BI109=2,AD327, 0)</f>
        <v>0</v>
      </c>
      <c r="BD327">
        <f>IF(Source!BI109=2,AF327, 0)</f>
        <v>0</v>
      </c>
    </row>
    <row r="328" spans="1:56" ht="89.25" x14ac:dyDescent="0.2">
      <c r="B328" s="36" t="str">
        <f>Source!EO109</f>
        <v>Поправка: п.8.7.1</v>
      </c>
      <c r="C328" s="36" t="str">
        <f>Source!CN109</f>
        <v>Поправка: п.8.7.1  Наименование: При выполнении работ в существующих зданиях и сооружениях, аналогичных процессам при новом строительстве (кроме работ по нормам сборника № 46 «Работы при реконструкции зданий и сооружений»)</v>
      </c>
    </row>
    <row r="329" spans="1:56" x14ac:dyDescent="0.2">
      <c r="C329" s="37" t="str">
        <f>"Объем: "&amp;Source!K109&amp;"=14/"&amp;"100"</f>
        <v>Объем: 0.14=14/100</v>
      </c>
    </row>
    <row r="330" spans="1:56" ht="14.25" x14ac:dyDescent="0.2">
      <c r="A330" s="66"/>
      <c r="B330" s="68">
        <v>1</v>
      </c>
      <c r="C330" s="67" t="s">
        <v>457</v>
      </c>
      <c r="D330" s="47"/>
      <c r="E330" s="43"/>
      <c r="F330" s="43"/>
      <c r="G330" s="43"/>
      <c r="H330" s="48">
        <f>Source!AO109</f>
        <v>574.4</v>
      </c>
      <c r="I330" s="49">
        <f>ROUND(1.15,7)</f>
        <v>1.1499999999999999</v>
      </c>
      <c r="J330" s="42">
        <f>ROUND(Source!AF109*Source!I109, 2)</f>
        <v>92.54</v>
      </c>
      <c r="K330" s="49">
        <f>IF(Source!BA109&lt;&gt; 0, Source!BA109, 1)</f>
        <v>35.86</v>
      </c>
      <c r="L330" s="42">
        <f>Source!HJ109</f>
        <v>3318.48</v>
      </c>
    </row>
    <row r="331" spans="1:56" ht="14.25" x14ac:dyDescent="0.2">
      <c r="A331" s="66"/>
      <c r="B331" s="68">
        <v>3</v>
      </c>
      <c r="C331" s="67" t="s">
        <v>458</v>
      </c>
      <c r="D331" s="47"/>
      <c r="E331" s="43"/>
      <c r="F331" s="43"/>
      <c r="G331" s="43"/>
      <c r="H331" s="48">
        <f>Source!AM109</f>
        <v>80.150000000000006</v>
      </c>
      <c r="I331" s="49">
        <f>ROUND(1.25,7)</f>
        <v>1.25</v>
      </c>
      <c r="J331" s="42">
        <f>ROUND(Source!AD109*Source!I109, 2)</f>
        <v>14.14</v>
      </c>
      <c r="K331" s="49"/>
      <c r="L331" s="42"/>
    </row>
    <row r="332" spans="1:56" ht="14.25" x14ac:dyDescent="0.2">
      <c r="A332" s="66"/>
      <c r="B332" s="68">
        <v>2</v>
      </c>
      <c r="C332" s="67" t="s">
        <v>459</v>
      </c>
      <c r="D332" s="47"/>
      <c r="E332" s="43"/>
      <c r="F332" s="43"/>
      <c r="G332" s="43"/>
      <c r="H332" s="48">
        <f>Source!AN109</f>
        <v>8.4600000000000009</v>
      </c>
      <c r="I332" s="49">
        <f>ROUND(1.25,7)</f>
        <v>1.25</v>
      </c>
      <c r="J332" s="50">
        <f>ROUND(Source!AE109*Source!I109, 2)</f>
        <v>1.54</v>
      </c>
      <c r="K332" s="49">
        <f>IF(Source!BS109&lt;&gt; 0, Source!BS109, 1)</f>
        <v>35.86</v>
      </c>
      <c r="L332" s="50">
        <f>Source!HI109</f>
        <v>55.22</v>
      </c>
    </row>
    <row r="333" spans="1:56" ht="14.25" x14ac:dyDescent="0.2">
      <c r="A333" s="66"/>
      <c r="B333" s="68">
        <v>4</v>
      </c>
      <c r="C333" s="67" t="s">
        <v>460</v>
      </c>
      <c r="D333" s="47"/>
      <c r="E333" s="43"/>
      <c r="F333" s="43"/>
      <c r="G333" s="43"/>
      <c r="H333" s="48">
        <f>Source!AL109</f>
        <v>4258.09</v>
      </c>
      <c r="I333" s="49"/>
      <c r="J333" s="42">
        <f>ROUND(Source!AC109*Source!I109, 2)</f>
        <v>596.12</v>
      </c>
      <c r="K333" s="49"/>
      <c r="L333" s="42"/>
    </row>
    <row r="334" spans="1:56" ht="14.25" x14ac:dyDescent="0.2">
      <c r="A334" s="66"/>
      <c r="B334" s="67" t="str">
        <f>EtalonRes!I139</f>
        <v>13.2.03.02</v>
      </c>
      <c r="C334" s="67" t="str">
        <f>EtalonRes!K139</f>
        <v>Камни бортовые</v>
      </c>
      <c r="D334" s="47" t="str">
        <f>EtalonRes!O139</f>
        <v>м</v>
      </c>
      <c r="E334" s="43">
        <f>EtalonRes!X139</f>
        <v>100</v>
      </c>
      <c r="F334" s="43"/>
      <c r="G334" s="43">
        <f>ROUND(EtalonRes!AG139*Source!I109, 7)</f>
        <v>14</v>
      </c>
      <c r="H334" s="48"/>
      <c r="I334" s="49"/>
      <c r="J334" s="42"/>
      <c r="K334" s="49"/>
      <c r="L334" s="42"/>
    </row>
    <row r="335" spans="1:56" ht="14.25" x14ac:dyDescent="0.2">
      <c r="A335" s="66"/>
      <c r="B335" s="67"/>
      <c r="C335" s="69" t="s">
        <v>461</v>
      </c>
      <c r="D335" s="51" t="s">
        <v>462</v>
      </c>
      <c r="E335" s="52">
        <f>Source!AQ109</f>
        <v>76.08</v>
      </c>
      <c r="F335" s="52">
        <f>ROUND(1.15,7)</f>
        <v>1.1499999999999999</v>
      </c>
      <c r="G335" s="52">
        <f>ROUND(Source!U109, 7)</f>
        <v>12.24888</v>
      </c>
      <c r="H335" s="53"/>
      <c r="I335" s="54"/>
      <c r="J335" s="55"/>
      <c r="K335" s="54"/>
      <c r="L335" s="55"/>
    </row>
    <row r="336" spans="1:56" ht="14.25" x14ac:dyDescent="0.2">
      <c r="A336" s="66"/>
      <c r="B336" s="67"/>
      <c r="C336" s="67" t="s">
        <v>463</v>
      </c>
      <c r="D336" s="47"/>
      <c r="E336" s="43"/>
      <c r="F336" s="43"/>
      <c r="G336" s="43"/>
      <c r="H336" s="48">
        <f>H330+H331+H333</f>
        <v>4912.6400000000003</v>
      </c>
      <c r="I336" s="49"/>
      <c r="J336" s="42">
        <f>J330+J331+J333</f>
        <v>702.8</v>
      </c>
      <c r="K336" s="49"/>
      <c r="L336" s="42"/>
    </row>
    <row r="337" spans="1:84" ht="14.25" x14ac:dyDescent="0.2">
      <c r="A337" s="66"/>
      <c r="B337" s="67"/>
      <c r="C337" s="67" t="s">
        <v>464</v>
      </c>
      <c r="D337" s="47"/>
      <c r="E337" s="43"/>
      <c r="F337" s="43"/>
      <c r="G337" s="43"/>
      <c r="H337" s="48"/>
      <c r="I337" s="49"/>
      <c r="J337" s="42">
        <f>SUM(Q327:Q340)+SUM(V327:V340)</f>
        <v>94.080000000000013</v>
      </c>
      <c r="K337" s="49"/>
      <c r="L337" s="42">
        <f>SUM(U327:U340)+SUM(W327:W340)</f>
        <v>3373.7</v>
      </c>
    </row>
    <row r="338" spans="1:84" ht="14.25" x14ac:dyDescent="0.2">
      <c r="A338" s="66"/>
      <c r="B338" s="67" t="s">
        <v>474</v>
      </c>
      <c r="C338" s="67" t="s">
        <v>475</v>
      </c>
      <c r="D338" s="47" t="s">
        <v>467</v>
      </c>
      <c r="E338" s="43">
        <f>Source!BZ109</f>
        <v>126</v>
      </c>
      <c r="F338" s="43"/>
      <c r="G338" s="43">
        <f>Source!AT109</f>
        <v>126</v>
      </c>
      <c r="H338" s="48"/>
      <c r="I338" s="49"/>
      <c r="J338" s="42">
        <f>SUM(AC327:AC340)</f>
        <v>118.54</v>
      </c>
      <c r="K338" s="49"/>
      <c r="L338" s="42">
        <f>SUM(AD327:AD340)</f>
        <v>4250.8599999999997</v>
      </c>
    </row>
    <row r="339" spans="1:84" ht="14.25" x14ac:dyDescent="0.2">
      <c r="A339" s="70"/>
      <c r="B339" s="69" t="s">
        <v>476</v>
      </c>
      <c r="C339" s="69" t="s">
        <v>477</v>
      </c>
      <c r="D339" s="51" t="s">
        <v>467</v>
      </c>
      <c r="E339" s="52">
        <f>Source!CA109</f>
        <v>95</v>
      </c>
      <c r="F339" s="52"/>
      <c r="G339" s="52">
        <f>Source!AU109</f>
        <v>95</v>
      </c>
      <c r="H339" s="53"/>
      <c r="I339" s="54"/>
      <c r="J339" s="55">
        <f>SUM(AE327:AE340)</f>
        <v>89.38</v>
      </c>
      <c r="K339" s="54"/>
      <c r="L339" s="55">
        <f>SUM(AF327:AF340)</f>
        <v>3205.02</v>
      </c>
    </row>
    <row r="340" spans="1:84" ht="15" x14ac:dyDescent="0.25">
      <c r="C340" s="106" t="s">
        <v>470</v>
      </c>
      <c r="D340" s="106"/>
      <c r="E340" s="106"/>
      <c r="F340" s="106"/>
      <c r="G340" s="106"/>
      <c r="H340" s="106"/>
      <c r="I340" s="106">
        <f>J330+J331+J333+J338+J339</f>
        <v>910.71999999999991</v>
      </c>
      <c r="J340" s="106"/>
      <c r="O340" s="39">
        <f>I340</f>
        <v>910.71999999999991</v>
      </c>
      <c r="P340">
        <f>K340</f>
        <v>0</v>
      </c>
      <c r="Q340" s="39">
        <f>J330</f>
        <v>92.54</v>
      </c>
      <c r="R340" s="39">
        <f>J330</f>
        <v>92.54</v>
      </c>
      <c r="U340" s="39">
        <f>L330</f>
        <v>3318.48</v>
      </c>
      <c r="V340" s="39">
        <f>J332</f>
        <v>1.54</v>
      </c>
      <c r="W340" s="39">
        <f>L332</f>
        <v>55.22</v>
      </c>
      <c r="X340" s="39">
        <f>J331</f>
        <v>14.14</v>
      </c>
      <c r="Z340" s="39">
        <f>L331</f>
        <v>0</v>
      </c>
      <c r="AB340" s="39">
        <f>J333</f>
        <v>596.12</v>
      </c>
      <c r="AN340">
        <f>IF(Source!BI109&lt;=1,J330+J331+J333+J338+J339, 0)</f>
        <v>910.71999999999991</v>
      </c>
      <c r="AO340">
        <f>IF(Source!BI109&lt;=1,J333, 0)</f>
        <v>596.12</v>
      </c>
      <c r="AP340">
        <f>IF(Source!BI109&lt;=1,J331, 0)</f>
        <v>14.14</v>
      </c>
      <c r="AQ340">
        <f>IF(Source!BI109&lt;=1,J330, 0)</f>
        <v>92.54</v>
      </c>
      <c r="AX340">
        <f>IF(Source!BI109=2,J330+J331+J333+J338+J339, 0)</f>
        <v>0</v>
      </c>
      <c r="AY340">
        <f>IF(Source!BI109=2,J333, 0)</f>
        <v>0</v>
      </c>
      <c r="AZ340">
        <f>IF(Source!BI109=2,J331, 0)</f>
        <v>0</v>
      </c>
      <c r="BA340">
        <f>IF(Source!BI109=2,J330, 0)</f>
        <v>0</v>
      </c>
    </row>
    <row r="341" spans="1:84" ht="42.75" x14ac:dyDescent="0.2">
      <c r="A341" s="66" t="str">
        <f>Source!E110</f>
        <v>32</v>
      </c>
      <c r="B341" s="67" t="s">
        <v>525</v>
      </c>
      <c r="C341" s="67" t="str">
        <f>Source!G110</f>
        <v>Камни бортовые БР 100.20.8 /бетон В22,5 (М300), объем 0,016 м3/ (ГОСТ 6665-91)</v>
      </c>
      <c r="D341" s="47" t="str">
        <f>Source!H110</f>
        <v>шт.</v>
      </c>
      <c r="E341" s="43">
        <f>Source!K110</f>
        <v>7</v>
      </c>
      <c r="F341" s="43"/>
      <c r="G341" s="43">
        <f>Source!I110</f>
        <v>7</v>
      </c>
      <c r="H341" s="48">
        <f>Source!AL110</f>
        <v>22.36</v>
      </c>
      <c r="I341" s="49"/>
      <c r="J341" s="42">
        <f>ROUND(Source!AC110*Source!I110, 2)</f>
        <v>154</v>
      </c>
      <c r="K341" s="49"/>
      <c r="L341" s="42"/>
      <c r="AC341">
        <f>Source!X110</f>
        <v>0</v>
      </c>
      <c r="AD341">
        <f>Source!HK110</f>
        <v>0</v>
      </c>
      <c r="AE341">
        <f>Source!Y110</f>
        <v>0</v>
      </c>
      <c r="AF341">
        <f>Source!HL110</f>
        <v>0</v>
      </c>
      <c r="AS341">
        <f>IF(Source!BI110&lt;=1,AD341, 0)</f>
        <v>0</v>
      </c>
      <c r="AT341">
        <f>IF(Source!BI110&lt;=1,AF341, 0)</f>
        <v>0</v>
      </c>
      <c r="BC341">
        <f>IF(Source!BI110=2,AD341, 0)</f>
        <v>0</v>
      </c>
      <c r="BD341">
        <f>IF(Source!BI110=2,AF341, 0)</f>
        <v>0</v>
      </c>
    </row>
    <row r="342" spans="1:84" x14ac:dyDescent="0.2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</row>
    <row r="343" spans="1:84" ht="15" x14ac:dyDescent="0.25">
      <c r="C343" s="106" t="s">
        <v>470</v>
      </c>
      <c r="D343" s="106"/>
      <c r="E343" s="106"/>
      <c r="F343" s="106"/>
      <c r="G343" s="106"/>
      <c r="H343" s="106"/>
      <c r="I343" s="106">
        <f>J341</f>
        <v>154</v>
      </c>
      <c r="J343" s="106"/>
      <c r="O343" s="39">
        <f>I343</f>
        <v>154</v>
      </c>
      <c r="P343">
        <f>K343</f>
        <v>0</v>
      </c>
      <c r="Q343">
        <f>0</f>
        <v>0</v>
      </c>
      <c r="R343">
        <f>0</f>
        <v>0</v>
      </c>
      <c r="U343">
        <f>0</f>
        <v>0</v>
      </c>
      <c r="V343">
        <f>0</f>
        <v>0</v>
      </c>
      <c r="W343">
        <f>0</f>
        <v>0</v>
      </c>
      <c r="X343">
        <f>0</f>
        <v>0</v>
      </c>
      <c r="Z343">
        <f>0</f>
        <v>0</v>
      </c>
      <c r="AB343" s="39">
        <f>I343</f>
        <v>154</v>
      </c>
      <c r="AN343">
        <f>IF(Source!BI110&lt;=1,J341, 0)</f>
        <v>154</v>
      </c>
      <c r="AO343">
        <f>IF(Source!BI110&lt;=1,I343, 0)</f>
        <v>154</v>
      </c>
      <c r="AP343">
        <f>IF(Source!BI110&lt;=1,0, 0)</f>
        <v>0</v>
      </c>
      <c r="AQ343">
        <f>IF(Source!BI110&lt;=1,0, 0)</f>
        <v>0</v>
      </c>
      <c r="AX343">
        <f>IF(Source!BI110=2,J341, 0)</f>
        <v>0</v>
      </c>
      <c r="AY343">
        <f>IF(Source!BI110=2,I343, 0)</f>
        <v>0</v>
      </c>
      <c r="AZ343">
        <f>IF(Source!BI110=2,0, 0)</f>
        <v>0</v>
      </c>
      <c r="BA343">
        <f>IF(Source!BI110=2,0, 0)</f>
        <v>0</v>
      </c>
    </row>
    <row r="344" spans="1:84" ht="57" x14ac:dyDescent="0.2">
      <c r="A344" s="66" t="str">
        <f>Source!E111</f>
        <v>33</v>
      </c>
      <c r="B344" s="67" t="s">
        <v>526</v>
      </c>
      <c r="C344" s="67" t="str">
        <f>Source!G111</f>
        <v>Перевозка грузов I класса автомобилями-самосвалами грузоподъемностью 10 т работающих вне карьера на расстояние до 50 км</v>
      </c>
      <c r="D344" s="47" t="str">
        <f>Source!H111</f>
        <v>1 Т ГРУЗА</v>
      </c>
      <c r="E344" s="43">
        <f>Source!K111</f>
        <v>270</v>
      </c>
      <c r="F344" s="43"/>
      <c r="G344" s="43">
        <f>Source!I111</f>
        <v>270</v>
      </c>
      <c r="H344" s="48">
        <f>Source!AK111</f>
        <v>26.38</v>
      </c>
      <c r="I344" s="49"/>
      <c r="J344" s="42">
        <f>ROUND(Source!AB111*Source!I111, 2)</f>
        <v>7020</v>
      </c>
      <c r="K344" s="49"/>
      <c r="L344" s="42"/>
      <c r="AC344">
        <f>Source!X111</f>
        <v>0</v>
      </c>
      <c r="AD344">
        <f>Source!HK111</f>
        <v>0</v>
      </c>
      <c r="AE344">
        <f>Source!Y111</f>
        <v>0</v>
      </c>
      <c r="AF344">
        <f>Source!HL111</f>
        <v>0</v>
      </c>
      <c r="AS344">
        <f>IF(Source!BI111&lt;=1,AD344, 0)</f>
        <v>0</v>
      </c>
      <c r="AT344">
        <f>IF(Source!BI111&lt;=1,AF344, 0)</f>
        <v>0</v>
      </c>
      <c r="BC344">
        <f>IF(Source!BI111=2,AD344, 0)</f>
        <v>0</v>
      </c>
      <c r="BD344">
        <f>IF(Source!BI111=2,AF344, 0)</f>
        <v>0</v>
      </c>
    </row>
    <row r="345" spans="1:84" x14ac:dyDescent="0.2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</row>
    <row r="346" spans="1:84" ht="15" x14ac:dyDescent="0.25">
      <c r="C346" s="106" t="s">
        <v>470</v>
      </c>
      <c r="D346" s="106"/>
      <c r="E346" s="106"/>
      <c r="F346" s="106"/>
      <c r="G346" s="106"/>
      <c r="H346" s="106"/>
      <c r="I346" s="106">
        <f>J344</f>
        <v>7020</v>
      </c>
      <c r="J346" s="106"/>
      <c r="O346" s="39">
        <f>I346</f>
        <v>7020</v>
      </c>
      <c r="P346">
        <f>K346</f>
        <v>0</v>
      </c>
      <c r="Q346">
        <f>0</f>
        <v>0</v>
      </c>
      <c r="R346">
        <f>0</f>
        <v>0</v>
      </c>
      <c r="U346">
        <f>0</f>
        <v>0</v>
      </c>
      <c r="V346">
        <f>0</f>
        <v>0</v>
      </c>
      <c r="W346">
        <f>0</f>
        <v>0</v>
      </c>
      <c r="X346">
        <f>0</f>
        <v>0</v>
      </c>
      <c r="Z346">
        <f>0</f>
        <v>0</v>
      </c>
      <c r="AB346">
        <f>0</f>
        <v>0</v>
      </c>
      <c r="AN346">
        <f>IF(Source!BI111&lt;=1,J344, 0)</f>
        <v>7020</v>
      </c>
      <c r="AO346">
        <f>IF(Source!BI111&lt;=1,0, 0)</f>
        <v>0</v>
      </c>
      <c r="AP346">
        <f>IF(Source!BI111&lt;=1,0, 0)</f>
        <v>0</v>
      </c>
      <c r="AQ346">
        <f>IF(Source!BI111&lt;=1,0, 0)</f>
        <v>0</v>
      </c>
      <c r="AX346">
        <f>IF(Source!BI111=2,J344, 0)</f>
        <v>0</v>
      </c>
      <c r="AY346">
        <f>IF(Source!BI111=2,0, 0)</f>
        <v>0</v>
      </c>
      <c r="AZ346">
        <f>IF(Source!BI111=2,0, 0)</f>
        <v>0</v>
      </c>
      <c r="BA346">
        <f>IF(Source!BI111=2,0, 0)</f>
        <v>0</v>
      </c>
    </row>
    <row r="348" spans="1:84" ht="15" x14ac:dyDescent="0.2">
      <c r="A348" s="58"/>
      <c r="B348" s="59"/>
      <c r="C348" s="108" t="s">
        <v>527</v>
      </c>
      <c r="D348" s="108"/>
      <c r="E348" s="108"/>
      <c r="F348" s="108"/>
      <c r="G348" s="108"/>
      <c r="H348" s="108"/>
      <c r="I348" s="60"/>
      <c r="J348" s="61">
        <f>J350+J351+J352+J353</f>
        <v>44648.570000000007</v>
      </c>
      <c r="K348" s="61"/>
      <c r="L348" s="61"/>
      <c r="CF348" s="72" t="s">
        <v>527</v>
      </c>
    </row>
    <row r="349" spans="1:84" ht="14.25" x14ac:dyDescent="0.2">
      <c r="A349" s="62"/>
      <c r="B349" s="63"/>
      <c r="C349" s="111" t="s">
        <v>502</v>
      </c>
      <c r="D349" s="110"/>
      <c r="E349" s="110"/>
      <c r="F349" s="110"/>
      <c r="G349" s="110"/>
      <c r="H349" s="110"/>
      <c r="I349" s="64"/>
      <c r="J349" s="65"/>
      <c r="K349" s="65"/>
      <c r="L349" s="65"/>
    </row>
    <row r="350" spans="1:84" ht="14.25" x14ac:dyDescent="0.2">
      <c r="A350" s="62"/>
      <c r="B350" s="63"/>
      <c r="C350" s="110" t="s">
        <v>503</v>
      </c>
      <c r="D350" s="110"/>
      <c r="E350" s="110"/>
      <c r="F350" s="110"/>
      <c r="G350" s="110"/>
      <c r="H350" s="110"/>
      <c r="I350" s="64"/>
      <c r="J350" s="65">
        <f>SUM(Q229:Q346)</f>
        <v>1703.49</v>
      </c>
      <c r="K350" s="65"/>
      <c r="L350" s="65"/>
    </row>
    <row r="351" spans="1:84" ht="14.25" x14ac:dyDescent="0.2">
      <c r="A351" s="62"/>
      <c r="B351" s="63"/>
      <c r="C351" s="110" t="s">
        <v>504</v>
      </c>
      <c r="D351" s="110"/>
      <c r="E351" s="110"/>
      <c r="F351" s="110"/>
      <c r="G351" s="110"/>
      <c r="H351" s="110"/>
      <c r="I351" s="64"/>
      <c r="J351" s="65">
        <f>Source!F125</f>
        <v>3679.6</v>
      </c>
      <c r="K351" s="65"/>
      <c r="L351" s="65"/>
    </row>
    <row r="352" spans="1:84" ht="14.25" x14ac:dyDescent="0.2">
      <c r="A352" s="62"/>
      <c r="B352" s="63"/>
      <c r="C352" s="110" t="s">
        <v>505</v>
      </c>
      <c r="D352" s="110"/>
      <c r="E352" s="110"/>
      <c r="F352" s="110"/>
      <c r="G352" s="110"/>
      <c r="H352" s="110"/>
      <c r="I352" s="64"/>
      <c r="J352" s="65">
        <f>Source!F116-J357</f>
        <v>39265.480000000003</v>
      </c>
      <c r="K352" s="65"/>
      <c r="L352" s="65"/>
    </row>
    <row r="353" spans="1:12" ht="14.25" hidden="1" customHeight="1" x14ac:dyDescent="0.2">
      <c r="A353" s="62"/>
      <c r="B353" s="63"/>
      <c r="C353" s="110" t="s">
        <v>506</v>
      </c>
      <c r="D353" s="110"/>
      <c r="E353" s="110"/>
      <c r="F353" s="110"/>
      <c r="G353" s="110"/>
      <c r="H353" s="110"/>
      <c r="I353" s="64"/>
      <c r="J353" s="65">
        <f>Source!F138</f>
        <v>0</v>
      </c>
      <c r="K353" s="65"/>
      <c r="L353" s="65"/>
    </row>
    <row r="354" spans="1:12" ht="14.25" x14ac:dyDescent="0.2">
      <c r="A354" s="62"/>
      <c r="B354" s="63"/>
      <c r="C354" s="110" t="s">
        <v>507</v>
      </c>
      <c r="D354" s="110"/>
      <c r="E354" s="110"/>
      <c r="F354" s="110"/>
      <c r="G354" s="110"/>
      <c r="H354" s="110"/>
      <c r="I354" s="64"/>
      <c r="J354" s="65">
        <f>SUM(Q229:Q346)+SUM(V229:V346)</f>
        <v>1949.34</v>
      </c>
      <c r="K354" s="65"/>
      <c r="L354" s="65"/>
    </row>
    <row r="355" spans="1:12" ht="14.25" x14ac:dyDescent="0.2">
      <c r="A355" s="62"/>
      <c r="B355" s="63"/>
      <c r="C355" s="110" t="s">
        <v>508</v>
      </c>
      <c r="D355" s="110"/>
      <c r="E355" s="110"/>
      <c r="F355" s="110"/>
      <c r="G355" s="110"/>
      <c r="H355" s="110"/>
      <c r="I355" s="64"/>
      <c r="J355" s="65">
        <f>Source!F139</f>
        <v>2430.62</v>
      </c>
      <c r="K355" s="65"/>
      <c r="L355" s="65"/>
    </row>
    <row r="356" spans="1:12" ht="14.25" x14ac:dyDescent="0.2">
      <c r="A356" s="62"/>
      <c r="B356" s="63"/>
      <c r="C356" s="110" t="s">
        <v>509</v>
      </c>
      <c r="D356" s="110"/>
      <c r="E356" s="110"/>
      <c r="F356" s="110"/>
      <c r="G356" s="110"/>
      <c r="H356" s="110"/>
      <c r="I356" s="64"/>
      <c r="J356" s="65">
        <f>Source!F140</f>
        <v>1815.05</v>
      </c>
      <c r="K356" s="65"/>
      <c r="L356" s="65"/>
    </row>
    <row r="357" spans="1:12" ht="14.25" hidden="1" customHeight="1" x14ac:dyDescent="0.2">
      <c r="A357" s="62"/>
      <c r="B357" s="63"/>
      <c r="C357" s="110" t="s">
        <v>510</v>
      </c>
      <c r="D357" s="110"/>
      <c r="E357" s="110"/>
      <c r="F357" s="110"/>
      <c r="G357" s="110"/>
      <c r="H357" s="110"/>
      <c r="I357" s="64"/>
      <c r="J357" s="65">
        <f>Source!F122</f>
        <v>0</v>
      </c>
      <c r="K357" s="65"/>
      <c r="L357" s="65"/>
    </row>
    <row r="358" spans="1:12" ht="14.25" hidden="1" customHeight="1" x14ac:dyDescent="0.2">
      <c r="A358" s="62"/>
      <c r="B358" s="63"/>
      <c r="C358" s="110" t="s">
        <v>511</v>
      </c>
      <c r="D358" s="110"/>
      <c r="E358" s="110"/>
      <c r="F358" s="110"/>
      <c r="G358" s="110"/>
      <c r="H358" s="110"/>
      <c r="I358" s="64"/>
      <c r="J358" s="65">
        <f>Source!F132</f>
        <v>0</v>
      </c>
      <c r="K358" s="65"/>
      <c r="L358" s="65"/>
    </row>
    <row r="359" spans="1:12" ht="15" x14ac:dyDescent="0.2">
      <c r="A359" s="58"/>
      <c r="B359" s="59"/>
      <c r="C359" s="108" t="s">
        <v>528</v>
      </c>
      <c r="D359" s="108"/>
      <c r="E359" s="108"/>
      <c r="F359" s="108"/>
      <c r="G359" s="108"/>
      <c r="H359" s="108"/>
      <c r="I359" s="60"/>
      <c r="J359" s="61">
        <f>Source!F141</f>
        <v>57202.239999999998</v>
      </c>
      <c r="K359" s="61"/>
      <c r="L359" s="61"/>
    </row>
    <row r="360" spans="1:12" ht="14.25" hidden="1" customHeight="1" x14ac:dyDescent="0.2">
      <c r="A360" s="62"/>
      <c r="B360" s="63"/>
      <c r="C360" s="111" t="s">
        <v>502</v>
      </c>
      <c r="D360" s="110"/>
      <c r="E360" s="110"/>
      <c r="F360" s="110"/>
      <c r="G360" s="110"/>
      <c r="H360" s="110"/>
      <c r="I360" s="64"/>
      <c r="J360" s="65"/>
      <c r="K360" s="65"/>
      <c r="L360" s="65"/>
    </row>
    <row r="361" spans="1:12" ht="14.25" hidden="1" customHeight="1" x14ac:dyDescent="0.2">
      <c r="A361" s="62"/>
      <c r="B361" s="63"/>
      <c r="C361" s="110" t="s">
        <v>513</v>
      </c>
      <c r="D361" s="110"/>
      <c r="E361" s="110"/>
      <c r="F361" s="110"/>
      <c r="G361" s="110"/>
      <c r="H361" s="110"/>
      <c r="I361" s="64"/>
      <c r="J361" s="65"/>
      <c r="K361" s="65"/>
      <c r="L361" s="65">
        <f>SUM(BS229:BS346)</f>
        <v>0</v>
      </c>
    </row>
    <row r="362" spans="1:12" ht="14.25" hidden="1" customHeight="1" x14ac:dyDescent="0.2">
      <c r="A362" s="62"/>
      <c r="B362" s="63"/>
      <c r="C362" s="110" t="s">
        <v>514</v>
      </c>
      <c r="D362" s="110"/>
      <c r="E362" s="110"/>
      <c r="F362" s="110"/>
      <c r="G362" s="110"/>
      <c r="H362" s="110"/>
      <c r="I362" s="64"/>
      <c r="J362" s="65"/>
      <c r="K362" s="65"/>
      <c r="L362" s="65">
        <f>SUM(BT229:BT346)</f>
        <v>0</v>
      </c>
    </row>
    <row r="364" spans="1:12" ht="15" x14ac:dyDescent="0.2">
      <c r="A364" s="58"/>
      <c r="B364" s="59"/>
      <c r="C364" s="108" t="s">
        <v>529</v>
      </c>
      <c r="D364" s="108"/>
      <c r="E364" s="108"/>
      <c r="F364" s="108"/>
      <c r="G364" s="108"/>
      <c r="H364" s="108"/>
      <c r="I364" s="60"/>
      <c r="J364" s="61"/>
      <c r="K364" s="61"/>
      <c r="L364" s="61"/>
    </row>
    <row r="365" spans="1:12" ht="15" x14ac:dyDescent="0.2">
      <c r="A365" s="58"/>
      <c r="B365" s="59"/>
      <c r="C365" s="108" t="s">
        <v>530</v>
      </c>
      <c r="D365" s="108"/>
      <c r="E365" s="108"/>
      <c r="F365" s="108"/>
      <c r="G365" s="108"/>
      <c r="H365" s="108"/>
      <c r="I365" s="60"/>
      <c r="J365" s="61">
        <f>J367+J368+J369+J370</f>
        <v>459048.83999999997</v>
      </c>
      <c r="K365" s="61"/>
      <c r="L365" s="61">
        <f>L367+L368+L369+L370</f>
        <v>3705004.4099999997</v>
      </c>
    </row>
    <row r="366" spans="1:12" ht="14.25" x14ac:dyDescent="0.2">
      <c r="A366" s="62"/>
      <c r="B366" s="63"/>
      <c r="C366" s="111" t="s">
        <v>502</v>
      </c>
      <c r="D366" s="110"/>
      <c r="E366" s="110"/>
      <c r="F366" s="110"/>
      <c r="G366" s="110"/>
      <c r="H366" s="110"/>
      <c r="I366" s="64"/>
      <c r="J366" s="65"/>
      <c r="K366" s="65"/>
      <c r="L366" s="65"/>
    </row>
    <row r="367" spans="1:12" ht="14.25" x14ac:dyDescent="0.2">
      <c r="A367" s="62"/>
      <c r="B367" s="63"/>
      <c r="C367" s="110" t="s">
        <v>503</v>
      </c>
      <c r="D367" s="110"/>
      <c r="E367" s="110"/>
      <c r="F367" s="110"/>
      <c r="G367" s="110"/>
      <c r="H367" s="110"/>
      <c r="I367" s="64"/>
      <c r="J367" s="65">
        <f>SUM(Q37:Q362)</f>
        <v>6437.5</v>
      </c>
      <c r="K367" s="65"/>
      <c r="L367" s="65">
        <f>SUM(U37:U362)</f>
        <v>230848.74</v>
      </c>
    </row>
    <row r="368" spans="1:12" ht="14.25" x14ac:dyDescent="0.2">
      <c r="A368" s="62"/>
      <c r="B368" s="63" t="str">
        <f>Source!V228</f>
        <v/>
      </c>
      <c r="C368" s="110" t="s">
        <v>504</v>
      </c>
      <c r="D368" s="110"/>
      <c r="E368" s="110"/>
      <c r="F368" s="110"/>
      <c r="G368" s="110"/>
      <c r="H368" s="110"/>
      <c r="I368" s="64"/>
      <c r="J368" s="65">
        <f>SUM(X37:X362)</f>
        <v>55844.909999999996</v>
      </c>
      <c r="K368" s="65">
        <f>Source!E228</f>
        <v>10.63</v>
      </c>
      <c r="L368" s="65">
        <f>ROUND(J368*K368, 2)</f>
        <v>593631.39</v>
      </c>
    </row>
    <row r="369" spans="1:12" ht="14.25" x14ac:dyDescent="0.2">
      <c r="A369" s="62"/>
      <c r="B369" s="63" t="str">
        <f>Source!U228</f>
        <v/>
      </c>
      <c r="C369" s="110" t="s">
        <v>505</v>
      </c>
      <c r="D369" s="110"/>
      <c r="E369" s="110"/>
      <c r="F369" s="110"/>
      <c r="G369" s="110"/>
      <c r="H369" s="110"/>
      <c r="I369" s="64"/>
      <c r="J369" s="65">
        <f>SUM(AB37:AB362)-J374</f>
        <v>396766.43</v>
      </c>
      <c r="K369" s="65">
        <f>Source!D228</f>
        <v>7.26</v>
      </c>
      <c r="L369" s="65">
        <f>ROUND(J369*K369, 2)</f>
        <v>2880524.28</v>
      </c>
    </row>
    <row r="370" spans="1:12" ht="14.25" hidden="1" customHeight="1" x14ac:dyDescent="0.2">
      <c r="A370" s="62"/>
      <c r="B370" s="63" t="str">
        <f>Source!AB228</f>
        <v/>
      </c>
      <c r="C370" s="110" t="s">
        <v>506</v>
      </c>
      <c r="D370" s="110"/>
      <c r="E370" s="110"/>
      <c r="F370" s="110"/>
      <c r="G370" s="110"/>
      <c r="H370" s="110"/>
      <c r="I370" s="64"/>
      <c r="J370" s="65">
        <f>SUM(AR37:AR362)+SUM(BB37:BB362)+SUM(BI37:BI362)+SUM(BP37:BP362)</f>
        <v>0</v>
      </c>
      <c r="K370" s="65">
        <f>Source!L228</f>
        <v>1</v>
      </c>
      <c r="L370" s="65">
        <f>ROUND(J370*K370, 2)</f>
        <v>0</v>
      </c>
    </row>
    <row r="371" spans="1:12" ht="14.25" x14ac:dyDescent="0.2">
      <c r="A371" s="62"/>
      <c r="B371" s="63"/>
      <c r="C371" s="110" t="s">
        <v>531</v>
      </c>
      <c r="D371" s="110"/>
      <c r="E371" s="110"/>
      <c r="F371" s="110"/>
      <c r="G371" s="110"/>
      <c r="H371" s="110"/>
      <c r="I371" s="64"/>
      <c r="J371" s="65">
        <f>SUM(Q37:Q362)+SUM(V37:V362)</f>
        <v>10359.73</v>
      </c>
      <c r="K371" s="65"/>
      <c r="L371" s="65">
        <f>SUM(U37:U362)+SUM(W37:W362)</f>
        <v>371499.89999999997</v>
      </c>
    </row>
    <row r="372" spans="1:12" ht="14.25" x14ac:dyDescent="0.2">
      <c r="A372" s="62"/>
      <c r="B372" s="63"/>
      <c r="C372" s="110" t="s">
        <v>532</v>
      </c>
      <c r="D372" s="110"/>
      <c r="E372" s="110"/>
      <c r="F372" s="110"/>
      <c r="G372" s="110"/>
      <c r="H372" s="110"/>
      <c r="I372" s="64"/>
      <c r="J372" s="65">
        <f>SUM(AC37:AC362)</f>
        <v>12724.81</v>
      </c>
      <c r="K372" s="65"/>
      <c r="L372" s="65">
        <f>SUM(AD37:AD362)</f>
        <v>456311.50999999989</v>
      </c>
    </row>
    <row r="373" spans="1:12" ht="14.25" x14ac:dyDescent="0.2">
      <c r="A373" s="62"/>
      <c r="B373" s="63"/>
      <c r="C373" s="110" t="s">
        <v>533</v>
      </c>
      <c r="D373" s="110"/>
      <c r="E373" s="110"/>
      <c r="F373" s="110"/>
      <c r="G373" s="110"/>
      <c r="H373" s="110"/>
      <c r="I373" s="64"/>
      <c r="J373" s="65">
        <f>SUM(AE37:AE362)</f>
        <v>9368.3799999999992</v>
      </c>
      <c r="K373" s="65"/>
      <c r="L373" s="65">
        <f>SUM(AF37:AF362)</f>
        <v>335950.25</v>
      </c>
    </row>
    <row r="374" spans="1:12" ht="14.25" hidden="1" customHeight="1" x14ac:dyDescent="0.2">
      <c r="A374" s="62"/>
      <c r="B374" s="63" t="str">
        <f>Source!Y228</f>
        <v/>
      </c>
      <c r="C374" s="110" t="s">
        <v>534</v>
      </c>
      <c r="D374" s="110"/>
      <c r="E374" s="110"/>
      <c r="F374" s="110"/>
      <c r="G374" s="110"/>
      <c r="H374" s="110"/>
      <c r="I374" s="64"/>
      <c r="J374" s="65">
        <f>SUM(BH37:BH362)+SUM(BI37:BI362)</f>
        <v>0</v>
      </c>
      <c r="K374" s="65">
        <f>Source!H228</f>
        <v>1</v>
      </c>
      <c r="L374" s="65">
        <f>ROUND(J374*K374, 2)</f>
        <v>0</v>
      </c>
    </row>
    <row r="375" spans="1:12" ht="14.25" hidden="1" customHeight="1" x14ac:dyDescent="0.2">
      <c r="A375" s="62"/>
      <c r="B375" s="63"/>
      <c r="C375" s="110" t="s">
        <v>535</v>
      </c>
      <c r="D375" s="110"/>
      <c r="E375" s="110"/>
      <c r="F375" s="110"/>
      <c r="G375" s="110"/>
      <c r="H375" s="110"/>
      <c r="I375" s="64"/>
      <c r="J375" s="65">
        <f>J378+J377</f>
        <v>0</v>
      </c>
      <c r="K375" s="65"/>
      <c r="L375" s="65">
        <f>ROUND(L378+L377, 2)</f>
        <v>0</v>
      </c>
    </row>
    <row r="376" spans="1:12" ht="14.25" hidden="1" customHeight="1" x14ac:dyDescent="0.2">
      <c r="A376" s="62"/>
      <c r="B376" s="63"/>
      <c r="C376" s="111" t="s">
        <v>502</v>
      </c>
      <c r="D376" s="110"/>
      <c r="E376" s="110"/>
      <c r="F376" s="110"/>
      <c r="G376" s="110"/>
      <c r="H376" s="110"/>
      <c r="I376" s="64"/>
      <c r="J376" s="65"/>
      <c r="K376" s="65"/>
      <c r="L376" s="65"/>
    </row>
    <row r="377" spans="1:12" ht="14.25" hidden="1" customHeight="1" x14ac:dyDescent="0.2">
      <c r="A377" s="62"/>
      <c r="B377" s="63" t="str">
        <f>Source!AA228</f>
        <v/>
      </c>
      <c r="C377" s="110" t="s">
        <v>536</v>
      </c>
      <c r="D377" s="110"/>
      <c r="E377" s="110"/>
      <c r="F377" s="110"/>
      <c r="G377" s="110"/>
      <c r="H377" s="110"/>
      <c r="I377" s="64"/>
      <c r="J377" s="65">
        <f>SUM(BN37:BN362)</f>
        <v>0</v>
      </c>
      <c r="K377" s="65">
        <f>Source!K228</f>
        <v>1</v>
      </c>
      <c r="L377" s="65">
        <f>SUM(BU37:BU362)</f>
        <v>0</v>
      </c>
    </row>
    <row r="378" spans="1:12" ht="14.25" hidden="1" customHeight="1" x14ac:dyDescent="0.2">
      <c r="A378" s="62"/>
      <c r="B378" s="63" t="str">
        <f>Source!Z228</f>
        <v/>
      </c>
      <c r="C378" s="110" t="s">
        <v>537</v>
      </c>
      <c r="D378" s="110"/>
      <c r="E378" s="110"/>
      <c r="F378" s="110"/>
      <c r="G378" s="110"/>
      <c r="H378" s="110"/>
      <c r="I378" s="64"/>
      <c r="J378" s="65">
        <f>SUM(BM37:BM362)</f>
        <v>0</v>
      </c>
      <c r="K378" s="65">
        <f>Source!I228</f>
        <v>1</v>
      </c>
      <c r="L378" s="65">
        <f>ROUND(J378*K378, 2)</f>
        <v>0</v>
      </c>
    </row>
    <row r="379" spans="1:12" ht="15" x14ac:dyDescent="0.2">
      <c r="A379" s="58"/>
      <c r="B379" s="59"/>
      <c r="C379" s="108" t="s">
        <v>529</v>
      </c>
      <c r="D379" s="108"/>
      <c r="E379" s="108"/>
      <c r="F379" s="108"/>
      <c r="G379" s="108"/>
      <c r="H379" s="108"/>
      <c r="I379" s="60"/>
      <c r="J379" s="61">
        <f>J365+J372+J373+J374</f>
        <v>481142.02999999997</v>
      </c>
      <c r="K379" s="61"/>
      <c r="L379" s="61">
        <f>L365+L372+L373+L374</f>
        <v>4497266.17</v>
      </c>
    </row>
    <row r="380" spans="1:12" ht="14.25" hidden="1" customHeight="1" x14ac:dyDescent="0.2">
      <c r="A380" s="62"/>
      <c r="B380" s="63"/>
      <c r="C380" s="111" t="s">
        <v>502</v>
      </c>
      <c r="D380" s="110"/>
      <c r="E380" s="110"/>
      <c r="F380" s="110"/>
      <c r="G380" s="110"/>
      <c r="H380" s="110"/>
      <c r="I380" s="64"/>
      <c r="J380" s="65"/>
      <c r="K380" s="65"/>
      <c r="L380" s="65"/>
    </row>
    <row r="381" spans="1:12" ht="14.25" hidden="1" customHeight="1" x14ac:dyDescent="0.2">
      <c r="A381" s="62"/>
      <c r="B381" s="63"/>
      <c r="C381" s="110" t="s">
        <v>513</v>
      </c>
      <c r="D381" s="110"/>
      <c r="E381" s="110"/>
      <c r="F381" s="110"/>
      <c r="G381" s="110"/>
      <c r="H381" s="110"/>
      <c r="I381" s="64"/>
      <c r="J381" s="65"/>
      <c r="K381" s="65"/>
      <c r="L381" s="65">
        <f>SUM(BS37:BS362)</f>
        <v>0</v>
      </c>
    </row>
    <row r="382" spans="1:12" ht="14.25" hidden="1" customHeight="1" x14ac:dyDescent="0.2">
      <c r="A382" s="62"/>
      <c r="B382" s="63"/>
      <c r="C382" s="110" t="s">
        <v>514</v>
      </c>
      <c r="D382" s="110"/>
      <c r="E382" s="110"/>
      <c r="F382" s="110"/>
      <c r="G382" s="110"/>
      <c r="H382" s="110"/>
      <c r="I382" s="64"/>
      <c r="J382" s="65"/>
      <c r="K382" s="65"/>
      <c r="L382" s="65">
        <f>SUM(BT37:BT362)</f>
        <v>0</v>
      </c>
    </row>
    <row r="383" spans="1:12" ht="14.25" x14ac:dyDescent="0.2">
      <c r="C383" s="103" t="str">
        <f>Source!H172</f>
        <v>НДС 20%</v>
      </c>
      <c r="D383" s="103"/>
      <c r="E383" s="103"/>
      <c r="F383" s="103"/>
      <c r="G383" s="103"/>
      <c r="H383" s="103"/>
      <c r="I383" s="103"/>
      <c r="J383" s="42">
        <f>IF(Source!W172=0, "", Source!W172)</f>
        <v>96228.41</v>
      </c>
      <c r="K383" s="43" t="str">
        <f>IF(OR(Source!X172=0,Source!X172=1), "", Source!X172)</f>
        <v/>
      </c>
      <c r="L383" s="42">
        <f>IF(Source!Y172=0, "", Source!Y172)</f>
        <v>899453.23</v>
      </c>
    </row>
    <row r="384" spans="1:12" ht="15" x14ac:dyDescent="0.25">
      <c r="B384" s="21"/>
      <c r="C384" s="104" t="str">
        <f>Source!H173</f>
        <v>Всего с НДС</v>
      </c>
      <c r="D384" s="104"/>
      <c r="E384" s="104"/>
      <c r="F384" s="104"/>
      <c r="G384" s="104"/>
      <c r="H384" s="104"/>
      <c r="I384" s="104"/>
      <c r="J384" s="57">
        <f>IF(Source!W173=0, "", Source!W173)</f>
        <v>577370.43999999994</v>
      </c>
      <c r="K384" s="56" t="str">
        <f>IF(OR(Source!X173=0,Source!X173=1), "", Source!X173)</f>
        <v/>
      </c>
      <c r="L384" s="57">
        <f>IF(Source!Y173=0, "", Source!Y173)</f>
        <v>5396719.4000000004</v>
      </c>
    </row>
    <row r="387" spans="1:11" ht="14.25" x14ac:dyDescent="0.2">
      <c r="A387" s="105" t="s">
        <v>538</v>
      </c>
      <c r="B387" s="105"/>
      <c r="C387" s="38" t="str">
        <f>IF(Source!AC12&lt;&gt;"", Source!AC12," ")</f>
        <v>вед. инженерПТО по проектно-сметной работе</v>
      </c>
      <c r="D387" s="38"/>
      <c r="E387" s="38"/>
      <c r="F387" s="38"/>
      <c r="G387" s="38"/>
      <c r="H387" s="87" t="str">
        <f>IF(Source!AB12&lt;&gt;"", Source!AB12," ")</f>
        <v>Т.Ф. Петрихина</v>
      </c>
      <c r="I387" s="87"/>
      <c r="J387" s="87"/>
      <c r="K387" s="87"/>
    </row>
    <row r="388" spans="1:11" ht="14.25" x14ac:dyDescent="0.2">
      <c r="A388" s="11"/>
      <c r="B388" s="11"/>
      <c r="C388" s="107"/>
      <c r="D388" s="107"/>
      <c r="E388" s="107"/>
      <c r="F388" s="107"/>
      <c r="G388" s="107"/>
      <c r="H388" s="11"/>
      <c r="I388" s="11"/>
      <c r="J388" s="11"/>
      <c r="K388" s="11"/>
    </row>
    <row r="389" spans="1:11" ht="14.25" x14ac:dyDescent="0.2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</row>
    <row r="390" spans="1:11" ht="14.25" x14ac:dyDescent="0.2">
      <c r="A390" s="105" t="s">
        <v>539</v>
      </c>
      <c r="B390" s="105"/>
      <c r="C390" s="38" t="str">
        <f>IF(Source!AE12&lt;&gt;"", Source!AE12," ")</f>
        <v>начальник ПТО</v>
      </c>
      <c r="D390" s="38"/>
      <c r="E390" s="38"/>
      <c r="F390" s="38"/>
      <c r="G390" s="38"/>
      <c r="H390" s="87" t="str">
        <f>IF(Source!AD12&lt;&gt;"", Source!AD12," ")</f>
        <v>Р.Л. Кравчук</v>
      </c>
      <c r="I390" s="87"/>
      <c r="J390" s="87"/>
      <c r="K390" s="87"/>
    </row>
    <row r="391" spans="1:11" ht="14.25" x14ac:dyDescent="0.2">
      <c r="A391" s="11"/>
      <c r="B391" s="11"/>
      <c r="C391" s="107"/>
      <c r="D391" s="107"/>
      <c r="E391" s="107"/>
      <c r="F391" s="107"/>
      <c r="G391" s="107"/>
      <c r="H391" s="11"/>
      <c r="I391" s="11"/>
      <c r="J391" s="11"/>
      <c r="K391" s="11"/>
    </row>
  </sheetData>
  <mergeCells count="149">
    <mergeCell ref="J1:L1"/>
    <mergeCell ref="C374:H374"/>
    <mergeCell ref="C373:H373"/>
    <mergeCell ref="C372:H372"/>
    <mergeCell ref="C371:H371"/>
    <mergeCell ref="C370:H370"/>
    <mergeCell ref="C354:H354"/>
    <mergeCell ref="C353:H353"/>
    <mergeCell ref="C382:H382"/>
    <mergeCell ref="C381:H381"/>
    <mergeCell ref="C380:H380"/>
    <mergeCell ref="C379:H379"/>
    <mergeCell ref="C378:H378"/>
    <mergeCell ref="C377:H377"/>
    <mergeCell ref="C376:H376"/>
    <mergeCell ref="C375:H375"/>
    <mergeCell ref="C360:H360"/>
    <mergeCell ref="C359:H359"/>
    <mergeCell ref="C358:H358"/>
    <mergeCell ref="C357:H357"/>
    <mergeCell ref="C356:H356"/>
    <mergeCell ref="C355:H355"/>
    <mergeCell ref="I305:J305"/>
    <mergeCell ref="C305:H305"/>
    <mergeCell ref="C369:H369"/>
    <mergeCell ref="C368:H368"/>
    <mergeCell ref="C367:H367"/>
    <mergeCell ref="C366:H366"/>
    <mergeCell ref="C365:H365"/>
    <mergeCell ref="C364:H364"/>
    <mergeCell ref="C362:H362"/>
    <mergeCell ref="C361:H361"/>
    <mergeCell ref="I323:J323"/>
    <mergeCell ref="C323:H323"/>
    <mergeCell ref="I320:J320"/>
    <mergeCell ref="C320:H320"/>
    <mergeCell ref="I308:J308"/>
    <mergeCell ref="C308:H308"/>
    <mergeCell ref="I343:J343"/>
    <mergeCell ref="C343:H343"/>
    <mergeCell ref="I340:J340"/>
    <mergeCell ref="C340:H340"/>
    <mergeCell ref="I326:J326"/>
    <mergeCell ref="C326:H326"/>
    <mergeCell ref="C352:H352"/>
    <mergeCell ref="C351:H351"/>
    <mergeCell ref="C223:H223"/>
    <mergeCell ref="I290:J290"/>
    <mergeCell ref="C290:H290"/>
    <mergeCell ref="I287:J287"/>
    <mergeCell ref="C287:H287"/>
    <mergeCell ref="I274:J274"/>
    <mergeCell ref="C274:H274"/>
    <mergeCell ref="I260:J260"/>
    <mergeCell ref="C260:H260"/>
    <mergeCell ref="I88:J88"/>
    <mergeCell ref="C88:H88"/>
    <mergeCell ref="I74:J74"/>
    <mergeCell ref="C74:H74"/>
    <mergeCell ref="C147:H147"/>
    <mergeCell ref="I132:J132"/>
    <mergeCell ref="C222:H222"/>
    <mergeCell ref="C221:H221"/>
    <mergeCell ref="I245:J245"/>
    <mergeCell ref="C245:H245"/>
    <mergeCell ref="I242:J242"/>
    <mergeCell ref="C242:H242"/>
    <mergeCell ref="A229:L229"/>
    <mergeCell ref="C227:H227"/>
    <mergeCell ref="I166:J166"/>
    <mergeCell ref="C166:H166"/>
    <mergeCell ref="C196:H196"/>
    <mergeCell ref="I193:J193"/>
    <mergeCell ref="C193:H193"/>
    <mergeCell ref="I183:J183"/>
    <mergeCell ref="C183:H183"/>
    <mergeCell ref="I180:J180"/>
    <mergeCell ref="C180:H180"/>
    <mergeCell ref="C226:H226"/>
    <mergeCell ref="C388:G388"/>
    <mergeCell ref="A390:B390"/>
    <mergeCell ref="H390:K390"/>
    <mergeCell ref="C391:G391"/>
    <mergeCell ref="I163:J163"/>
    <mergeCell ref="C163:H163"/>
    <mergeCell ref="C213:H213"/>
    <mergeCell ref="I211:J211"/>
    <mergeCell ref="C211:H211"/>
    <mergeCell ref="I196:J196"/>
    <mergeCell ref="C220:H220"/>
    <mergeCell ref="C219:H219"/>
    <mergeCell ref="C218:H218"/>
    <mergeCell ref="C217:H217"/>
    <mergeCell ref="C216:H216"/>
    <mergeCell ref="C215:H215"/>
    <mergeCell ref="C214:H214"/>
    <mergeCell ref="C350:H350"/>
    <mergeCell ref="C349:H349"/>
    <mergeCell ref="C348:H348"/>
    <mergeCell ref="I346:J346"/>
    <mergeCell ref="C346:H346"/>
    <mergeCell ref="C225:H225"/>
    <mergeCell ref="C224:H224"/>
    <mergeCell ref="L32:L35"/>
    <mergeCell ref="C383:I383"/>
    <mergeCell ref="C384:I384"/>
    <mergeCell ref="A387:B387"/>
    <mergeCell ref="H387:K387"/>
    <mergeCell ref="I160:J160"/>
    <mergeCell ref="C160:H160"/>
    <mergeCell ref="I147:J147"/>
    <mergeCell ref="C132:H132"/>
    <mergeCell ref="I119:J119"/>
    <mergeCell ref="C119:H119"/>
    <mergeCell ref="I106:J106"/>
    <mergeCell ref="C106:H106"/>
    <mergeCell ref="I51:J51"/>
    <mergeCell ref="C51:H51"/>
    <mergeCell ref="A38:L38"/>
    <mergeCell ref="I71:J71"/>
    <mergeCell ref="C71:H71"/>
    <mergeCell ref="I68:J68"/>
    <mergeCell ref="C68:H68"/>
    <mergeCell ref="I54:J54"/>
    <mergeCell ref="C54:H54"/>
    <mergeCell ref="I91:J91"/>
    <mergeCell ref="C91:H91"/>
    <mergeCell ref="G3:K3"/>
    <mergeCell ref="G6:K6"/>
    <mergeCell ref="D27:E27"/>
    <mergeCell ref="D28:E28"/>
    <mergeCell ref="D29:E29"/>
    <mergeCell ref="D30:E30"/>
    <mergeCell ref="A32:A35"/>
    <mergeCell ref="B32:B35"/>
    <mergeCell ref="C32:C35"/>
    <mergeCell ref="D32:D35"/>
    <mergeCell ref="E32:G34"/>
    <mergeCell ref="H32:J34"/>
    <mergeCell ref="K32:K35"/>
    <mergeCell ref="B11:K11"/>
    <mergeCell ref="B13:K13"/>
    <mergeCell ref="B14:K14"/>
    <mergeCell ref="C19:G19"/>
    <mergeCell ref="C20:G20"/>
    <mergeCell ref="D24:E24"/>
    <mergeCell ref="B8:K8"/>
    <mergeCell ref="B9:K9"/>
    <mergeCell ref="G4:K4"/>
  </mergeCells>
  <pageMargins left="0.4" right="0.2" top="0.2" bottom="0.4" header="0.2" footer="0.2"/>
  <pageSetup paperSize="9" scale="51" fitToHeight="0" orientation="portrait" verticalDpi="0" r:id="rId1"/>
  <headerFooter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232"/>
  <sheetViews>
    <sheetView workbookViewId="0">
      <selection activeCell="A228" sqref="A228:AN228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53092</v>
      </c>
      <c r="M1">
        <v>10</v>
      </c>
      <c r="N1">
        <v>11</v>
      </c>
      <c r="O1">
        <v>3</v>
      </c>
      <c r="P1">
        <v>2</v>
      </c>
      <c r="Q1">
        <v>5</v>
      </c>
    </row>
    <row r="12" spans="1:133" x14ac:dyDescent="0.2">
      <c r="A12" s="1">
        <v>1</v>
      </c>
      <c r="B12" s="1">
        <v>227</v>
      </c>
      <c r="C12" s="1">
        <v>0</v>
      </c>
      <c r="D12" s="1">
        <f>ROW(A175)</f>
        <v>175</v>
      </c>
      <c r="E12" s="1">
        <v>0</v>
      </c>
      <c r="F12" s="1" t="s">
        <v>4</v>
      </c>
      <c r="G12" s="1" t="s">
        <v>5</v>
      </c>
      <c r="H12" s="1" t="s">
        <v>3</v>
      </c>
      <c r="I12" s="1">
        <v>0</v>
      </c>
      <c r="J12" s="1" t="s">
        <v>3</v>
      </c>
      <c r="K12" s="1">
        <v>0</v>
      </c>
      <c r="L12" s="1">
        <v>0</v>
      </c>
      <c r="M12" s="1">
        <v>131078</v>
      </c>
      <c r="N12" s="1"/>
      <c r="O12" s="1">
        <v>0</v>
      </c>
      <c r="P12" s="1">
        <v>0</v>
      </c>
      <c r="Q12" s="1">
        <v>0</v>
      </c>
      <c r="R12" s="1">
        <v>0</v>
      </c>
      <c r="S12" s="1"/>
      <c r="T12" s="1">
        <v>3</v>
      </c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6</v>
      </c>
      <c r="AC12" s="1" t="s">
        <v>7</v>
      </c>
      <c r="AD12" s="1" t="s">
        <v>8</v>
      </c>
      <c r="AE12" s="1" t="s">
        <v>9</v>
      </c>
      <c r="AF12" s="1" t="s">
        <v>10</v>
      </c>
      <c r="AG12" s="1" t="s">
        <v>11</v>
      </c>
      <c r="AH12" s="1" t="s">
        <v>10</v>
      </c>
      <c r="AI12" s="1" t="s">
        <v>11</v>
      </c>
      <c r="AJ12" s="1" t="s">
        <v>12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13</v>
      </c>
      <c r="AY12" s="1" t="s">
        <v>3</v>
      </c>
      <c r="AZ12" s="1" t="s">
        <v>3</v>
      </c>
      <c r="BA12" s="1"/>
      <c r="BB12" s="1">
        <v>2</v>
      </c>
      <c r="BC12" s="1"/>
      <c r="BD12" s="1"/>
      <c r="BE12" s="1"/>
      <c r="BF12" s="1"/>
      <c r="BG12" s="1"/>
      <c r="BH12" s="1" t="s">
        <v>14</v>
      </c>
      <c r="BI12" s="1" t="s">
        <v>15</v>
      </c>
      <c r="BJ12" s="1">
        <v>1</v>
      </c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0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16</v>
      </c>
      <c r="BZ12" s="1" t="s">
        <v>17</v>
      </c>
      <c r="CA12" s="1" t="s">
        <v>16</v>
      </c>
      <c r="CB12" s="1" t="s">
        <v>16</v>
      </c>
      <c r="CC12" s="1" t="s">
        <v>16</v>
      </c>
      <c r="CD12" s="1" t="s">
        <v>16</v>
      </c>
      <c r="CE12" s="1" t="s">
        <v>18</v>
      </c>
      <c r="CF12" s="1">
        <v>0</v>
      </c>
      <c r="CG12" s="1">
        <v>0</v>
      </c>
      <c r="CH12" s="1">
        <v>405602312</v>
      </c>
      <c r="CI12" s="1" t="s">
        <v>3</v>
      </c>
      <c r="CJ12" s="1" t="s">
        <v>3</v>
      </c>
      <c r="CK12" s="1">
        <v>0</v>
      </c>
      <c r="CL12" s="1" t="s">
        <v>19</v>
      </c>
      <c r="CM12" s="1" t="s">
        <v>20</v>
      </c>
      <c r="CN12" s="1">
        <v>43006</v>
      </c>
      <c r="CO12" s="1">
        <v>853</v>
      </c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45" x14ac:dyDescent="0.2">
      <c r="A18" s="2">
        <v>52</v>
      </c>
      <c r="B18" s="2">
        <f t="shared" ref="B18:G18" si="0">B175</f>
        <v>227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24.09.21</v>
      </c>
      <c r="G18" s="2" t="str">
        <f t="shared" si="0"/>
        <v>сентябрь)Восстановление дорожного покрытия после проведения аварийных ремонтных работ на сетях теплоснабжения ГУП РК "Крымтеплокоммунэнерго" на 2021г._(Копия)</v>
      </c>
      <c r="H18" s="2"/>
      <c r="I18" s="2"/>
      <c r="J18" s="2"/>
      <c r="K18" s="2"/>
      <c r="L18" s="2"/>
      <c r="M18" s="2"/>
      <c r="N18" s="2"/>
      <c r="O18" s="2">
        <f t="shared" ref="O18:AT18" si="1">O175</f>
        <v>459048.84</v>
      </c>
      <c r="P18" s="2">
        <f t="shared" si="1"/>
        <v>396766.43</v>
      </c>
      <c r="Q18" s="2">
        <f t="shared" si="1"/>
        <v>55844.91</v>
      </c>
      <c r="R18" s="2">
        <f t="shared" si="1"/>
        <v>3922.23</v>
      </c>
      <c r="S18" s="2">
        <f t="shared" si="1"/>
        <v>6437.5</v>
      </c>
      <c r="T18" s="2">
        <f t="shared" si="1"/>
        <v>0</v>
      </c>
      <c r="U18" s="2">
        <f t="shared" si="1"/>
        <v>837.1282369999999</v>
      </c>
      <c r="V18" s="2">
        <f t="shared" si="1"/>
        <v>26.31737</v>
      </c>
      <c r="W18" s="2">
        <f t="shared" si="1"/>
        <v>0</v>
      </c>
      <c r="X18" s="2">
        <f t="shared" si="1"/>
        <v>12724.81</v>
      </c>
      <c r="Y18" s="2">
        <f t="shared" si="1"/>
        <v>9368.3799999999992</v>
      </c>
      <c r="Z18" s="2">
        <f t="shared" si="1"/>
        <v>0</v>
      </c>
      <c r="AA18" s="2">
        <f t="shared" si="1"/>
        <v>0</v>
      </c>
      <c r="AB18" s="2">
        <f t="shared" si="1"/>
        <v>0</v>
      </c>
      <c r="AC18" s="2">
        <f t="shared" si="1"/>
        <v>0</v>
      </c>
      <c r="AD18" s="2">
        <f t="shared" si="1"/>
        <v>0</v>
      </c>
      <c r="AE18" s="2">
        <f t="shared" si="1"/>
        <v>0</v>
      </c>
      <c r="AF18" s="2">
        <f t="shared" si="1"/>
        <v>0</v>
      </c>
      <c r="AG18" s="2">
        <f t="shared" si="1"/>
        <v>0</v>
      </c>
      <c r="AH18" s="2">
        <f t="shared" si="1"/>
        <v>0</v>
      </c>
      <c r="AI18" s="2">
        <f t="shared" si="1"/>
        <v>0</v>
      </c>
      <c r="AJ18" s="2">
        <f t="shared" si="1"/>
        <v>0</v>
      </c>
      <c r="AK18" s="2">
        <f t="shared" si="1"/>
        <v>0</v>
      </c>
      <c r="AL18" s="2">
        <f t="shared" si="1"/>
        <v>0</v>
      </c>
      <c r="AM18" s="2">
        <f t="shared" si="1"/>
        <v>0</v>
      </c>
      <c r="AN18" s="2">
        <f t="shared" si="1"/>
        <v>0</v>
      </c>
      <c r="AO18" s="2">
        <f t="shared" si="1"/>
        <v>0</v>
      </c>
      <c r="AP18" s="2">
        <f t="shared" si="1"/>
        <v>0</v>
      </c>
      <c r="AQ18" s="2">
        <f t="shared" si="1"/>
        <v>0</v>
      </c>
      <c r="AR18" s="2">
        <f t="shared" si="1"/>
        <v>504696.03</v>
      </c>
      <c r="AS18" s="2">
        <f t="shared" si="1"/>
        <v>504696.03</v>
      </c>
      <c r="AT18" s="2">
        <f t="shared" si="1"/>
        <v>0</v>
      </c>
      <c r="AU18" s="2">
        <f t="shared" ref="AU18:BZ18" si="2">AU175</f>
        <v>0</v>
      </c>
      <c r="AV18" s="2">
        <f t="shared" si="2"/>
        <v>396766.43</v>
      </c>
      <c r="AW18" s="2">
        <f t="shared" si="2"/>
        <v>396766.43</v>
      </c>
      <c r="AX18" s="2">
        <f t="shared" si="2"/>
        <v>0</v>
      </c>
      <c r="AY18" s="2">
        <f t="shared" si="2"/>
        <v>396766.43</v>
      </c>
      <c r="AZ18" s="2">
        <f t="shared" si="2"/>
        <v>0</v>
      </c>
      <c r="BA18" s="2">
        <f t="shared" si="2"/>
        <v>0</v>
      </c>
      <c r="BB18" s="2">
        <f t="shared" si="2"/>
        <v>0</v>
      </c>
      <c r="BC18" s="2">
        <f t="shared" si="2"/>
        <v>0</v>
      </c>
      <c r="BD18" s="2">
        <f t="shared" si="2"/>
        <v>0</v>
      </c>
      <c r="BE18" s="2">
        <f t="shared" si="2"/>
        <v>0</v>
      </c>
      <c r="BF18" s="2">
        <f t="shared" si="2"/>
        <v>0</v>
      </c>
      <c r="BG18" s="2">
        <f t="shared" si="2"/>
        <v>0</v>
      </c>
      <c r="BH18" s="2">
        <f t="shared" si="2"/>
        <v>0</v>
      </c>
      <c r="BI18" s="2">
        <f t="shared" si="2"/>
        <v>0</v>
      </c>
      <c r="BJ18" s="2">
        <f t="shared" si="2"/>
        <v>0</v>
      </c>
      <c r="BK18" s="2">
        <f t="shared" si="2"/>
        <v>0</v>
      </c>
      <c r="BL18" s="2">
        <f t="shared" si="2"/>
        <v>0</v>
      </c>
      <c r="BM18" s="2">
        <f t="shared" si="2"/>
        <v>0</v>
      </c>
      <c r="BN18" s="2">
        <f t="shared" si="2"/>
        <v>0</v>
      </c>
      <c r="BO18" s="2">
        <f t="shared" si="2"/>
        <v>0</v>
      </c>
      <c r="BP18" s="2">
        <f t="shared" si="2"/>
        <v>0</v>
      </c>
      <c r="BQ18" s="2">
        <f t="shared" si="2"/>
        <v>0</v>
      </c>
      <c r="BR18" s="2">
        <f t="shared" si="2"/>
        <v>0</v>
      </c>
      <c r="BS18" s="2">
        <f t="shared" si="2"/>
        <v>0</v>
      </c>
      <c r="BT18" s="2">
        <f t="shared" si="2"/>
        <v>0</v>
      </c>
      <c r="BU18" s="2">
        <f t="shared" si="2"/>
        <v>0</v>
      </c>
      <c r="BV18" s="2">
        <f t="shared" si="2"/>
        <v>0</v>
      </c>
      <c r="BW18" s="2">
        <f t="shared" si="2"/>
        <v>0</v>
      </c>
      <c r="BX18" s="2">
        <f t="shared" si="2"/>
        <v>0</v>
      </c>
      <c r="BY18" s="2">
        <f t="shared" si="2"/>
        <v>0</v>
      </c>
      <c r="BZ18" s="2">
        <f t="shared" si="2"/>
        <v>0</v>
      </c>
      <c r="CA18" s="2">
        <f t="shared" ref="CA18:DF18" si="3">CA175</f>
        <v>0</v>
      </c>
      <c r="CB18" s="2">
        <f t="shared" si="3"/>
        <v>0</v>
      </c>
      <c r="CC18" s="2">
        <f t="shared" si="3"/>
        <v>0</v>
      </c>
      <c r="CD18" s="2">
        <f t="shared" si="3"/>
        <v>0</v>
      </c>
      <c r="CE18" s="2">
        <f t="shared" si="3"/>
        <v>0</v>
      </c>
      <c r="CF18" s="2">
        <f t="shared" si="3"/>
        <v>0</v>
      </c>
      <c r="CG18" s="2">
        <f t="shared" si="3"/>
        <v>0</v>
      </c>
      <c r="CH18" s="2">
        <f t="shared" si="3"/>
        <v>0</v>
      </c>
      <c r="CI18" s="2">
        <f t="shared" si="3"/>
        <v>0</v>
      </c>
      <c r="CJ18" s="2">
        <f t="shared" si="3"/>
        <v>0</v>
      </c>
      <c r="CK18" s="2">
        <f t="shared" si="3"/>
        <v>0</v>
      </c>
      <c r="CL18" s="2">
        <f t="shared" si="3"/>
        <v>0</v>
      </c>
      <c r="CM18" s="2">
        <f t="shared" si="3"/>
        <v>0</v>
      </c>
      <c r="CN18" s="2">
        <f t="shared" si="3"/>
        <v>0</v>
      </c>
      <c r="CO18" s="2">
        <f t="shared" si="3"/>
        <v>0</v>
      </c>
      <c r="CP18" s="2">
        <f t="shared" si="3"/>
        <v>0</v>
      </c>
      <c r="CQ18" s="2">
        <f t="shared" si="3"/>
        <v>0</v>
      </c>
      <c r="CR18" s="2">
        <f t="shared" si="3"/>
        <v>0</v>
      </c>
      <c r="CS18" s="2">
        <f t="shared" si="3"/>
        <v>0</v>
      </c>
      <c r="CT18" s="2">
        <f t="shared" si="3"/>
        <v>0</v>
      </c>
      <c r="CU18" s="2">
        <f t="shared" si="3"/>
        <v>0</v>
      </c>
      <c r="CV18" s="2">
        <f t="shared" si="3"/>
        <v>0</v>
      </c>
      <c r="CW18" s="2">
        <f t="shared" si="3"/>
        <v>0</v>
      </c>
      <c r="CX18" s="2">
        <f t="shared" si="3"/>
        <v>0</v>
      </c>
      <c r="CY18" s="2">
        <f t="shared" si="3"/>
        <v>0</v>
      </c>
      <c r="CZ18" s="2">
        <f t="shared" si="3"/>
        <v>0</v>
      </c>
      <c r="DA18" s="2">
        <f t="shared" si="3"/>
        <v>0</v>
      </c>
      <c r="DB18" s="2">
        <f t="shared" si="3"/>
        <v>0</v>
      </c>
      <c r="DC18" s="2">
        <f t="shared" si="3"/>
        <v>0</v>
      </c>
      <c r="DD18" s="2">
        <f t="shared" si="3"/>
        <v>0</v>
      </c>
      <c r="DE18" s="2">
        <f t="shared" si="3"/>
        <v>0</v>
      </c>
      <c r="DF18" s="2">
        <f t="shared" si="3"/>
        <v>0</v>
      </c>
      <c r="DG18" s="3">
        <f t="shared" ref="DG18:EL18" si="4">DG175</f>
        <v>0</v>
      </c>
      <c r="DH18" s="3">
        <f t="shared" si="4"/>
        <v>0</v>
      </c>
      <c r="DI18" s="3">
        <f t="shared" si="4"/>
        <v>0</v>
      </c>
      <c r="DJ18" s="3">
        <f t="shared" si="4"/>
        <v>0</v>
      </c>
      <c r="DK18" s="3">
        <f t="shared" si="4"/>
        <v>0</v>
      </c>
      <c r="DL18" s="3">
        <f t="shared" si="4"/>
        <v>0</v>
      </c>
      <c r="DM18" s="3">
        <f t="shared" si="4"/>
        <v>0</v>
      </c>
      <c r="DN18" s="3">
        <f t="shared" si="4"/>
        <v>0</v>
      </c>
      <c r="DO18" s="3">
        <f t="shared" si="4"/>
        <v>0</v>
      </c>
      <c r="DP18" s="3">
        <f t="shared" si="4"/>
        <v>0</v>
      </c>
      <c r="DQ18" s="3">
        <f t="shared" si="4"/>
        <v>0</v>
      </c>
      <c r="DR18" s="3">
        <f t="shared" si="4"/>
        <v>0</v>
      </c>
      <c r="DS18" s="3">
        <f t="shared" si="4"/>
        <v>0</v>
      </c>
      <c r="DT18" s="3">
        <f t="shared" si="4"/>
        <v>0</v>
      </c>
      <c r="DU18" s="3">
        <f t="shared" si="4"/>
        <v>0</v>
      </c>
      <c r="DV18" s="3">
        <f t="shared" si="4"/>
        <v>0</v>
      </c>
      <c r="DW18" s="3">
        <f t="shared" si="4"/>
        <v>0</v>
      </c>
      <c r="DX18" s="3">
        <f t="shared" si="4"/>
        <v>0</v>
      </c>
      <c r="DY18" s="3">
        <f t="shared" si="4"/>
        <v>0</v>
      </c>
      <c r="DZ18" s="3">
        <f t="shared" si="4"/>
        <v>0</v>
      </c>
      <c r="EA18" s="3">
        <f t="shared" si="4"/>
        <v>0</v>
      </c>
      <c r="EB18" s="3">
        <f t="shared" si="4"/>
        <v>0</v>
      </c>
      <c r="EC18" s="3">
        <f t="shared" si="4"/>
        <v>0</v>
      </c>
      <c r="ED18" s="3">
        <f t="shared" si="4"/>
        <v>0</v>
      </c>
      <c r="EE18" s="3">
        <f t="shared" si="4"/>
        <v>0</v>
      </c>
      <c r="EF18" s="3">
        <f t="shared" si="4"/>
        <v>0</v>
      </c>
      <c r="EG18" s="3">
        <f t="shared" si="4"/>
        <v>0</v>
      </c>
      <c r="EH18" s="3">
        <f t="shared" si="4"/>
        <v>0</v>
      </c>
      <c r="EI18" s="3">
        <f t="shared" si="4"/>
        <v>0</v>
      </c>
      <c r="EJ18" s="3">
        <f t="shared" si="4"/>
        <v>0</v>
      </c>
      <c r="EK18" s="3">
        <f t="shared" si="4"/>
        <v>0</v>
      </c>
      <c r="EL18" s="3">
        <f t="shared" si="4"/>
        <v>0</v>
      </c>
      <c r="EM18" s="3">
        <f t="shared" ref="EM18:FR18" si="5">EM175</f>
        <v>0</v>
      </c>
      <c r="EN18" s="3">
        <f t="shared" si="5"/>
        <v>0</v>
      </c>
      <c r="EO18" s="3">
        <f t="shared" si="5"/>
        <v>0</v>
      </c>
      <c r="EP18" s="3">
        <f t="shared" si="5"/>
        <v>0</v>
      </c>
      <c r="EQ18" s="3">
        <f t="shared" si="5"/>
        <v>0</v>
      </c>
      <c r="ER18" s="3">
        <f t="shared" si="5"/>
        <v>0</v>
      </c>
      <c r="ES18" s="3">
        <f t="shared" si="5"/>
        <v>0</v>
      </c>
      <c r="ET18" s="3">
        <f t="shared" si="5"/>
        <v>0</v>
      </c>
      <c r="EU18" s="3">
        <f t="shared" si="5"/>
        <v>0</v>
      </c>
      <c r="EV18" s="3">
        <f t="shared" si="5"/>
        <v>0</v>
      </c>
      <c r="EW18" s="3">
        <f t="shared" si="5"/>
        <v>0</v>
      </c>
      <c r="EX18" s="3">
        <f t="shared" si="5"/>
        <v>0</v>
      </c>
      <c r="EY18" s="3">
        <f t="shared" si="5"/>
        <v>0</v>
      </c>
      <c r="EZ18" s="3">
        <f t="shared" si="5"/>
        <v>0</v>
      </c>
      <c r="FA18" s="3">
        <f t="shared" si="5"/>
        <v>0</v>
      </c>
      <c r="FB18" s="3">
        <f t="shared" si="5"/>
        <v>0</v>
      </c>
      <c r="FC18" s="3">
        <f t="shared" si="5"/>
        <v>0</v>
      </c>
      <c r="FD18" s="3">
        <f t="shared" si="5"/>
        <v>0</v>
      </c>
      <c r="FE18" s="3">
        <f t="shared" si="5"/>
        <v>0</v>
      </c>
      <c r="FF18" s="3">
        <f t="shared" si="5"/>
        <v>0</v>
      </c>
      <c r="FG18" s="3">
        <f t="shared" si="5"/>
        <v>0</v>
      </c>
      <c r="FH18" s="3">
        <f t="shared" si="5"/>
        <v>0</v>
      </c>
      <c r="FI18" s="3">
        <f t="shared" si="5"/>
        <v>0</v>
      </c>
      <c r="FJ18" s="3">
        <f t="shared" si="5"/>
        <v>0</v>
      </c>
      <c r="FK18" s="3">
        <f t="shared" si="5"/>
        <v>0</v>
      </c>
      <c r="FL18" s="3">
        <f t="shared" si="5"/>
        <v>0</v>
      </c>
      <c r="FM18" s="3">
        <f t="shared" si="5"/>
        <v>0</v>
      </c>
      <c r="FN18" s="3">
        <f t="shared" si="5"/>
        <v>0</v>
      </c>
      <c r="FO18" s="3">
        <f t="shared" si="5"/>
        <v>0</v>
      </c>
      <c r="FP18" s="3">
        <f t="shared" si="5"/>
        <v>0</v>
      </c>
      <c r="FQ18" s="3">
        <f t="shared" si="5"/>
        <v>0</v>
      </c>
      <c r="FR18" s="3">
        <f t="shared" si="5"/>
        <v>0</v>
      </c>
      <c r="FS18" s="3">
        <f t="shared" ref="FS18:GX18" si="6">FS175</f>
        <v>0</v>
      </c>
      <c r="FT18" s="3">
        <f t="shared" si="6"/>
        <v>0</v>
      </c>
      <c r="FU18" s="3">
        <f t="shared" si="6"/>
        <v>0</v>
      </c>
      <c r="FV18" s="3">
        <f t="shared" si="6"/>
        <v>0</v>
      </c>
      <c r="FW18" s="3">
        <f t="shared" si="6"/>
        <v>0</v>
      </c>
      <c r="FX18" s="3">
        <f t="shared" si="6"/>
        <v>0</v>
      </c>
      <c r="FY18" s="3">
        <f t="shared" si="6"/>
        <v>0</v>
      </c>
      <c r="FZ18" s="3">
        <f t="shared" si="6"/>
        <v>0</v>
      </c>
      <c r="GA18" s="3">
        <f t="shared" si="6"/>
        <v>0</v>
      </c>
      <c r="GB18" s="3">
        <f t="shared" si="6"/>
        <v>0</v>
      </c>
      <c r="GC18" s="3">
        <f t="shared" si="6"/>
        <v>0</v>
      </c>
      <c r="GD18" s="3">
        <f t="shared" si="6"/>
        <v>0</v>
      </c>
      <c r="GE18" s="3">
        <f t="shared" si="6"/>
        <v>0</v>
      </c>
      <c r="GF18" s="3">
        <f t="shared" si="6"/>
        <v>0</v>
      </c>
      <c r="GG18" s="3">
        <f t="shared" si="6"/>
        <v>0</v>
      </c>
      <c r="GH18" s="3">
        <f t="shared" si="6"/>
        <v>0</v>
      </c>
      <c r="GI18" s="3">
        <f t="shared" si="6"/>
        <v>0</v>
      </c>
      <c r="GJ18" s="3">
        <f t="shared" si="6"/>
        <v>0</v>
      </c>
      <c r="GK18" s="3">
        <f t="shared" si="6"/>
        <v>0</v>
      </c>
      <c r="GL18" s="3">
        <f t="shared" si="6"/>
        <v>0</v>
      </c>
      <c r="GM18" s="3">
        <f t="shared" si="6"/>
        <v>0</v>
      </c>
      <c r="GN18" s="3">
        <f t="shared" si="6"/>
        <v>0</v>
      </c>
      <c r="GO18" s="3">
        <f t="shared" si="6"/>
        <v>0</v>
      </c>
      <c r="GP18" s="3">
        <f t="shared" si="6"/>
        <v>0</v>
      </c>
      <c r="GQ18" s="3">
        <f t="shared" si="6"/>
        <v>0</v>
      </c>
      <c r="GR18" s="3">
        <f t="shared" si="6"/>
        <v>0</v>
      </c>
      <c r="GS18" s="3">
        <f t="shared" si="6"/>
        <v>0</v>
      </c>
      <c r="GT18" s="3">
        <f t="shared" si="6"/>
        <v>0</v>
      </c>
      <c r="GU18" s="3">
        <f t="shared" si="6"/>
        <v>0</v>
      </c>
      <c r="GV18" s="3">
        <f t="shared" si="6"/>
        <v>0</v>
      </c>
      <c r="GW18" s="3">
        <f t="shared" si="6"/>
        <v>0</v>
      </c>
      <c r="GX18" s="3">
        <f t="shared" si="6"/>
        <v>0</v>
      </c>
    </row>
    <row r="20" spans="1:245" x14ac:dyDescent="0.2">
      <c r="A20" s="1">
        <v>3</v>
      </c>
      <c r="B20" s="1">
        <v>1</v>
      </c>
      <c r="C20" s="1"/>
      <c r="D20" s="1">
        <f>ROW(A143)</f>
        <v>143</v>
      </c>
      <c r="E20" s="1"/>
      <c r="F20" s="1" t="s">
        <v>3</v>
      </c>
      <c r="G20" s="1" t="s">
        <v>21</v>
      </c>
      <c r="H20" s="1" t="s">
        <v>3</v>
      </c>
      <c r="I20" s="1">
        <v>0</v>
      </c>
      <c r="J20" s="1" t="s">
        <v>3</v>
      </c>
      <c r="K20" s="1">
        <v>-1</v>
      </c>
      <c r="L20" s="1" t="s">
        <v>3</v>
      </c>
      <c r="M20" s="1" t="s">
        <v>3</v>
      </c>
      <c r="N20" s="1"/>
      <c r="O20" s="1"/>
      <c r="P20" s="1"/>
      <c r="Q20" s="1"/>
      <c r="R20" s="1"/>
      <c r="S20" s="1">
        <v>29836453</v>
      </c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6</v>
      </c>
      <c r="AC20" s="1" t="s">
        <v>7</v>
      </c>
      <c r="AD20" s="1" t="s">
        <v>8</v>
      </c>
      <c r="AE20" s="1" t="s">
        <v>9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  <c r="CK20" t="s">
        <v>3</v>
      </c>
      <c r="CL20" t="s">
        <v>3</v>
      </c>
      <c r="CM20" t="s">
        <v>3</v>
      </c>
      <c r="CN20" t="s">
        <v>3</v>
      </c>
      <c r="CO20" t="s">
        <v>3</v>
      </c>
      <c r="CP20" t="s">
        <v>3</v>
      </c>
      <c r="CQ20" t="s">
        <v>3</v>
      </c>
    </row>
    <row r="22" spans="1:245" x14ac:dyDescent="0.2">
      <c r="A22" s="2">
        <v>52</v>
      </c>
      <c r="B22" s="2">
        <f t="shared" ref="B22:G22" si="7">B143</f>
        <v>1</v>
      </c>
      <c r="C22" s="2">
        <f t="shared" si="7"/>
        <v>3</v>
      </c>
      <c r="D22" s="2">
        <f t="shared" si="7"/>
        <v>20</v>
      </c>
      <c r="E22" s="2">
        <f t="shared" si="7"/>
        <v>0</v>
      </c>
      <c r="F22" s="2" t="str">
        <f t="shared" si="7"/>
        <v/>
      </c>
      <c r="G22" s="2" t="str">
        <f t="shared" si="7"/>
        <v>восстановление асфальтобетонного покрытия после разрытий</v>
      </c>
      <c r="H22" s="2"/>
      <c r="I22" s="2"/>
      <c r="J22" s="2"/>
      <c r="K22" s="2"/>
      <c r="L22" s="2"/>
      <c r="M22" s="2"/>
      <c r="N22" s="2"/>
      <c r="O22" s="2">
        <f t="shared" ref="O22:AT22" si="8">O143</f>
        <v>459048.84</v>
      </c>
      <c r="P22" s="2">
        <f t="shared" si="8"/>
        <v>396766.43</v>
      </c>
      <c r="Q22" s="2">
        <f t="shared" si="8"/>
        <v>55844.91</v>
      </c>
      <c r="R22" s="2">
        <f t="shared" si="8"/>
        <v>3922.23</v>
      </c>
      <c r="S22" s="2">
        <f t="shared" si="8"/>
        <v>6437.5</v>
      </c>
      <c r="T22" s="2">
        <f t="shared" si="8"/>
        <v>0</v>
      </c>
      <c r="U22" s="2">
        <f t="shared" si="8"/>
        <v>837.1282369999999</v>
      </c>
      <c r="V22" s="2">
        <f t="shared" si="8"/>
        <v>26.31737</v>
      </c>
      <c r="W22" s="2">
        <f t="shared" si="8"/>
        <v>0</v>
      </c>
      <c r="X22" s="2">
        <f t="shared" si="8"/>
        <v>12724.81</v>
      </c>
      <c r="Y22" s="2">
        <f t="shared" si="8"/>
        <v>9368.3799999999992</v>
      </c>
      <c r="Z22" s="2">
        <f t="shared" si="8"/>
        <v>0</v>
      </c>
      <c r="AA22" s="2">
        <f t="shared" si="8"/>
        <v>0</v>
      </c>
      <c r="AB22" s="2">
        <f t="shared" si="8"/>
        <v>0</v>
      </c>
      <c r="AC22" s="2">
        <f t="shared" si="8"/>
        <v>0</v>
      </c>
      <c r="AD22" s="2">
        <f t="shared" si="8"/>
        <v>0</v>
      </c>
      <c r="AE22" s="2">
        <f t="shared" si="8"/>
        <v>0</v>
      </c>
      <c r="AF22" s="2">
        <f t="shared" si="8"/>
        <v>0</v>
      </c>
      <c r="AG22" s="2">
        <f t="shared" si="8"/>
        <v>0</v>
      </c>
      <c r="AH22" s="2">
        <f t="shared" si="8"/>
        <v>0</v>
      </c>
      <c r="AI22" s="2">
        <f t="shared" si="8"/>
        <v>0</v>
      </c>
      <c r="AJ22" s="2">
        <f t="shared" si="8"/>
        <v>0</v>
      </c>
      <c r="AK22" s="2">
        <f t="shared" si="8"/>
        <v>0</v>
      </c>
      <c r="AL22" s="2">
        <f t="shared" si="8"/>
        <v>0</v>
      </c>
      <c r="AM22" s="2">
        <f t="shared" si="8"/>
        <v>0</v>
      </c>
      <c r="AN22" s="2">
        <f t="shared" si="8"/>
        <v>0</v>
      </c>
      <c r="AO22" s="2">
        <f t="shared" si="8"/>
        <v>0</v>
      </c>
      <c r="AP22" s="2">
        <f t="shared" si="8"/>
        <v>0</v>
      </c>
      <c r="AQ22" s="2">
        <f t="shared" si="8"/>
        <v>0</v>
      </c>
      <c r="AR22" s="2">
        <f t="shared" si="8"/>
        <v>504696.03</v>
      </c>
      <c r="AS22" s="2">
        <f t="shared" si="8"/>
        <v>504696.03</v>
      </c>
      <c r="AT22" s="2">
        <f t="shared" si="8"/>
        <v>0</v>
      </c>
      <c r="AU22" s="2">
        <f t="shared" ref="AU22:BZ22" si="9">AU143</f>
        <v>0</v>
      </c>
      <c r="AV22" s="2">
        <f t="shared" si="9"/>
        <v>396766.43</v>
      </c>
      <c r="AW22" s="2">
        <f t="shared" si="9"/>
        <v>396766.43</v>
      </c>
      <c r="AX22" s="2">
        <f t="shared" si="9"/>
        <v>0</v>
      </c>
      <c r="AY22" s="2">
        <f t="shared" si="9"/>
        <v>396766.43</v>
      </c>
      <c r="AZ22" s="2">
        <f t="shared" si="9"/>
        <v>0</v>
      </c>
      <c r="BA22" s="2">
        <f t="shared" si="9"/>
        <v>0</v>
      </c>
      <c r="BB22" s="2">
        <f t="shared" si="9"/>
        <v>0</v>
      </c>
      <c r="BC22" s="2">
        <f t="shared" si="9"/>
        <v>0</v>
      </c>
      <c r="BD22" s="2">
        <f t="shared" si="9"/>
        <v>0</v>
      </c>
      <c r="BE22" s="2">
        <f t="shared" si="9"/>
        <v>0</v>
      </c>
      <c r="BF22" s="2">
        <f t="shared" si="9"/>
        <v>0</v>
      </c>
      <c r="BG22" s="2">
        <f t="shared" si="9"/>
        <v>0</v>
      </c>
      <c r="BH22" s="2">
        <f t="shared" si="9"/>
        <v>0</v>
      </c>
      <c r="BI22" s="2">
        <f t="shared" si="9"/>
        <v>0</v>
      </c>
      <c r="BJ22" s="2">
        <f t="shared" si="9"/>
        <v>0</v>
      </c>
      <c r="BK22" s="2">
        <f t="shared" si="9"/>
        <v>0</v>
      </c>
      <c r="BL22" s="2">
        <f t="shared" si="9"/>
        <v>0</v>
      </c>
      <c r="BM22" s="2">
        <f t="shared" si="9"/>
        <v>0</v>
      </c>
      <c r="BN22" s="2">
        <f t="shared" si="9"/>
        <v>0</v>
      </c>
      <c r="BO22" s="2">
        <f t="shared" si="9"/>
        <v>0</v>
      </c>
      <c r="BP22" s="2">
        <f t="shared" si="9"/>
        <v>0</v>
      </c>
      <c r="BQ22" s="2">
        <f t="shared" si="9"/>
        <v>0</v>
      </c>
      <c r="BR22" s="2">
        <f t="shared" si="9"/>
        <v>0</v>
      </c>
      <c r="BS22" s="2">
        <f t="shared" si="9"/>
        <v>0</v>
      </c>
      <c r="BT22" s="2">
        <f t="shared" si="9"/>
        <v>0</v>
      </c>
      <c r="BU22" s="2">
        <f t="shared" si="9"/>
        <v>0</v>
      </c>
      <c r="BV22" s="2">
        <f t="shared" si="9"/>
        <v>0</v>
      </c>
      <c r="BW22" s="2">
        <f t="shared" si="9"/>
        <v>0</v>
      </c>
      <c r="BX22" s="2">
        <f t="shared" si="9"/>
        <v>0</v>
      </c>
      <c r="BY22" s="2">
        <f t="shared" si="9"/>
        <v>0</v>
      </c>
      <c r="BZ22" s="2">
        <f t="shared" si="9"/>
        <v>0</v>
      </c>
      <c r="CA22" s="2">
        <f t="shared" ref="CA22:DF22" si="10">CA143</f>
        <v>0</v>
      </c>
      <c r="CB22" s="2">
        <f t="shared" si="10"/>
        <v>0</v>
      </c>
      <c r="CC22" s="2">
        <f t="shared" si="10"/>
        <v>0</v>
      </c>
      <c r="CD22" s="2">
        <f t="shared" si="10"/>
        <v>0</v>
      </c>
      <c r="CE22" s="2">
        <f t="shared" si="10"/>
        <v>0</v>
      </c>
      <c r="CF22" s="2">
        <f t="shared" si="10"/>
        <v>0</v>
      </c>
      <c r="CG22" s="2">
        <f t="shared" si="10"/>
        <v>0</v>
      </c>
      <c r="CH22" s="2">
        <f t="shared" si="10"/>
        <v>0</v>
      </c>
      <c r="CI22" s="2">
        <f t="shared" si="10"/>
        <v>0</v>
      </c>
      <c r="CJ22" s="2">
        <f t="shared" si="10"/>
        <v>0</v>
      </c>
      <c r="CK22" s="2">
        <f t="shared" si="10"/>
        <v>0</v>
      </c>
      <c r="CL22" s="2">
        <f t="shared" si="10"/>
        <v>0</v>
      </c>
      <c r="CM22" s="2">
        <f t="shared" si="10"/>
        <v>0</v>
      </c>
      <c r="CN22" s="2">
        <f t="shared" si="10"/>
        <v>0</v>
      </c>
      <c r="CO22" s="2">
        <f t="shared" si="10"/>
        <v>0</v>
      </c>
      <c r="CP22" s="2">
        <f t="shared" si="10"/>
        <v>0</v>
      </c>
      <c r="CQ22" s="2">
        <f t="shared" si="10"/>
        <v>0</v>
      </c>
      <c r="CR22" s="2">
        <f t="shared" si="10"/>
        <v>0</v>
      </c>
      <c r="CS22" s="2">
        <f t="shared" si="10"/>
        <v>0</v>
      </c>
      <c r="CT22" s="2">
        <f t="shared" si="10"/>
        <v>0</v>
      </c>
      <c r="CU22" s="2">
        <f t="shared" si="10"/>
        <v>0</v>
      </c>
      <c r="CV22" s="2">
        <f t="shared" si="10"/>
        <v>0</v>
      </c>
      <c r="CW22" s="2">
        <f t="shared" si="10"/>
        <v>0</v>
      </c>
      <c r="CX22" s="2">
        <f t="shared" si="10"/>
        <v>0</v>
      </c>
      <c r="CY22" s="2">
        <f t="shared" si="10"/>
        <v>0</v>
      </c>
      <c r="CZ22" s="2">
        <f t="shared" si="10"/>
        <v>0</v>
      </c>
      <c r="DA22" s="2">
        <f t="shared" si="10"/>
        <v>0</v>
      </c>
      <c r="DB22" s="2">
        <f t="shared" si="10"/>
        <v>0</v>
      </c>
      <c r="DC22" s="2">
        <f t="shared" si="10"/>
        <v>0</v>
      </c>
      <c r="DD22" s="2">
        <f t="shared" si="10"/>
        <v>0</v>
      </c>
      <c r="DE22" s="2">
        <f t="shared" si="10"/>
        <v>0</v>
      </c>
      <c r="DF22" s="2">
        <f t="shared" si="10"/>
        <v>0</v>
      </c>
      <c r="DG22" s="3">
        <f t="shared" ref="DG22:EL22" si="11">DG143</f>
        <v>0</v>
      </c>
      <c r="DH22" s="3">
        <f t="shared" si="11"/>
        <v>0</v>
      </c>
      <c r="DI22" s="3">
        <f t="shared" si="11"/>
        <v>0</v>
      </c>
      <c r="DJ22" s="3">
        <f t="shared" si="11"/>
        <v>0</v>
      </c>
      <c r="DK22" s="3">
        <f t="shared" si="11"/>
        <v>0</v>
      </c>
      <c r="DL22" s="3">
        <f t="shared" si="11"/>
        <v>0</v>
      </c>
      <c r="DM22" s="3">
        <f t="shared" si="11"/>
        <v>0</v>
      </c>
      <c r="DN22" s="3">
        <f t="shared" si="11"/>
        <v>0</v>
      </c>
      <c r="DO22" s="3">
        <f t="shared" si="11"/>
        <v>0</v>
      </c>
      <c r="DP22" s="3">
        <f t="shared" si="11"/>
        <v>0</v>
      </c>
      <c r="DQ22" s="3">
        <f t="shared" si="11"/>
        <v>0</v>
      </c>
      <c r="DR22" s="3">
        <f t="shared" si="11"/>
        <v>0</v>
      </c>
      <c r="DS22" s="3">
        <f t="shared" si="11"/>
        <v>0</v>
      </c>
      <c r="DT22" s="3">
        <f t="shared" si="11"/>
        <v>0</v>
      </c>
      <c r="DU22" s="3">
        <f t="shared" si="11"/>
        <v>0</v>
      </c>
      <c r="DV22" s="3">
        <f t="shared" si="11"/>
        <v>0</v>
      </c>
      <c r="DW22" s="3">
        <f t="shared" si="11"/>
        <v>0</v>
      </c>
      <c r="DX22" s="3">
        <f t="shared" si="11"/>
        <v>0</v>
      </c>
      <c r="DY22" s="3">
        <f t="shared" si="11"/>
        <v>0</v>
      </c>
      <c r="DZ22" s="3">
        <f t="shared" si="11"/>
        <v>0</v>
      </c>
      <c r="EA22" s="3">
        <f t="shared" si="11"/>
        <v>0</v>
      </c>
      <c r="EB22" s="3">
        <f t="shared" si="11"/>
        <v>0</v>
      </c>
      <c r="EC22" s="3">
        <f t="shared" si="11"/>
        <v>0</v>
      </c>
      <c r="ED22" s="3">
        <f t="shared" si="11"/>
        <v>0</v>
      </c>
      <c r="EE22" s="3">
        <f t="shared" si="11"/>
        <v>0</v>
      </c>
      <c r="EF22" s="3">
        <f t="shared" si="11"/>
        <v>0</v>
      </c>
      <c r="EG22" s="3">
        <f t="shared" si="11"/>
        <v>0</v>
      </c>
      <c r="EH22" s="3">
        <f t="shared" si="11"/>
        <v>0</v>
      </c>
      <c r="EI22" s="3">
        <f t="shared" si="11"/>
        <v>0</v>
      </c>
      <c r="EJ22" s="3">
        <f t="shared" si="11"/>
        <v>0</v>
      </c>
      <c r="EK22" s="3">
        <f t="shared" si="11"/>
        <v>0</v>
      </c>
      <c r="EL22" s="3">
        <f t="shared" si="11"/>
        <v>0</v>
      </c>
      <c r="EM22" s="3">
        <f t="shared" ref="EM22:FR22" si="12">EM143</f>
        <v>0</v>
      </c>
      <c r="EN22" s="3">
        <f t="shared" si="12"/>
        <v>0</v>
      </c>
      <c r="EO22" s="3">
        <f t="shared" si="12"/>
        <v>0</v>
      </c>
      <c r="EP22" s="3">
        <f t="shared" si="12"/>
        <v>0</v>
      </c>
      <c r="EQ22" s="3">
        <f t="shared" si="12"/>
        <v>0</v>
      </c>
      <c r="ER22" s="3">
        <f t="shared" si="12"/>
        <v>0</v>
      </c>
      <c r="ES22" s="3">
        <f t="shared" si="12"/>
        <v>0</v>
      </c>
      <c r="ET22" s="3">
        <f t="shared" si="12"/>
        <v>0</v>
      </c>
      <c r="EU22" s="3">
        <f t="shared" si="12"/>
        <v>0</v>
      </c>
      <c r="EV22" s="3">
        <f t="shared" si="12"/>
        <v>0</v>
      </c>
      <c r="EW22" s="3">
        <f t="shared" si="12"/>
        <v>0</v>
      </c>
      <c r="EX22" s="3">
        <f t="shared" si="12"/>
        <v>0</v>
      </c>
      <c r="EY22" s="3">
        <f t="shared" si="12"/>
        <v>0</v>
      </c>
      <c r="EZ22" s="3">
        <f t="shared" si="12"/>
        <v>0</v>
      </c>
      <c r="FA22" s="3">
        <f t="shared" si="12"/>
        <v>0</v>
      </c>
      <c r="FB22" s="3">
        <f t="shared" si="12"/>
        <v>0</v>
      </c>
      <c r="FC22" s="3">
        <f t="shared" si="12"/>
        <v>0</v>
      </c>
      <c r="FD22" s="3">
        <f t="shared" si="12"/>
        <v>0</v>
      </c>
      <c r="FE22" s="3">
        <f t="shared" si="12"/>
        <v>0</v>
      </c>
      <c r="FF22" s="3">
        <f t="shared" si="12"/>
        <v>0</v>
      </c>
      <c r="FG22" s="3">
        <f t="shared" si="12"/>
        <v>0</v>
      </c>
      <c r="FH22" s="3">
        <f t="shared" si="12"/>
        <v>0</v>
      </c>
      <c r="FI22" s="3">
        <f t="shared" si="12"/>
        <v>0</v>
      </c>
      <c r="FJ22" s="3">
        <f t="shared" si="12"/>
        <v>0</v>
      </c>
      <c r="FK22" s="3">
        <f t="shared" si="12"/>
        <v>0</v>
      </c>
      <c r="FL22" s="3">
        <f t="shared" si="12"/>
        <v>0</v>
      </c>
      <c r="FM22" s="3">
        <f t="shared" si="12"/>
        <v>0</v>
      </c>
      <c r="FN22" s="3">
        <f t="shared" si="12"/>
        <v>0</v>
      </c>
      <c r="FO22" s="3">
        <f t="shared" si="12"/>
        <v>0</v>
      </c>
      <c r="FP22" s="3">
        <f t="shared" si="12"/>
        <v>0</v>
      </c>
      <c r="FQ22" s="3">
        <f t="shared" si="12"/>
        <v>0</v>
      </c>
      <c r="FR22" s="3">
        <f t="shared" si="12"/>
        <v>0</v>
      </c>
      <c r="FS22" s="3">
        <f t="shared" ref="FS22:GX22" si="13">FS143</f>
        <v>0</v>
      </c>
      <c r="FT22" s="3">
        <f t="shared" si="13"/>
        <v>0</v>
      </c>
      <c r="FU22" s="3">
        <f t="shared" si="13"/>
        <v>0</v>
      </c>
      <c r="FV22" s="3">
        <f t="shared" si="13"/>
        <v>0</v>
      </c>
      <c r="FW22" s="3">
        <f t="shared" si="13"/>
        <v>0</v>
      </c>
      <c r="FX22" s="3">
        <f t="shared" si="13"/>
        <v>0</v>
      </c>
      <c r="FY22" s="3">
        <f t="shared" si="13"/>
        <v>0</v>
      </c>
      <c r="FZ22" s="3">
        <f t="shared" si="13"/>
        <v>0</v>
      </c>
      <c r="GA22" s="3">
        <f t="shared" si="13"/>
        <v>0</v>
      </c>
      <c r="GB22" s="3">
        <f t="shared" si="13"/>
        <v>0</v>
      </c>
      <c r="GC22" s="3">
        <f t="shared" si="13"/>
        <v>0</v>
      </c>
      <c r="GD22" s="3">
        <f t="shared" si="13"/>
        <v>0</v>
      </c>
      <c r="GE22" s="3">
        <f t="shared" si="13"/>
        <v>0</v>
      </c>
      <c r="GF22" s="3">
        <f t="shared" si="13"/>
        <v>0</v>
      </c>
      <c r="GG22" s="3">
        <f t="shared" si="13"/>
        <v>0</v>
      </c>
      <c r="GH22" s="3">
        <f t="shared" si="13"/>
        <v>0</v>
      </c>
      <c r="GI22" s="3">
        <f t="shared" si="13"/>
        <v>0</v>
      </c>
      <c r="GJ22" s="3">
        <f t="shared" si="13"/>
        <v>0</v>
      </c>
      <c r="GK22" s="3">
        <f t="shared" si="13"/>
        <v>0</v>
      </c>
      <c r="GL22" s="3">
        <f t="shared" si="13"/>
        <v>0</v>
      </c>
      <c r="GM22" s="3">
        <f t="shared" si="13"/>
        <v>0</v>
      </c>
      <c r="GN22" s="3">
        <f t="shared" si="13"/>
        <v>0</v>
      </c>
      <c r="GO22" s="3">
        <f t="shared" si="13"/>
        <v>0</v>
      </c>
      <c r="GP22" s="3">
        <f t="shared" si="13"/>
        <v>0</v>
      </c>
      <c r="GQ22" s="3">
        <f t="shared" si="13"/>
        <v>0</v>
      </c>
      <c r="GR22" s="3">
        <f t="shared" si="13"/>
        <v>0</v>
      </c>
      <c r="GS22" s="3">
        <f t="shared" si="13"/>
        <v>0</v>
      </c>
      <c r="GT22" s="3">
        <f t="shared" si="13"/>
        <v>0</v>
      </c>
      <c r="GU22" s="3">
        <f t="shared" si="13"/>
        <v>0</v>
      </c>
      <c r="GV22" s="3">
        <f t="shared" si="13"/>
        <v>0</v>
      </c>
      <c r="GW22" s="3">
        <f t="shared" si="13"/>
        <v>0</v>
      </c>
      <c r="GX22" s="3">
        <f t="shared" si="13"/>
        <v>0</v>
      </c>
    </row>
    <row r="24" spans="1:245" x14ac:dyDescent="0.2">
      <c r="A24" s="1">
        <v>4</v>
      </c>
      <c r="B24" s="1">
        <v>1</v>
      </c>
      <c r="C24" s="1"/>
      <c r="D24" s="1">
        <f>ROW(A60)</f>
        <v>60</v>
      </c>
      <c r="E24" s="1"/>
      <c r="F24" s="1" t="s">
        <v>22</v>
      </c>
      <c r="G24" s="1" t="s">
        <v>23</v>
      </c>
      <c r="H24" s="1" t="s">
        <v>3</v>
      </c>
      <c r="I24" s="1">
        <v>0</v>
      </c>
      <c r="J24" s="1"/>
      <c r="K24" s="1">
        <v>1</v>
      </c>
      <c r="L24" s="1"/>
      <c r="M24" s="1" t="s">
        <v>3</v>
      </c>
      <c r="N24" s="1"/>
      <c r="O24" s="1"/>
      <c r="P24" s="1"/>
      <c r="Q24" s="1"/>
      <c r="R24" s="1"/>
      <c r="S24" s="1">
        <v>29836453</v>
      </c>
      <c r="T24" s="1"/>
      <c r="U24" s="1" t="s">
        <v>3</v>
      </c>
      <c r="V24" s="1">
        <v>0</v>
      </c>
      <c r="W24" s="1"/>
      <c r="X24" s="1"/>
      <c r="Y24" s="1"/>
      <c r="Z24" s="1"/>
      <c r="AA24" s="1"/>
      <c r="AB24" s="1" t="s">
        <v>3</v>
      </c>
      <c r="AC24" s="1" t="s">
        <v>3</v>
      </c>
      <c r="AD24" s="1" t="s">
        <v>3</v>
      </c>
      <c r="AE24" s="1" t="s">
        <v>3</v>
      </c>
      <c r="AF24" s="1" t="s">
        <v>3</v>
      </c>
      <c r="AG24" s="1" t="s">
        <v>3</v>
      </c>
      <c r="AH24" s="1"/>
      <c r="AI24" s="1"/>
      <c r="AJ24" s="1"/>
      <c r="AK24" s="1"/>
      <c r="AL24" s="1"/>
      <c r="AM24" s="1"/>
      <c r="AN24" s="1"/>
      <c r="AO24" s="1"/>
      <c r="AP24" s="1" t="s">
        <v>3</v>
      </c>
      <c r="AQ24" s="1" t="s">
        <v>3</v>
      </c>
      <c r="AR24" s="1" t="s">
        <v>3</v>
      </c>
      <c r="AS24" s="1"/>
      <c r="AT24" s="1"/>
      <c r="AU24" s="1"/>
      <c r="AV24" s="1"/>
      <c r="AW24" s="1"/>
      <c r="AX24" s="1"/>
      <c r="AY24" s="1"/>
      <c r="AZ24" s="1" t="s">
        <v>3</v>
      </c>
      <c r="BA24" s="1"/>
      <c r="BB24" s="1" t="s">
        <v>3</v>
      </c>
      <c r="BC24" s="1" t="s">
        <v>3</v>
      </c>
      <c r="BD24" s="1" t="s">
        <v>3</v>
      </c>
      <c r="BE24" s="1" t="s">
        <v>3</v>
      </c>
      <c r="BF24" s="1" t="s">
        <v>3</v>
      </c>
      <c r="BG24" s="1" t="s">
        <v>3</v>
      </c>
      <c r="BH24" s="1" t="s">
        <v>3</v>
      </c>
      <c r="BI24" s="1" t="s">
        <v>3</v>
      </c>
      <c r="BJ24" s="1" t="s">
        <v>3</v>
      </c>
      <c r="BK24" s="1" t="s">
        <v>3</v>
      </c>
      <c r="BL24" s="1" t="s">
        <v>3</v>
      </c>
      <c r="BM24" s="1" t="s">
        <v>3</v>
      </c>
      <c r="BN24" s="1" t="s">
        <v>3</v>
      </c>
      <c r="BO24" s="1" t="s">
        <v>3</v>
      </c>
      <c r="BP24" s="1" t="s">
        <v>3</v>
      </c>
      <c r="BQ24" s="1"/>
      <c r="BR24" s="1"/>
      <c r="BS24" s="1"/>
      <c r="BT24" s="1"/>
      <c r="BU24" s="1"/>
      <c r="BV24" s="1"/>
      <c r="BW24" s="1"/>
      <c r="BX24" s="1">
        <v>0</v>
      </c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>
        <v>0</v>
      </c>
    </row>
    <row r="26" spans="1:245" x14ac:dyDescent="0.2">
      <c r="A26" s="2">
        <v>52</v>
      </c>
      <c r="B26" s="2">
        <f t="shared" ref="B26:G26" si="14">B60</f>
        <v>1</v>
      </c>
      <c r="C26" s="2">
        <f t="shared" si="14"/>
        <v>4</v>
      </c>
      <c r="D26" s="2">
        <f t="shared" si="14"/>
        <v>24</v>
      </c>
      <c r="E26" s="2">
        <f t="shared" si="14"/>
        <v>0</v>
      </c>
      <c r="F26" s="2" t="str">
        <f t="shared" si="14"/>
        <v>01</v>
      </c>
      <c r="G26" s="2" t="str">
        <f t="shared" si="14"/>
        <v>асфальтобетонное покрытие городских дорог (щебень-22см, а/б - 11 см)</v>
      </c>
      <c r="H26" s="2"/>
      <c r="I26" s="2"/>
      <c r="J26" s="2"/>
      <c r="K26" s="2"/>
      <c r="L26" s="2"/>
      <c r="M26" s="2"/>
      <c r="N26" s="2"/>
      <c r="O26" s="2">
        <f t="shared" ref="O26:AT26" si="15">O60</f>
        <v>414400.27</v>
      </c>
      <c r="P26" s="2">
        <f t="shared" si="15"/>
        <v>357500.95</v>
      </c>
      <c r="Q26" s="2">
        <f t="shared" si="15"/>
        <v>52165.31</v>
      </c>
      <c r="R26" s="2">
        <f t="shared" si="15"/>
        <v>3676.38</v>
      </c>
      <c r="S26" s="2">
        <f t="shared" si="15"/>
        <v>4734.01</v>
      </c>
      <c r="T26" s="2">
        <f t="shared" si="15"/>
        <v>0</v>
      </c>
      <c r="U26" s="2">
        <f t="shared" si="15"/>
        <v>618.67253499999993</v>
      </c>
      <c r="V26" s="2">
        <f t="shared" si="15"/>
        <v>26.31737</v>
      </c>
      <c r="W26" s="2">
        <f t="shared" si="15"/>
        <v>0</v>
      </c>
      <c r="X26" s="2">
        <f t="shared" si="15"/>
        <v>10294.19</v>
      </c>
      <c r="Y26" s="2">
        <f t="shared" si="15"/>
        <v>7553.33</v>
      </c>
      <c r="Z26" s="2">
        <f t="shared" si="15"/>
        <v>0</v>
      </c>
      <c r="AA26" s="2">
        <f t="shared" si="15"/>
        <v>0</v>
      </c>
      <c r="AB26" s="2">
        <f t="shared" si="15"/>
        <v>414400.27</v>
      </c>
      <c r="AC26" s="2">
        <f t="shared" si="15"/>
        <v>357500.95</v>
      </c>
      <c r="AD26" s="2">
        <f t="shared" si="15"/>
        <v>52165.31</v>
      </c>
      <c r="AE26" s="2">
        <f t="shared" si="15"/>
        <v>3676.38</v>
      </c>
      <c r="AF26" s="2">
        <f t="shared" si="15"/>
        <v>4734.01</v>
      </c>
      <c r="AG26" s="2">
        <f t="shared" si="15"/>
        <v>0</v>
      </c>
      <c r="AH26" s="2">
        <f t="shared" si="15"/>
        <v>618.67253499999993</v>
      </c>
      <c r="AI26" s="2">
        <f t="shared" si="15"/>
        <v>26.31737</v>
      </c>
      <c r="AJ26" s="2">
        <f t="shared" si="15"/>
        <v>0</v>
      </c>
      <c r="AK26" s="2">
        <f t="shared" si="15"/>
        <v>10294.19</v>
      </c>
      <c r="AL26" s="2">
        <f t="shared" si="15"/>
        <v>7553.33</v>
      </c>
      <c r="AM26" s="2">
        <f t="shared" si="15"/>
        <v>0</v>
      </c>
      <c r="AN26" s="2">
        <f t="shared" si="15"/>
        <v>0</v>
      </c>
      <c r="AO26" s="2">
        <f t="shared" si="15"/>
        <v>0</v>
      </c>
      <c r="AP26" s="2">
        <f t="shared" si="15"/>
        <v>0</v>
      </c>
      <c r="AQ26" s="2">
        <f t="shared" si="15"/>
        <v>0</v>
      </c>
      <c r="AR26" s="2">
        <f t="shared" si="15"/>
        <v>447493.79</v>
      </c>
      <c r="AS26" s="2">
        <f t="shared" si="15"/>
        <v>447493.79</v>
      </c>
      <c r="AT26" s="2">
        <f t="shared" si="15"/>
        <v>0</v>
      </c>
      <c r="AU26" s="2">
        <f t="shared" ref="AU26:BZ26" si="16">AU60</f>
        <v>0</v>
      </c>
      <c r="AV26" s="2">
        <f t="shared" si="16"/>
        <v>357500.95</v>
      </c>
      <c r="AW26" s="2">
        <f t="shared" si="16"/>
        <v>357500.95</v>
      </c>
      <c r="AX26" s="2">
        <f t="shared" si="16"/>
        <v>0</v>
      </c>
      <c r="AY26" s="2">
        <f t="shared" si="16"/>
        <v>357500.95</v>
      </c>
      <c r="AZ26" s="2">
        <f t="shared" si="16"/>
        <v>0</v>
      </c>
      <c r="BA26" s="2">
        <f t="shared" si="16"/>
        <v>0</v>
      </c>
      <c r="BB26" s="2">
        <f t="shared" si="16"/>
        <v>0</v>
      </c>
      <c r="BC26" s="2">
        <f t="shared" si="16"/>
        <v>0</v>
      </c>
      <c r="BD26" s="2">
        <f t="shared" si="16"/>
        <v>0</v>
      </c>
      <c r="BE26" s="2">
        <f t="shared" si="16"/>
        <v>0</v>
      </c>
      <c r="BF26" s="2">
        <f t="shared" si="16"/>
        <v>0</v>
      </c>
      <c r="BG26" s="2">
        <f t="shared" si="16"/>
        <v>0</v>
      </c>
      <c r="BH26" s="2">
        <f t="shared" si="16"/>
        <v>0</v>
      </c>
      <c r="BI26" s="2">
        <f t="shared" si="16"/>
        <v>0</v>
      </c>
      <c r="BJ26" s="2">
        <f t="shared" si="16"/>
        <v>0</v>
      </c>
      <c r="BK26" s="2">
        <f t="shared" si="16"/>
        <v>0</v>
      </c>
      <c r="BL26" s="2">
        <f t="shared" si="16"/>
        <v>0</v>
      </c>
      <c r="BM26" s="2">
        <f t="shared" si="16"/>
        <v>0</v>
      </c>
      <c r="BN26" s="2">
        <f t="shared" si="16"/>
        <v>0</v>
      </c>
      <c r="BO26" s="2">
        <f t="shared" si="16"/>
        <v>0</v>
      </c>
      <c r="BP26" s="2">
        <f t="shared" si="16"/>
        <v>0</v>
      </c>
      <c r="BQ26" s="2">
        <f t="shared" si="16"/>
        <v>0</v>
      </c>
      <c r="BR26" s="2">
        <f t="shared" si="16"/>
        <v>0</v>
      </c>
      <c r="BS26" s="2">
        <f t="shared" si="16"/>
        <v>0</v>
      </c>
      <c r="BT26" s="2">
        <f t="shared" si="16"/>
        <v>0</v>
      </c>
      <c r="BU26" s="2">
        <f t="shared" si="16"/>
        <v>0</v>
      </c>
      <c r="BV26" s="2">
        <f t="shared" si="16"/>
        <v>0</v>
      </c>
      <c r="BW26" s="2">
        <f t="shared" si="16"/>
        <v>0</v>
      </c>
      <c r="BX26" s="2">
        <f t="shared" si="16"/>
        <v>0</v>
      </c>
      <c r="BY26" s="2">
        <f t="shared" si="16"/>
        <v>0</v>
      </c>
      <c r="BZ26" s="2">
        <f t="shared" si="16"/>
        <v>0</v>
      </c>
      <c r="CA26" s="2">
        <f t="shared" ref="CA26:DF26" si="17">CA60</f>
        <v>447493.79</v>
      </c>
      <c r="CB26" s="2">
        <f t="shared" si="17"/>
        <v>447493.79</v>
      </c>
      <c r="CC26" s="2">
        <f t="shared" si="17"/>
        <v>0</v>
      </c>
      <c r="CD26" s="2">
        <f t="shared" si="17"/>
        <v>0</v>
      </c>
      <c r="CE26" s="2">
        <f t="shared" si="17"/>
        <v>357500.95</v>
      </c>
      <c r="CF26" s="2">
        <f t="shared" si="17"/>
        <v>357500.95</v>
      </c>
      <c r="CG26" s="2">
        <f t="shared" si="17"/>
        <v>0</v>
      </c>
      <c r="CH26" s="2">
        <f t="shared" si="17"/>
        <v>357500.95</v>
      </c>
      <c r="CI26" s="2">
        <f t="shared" si="17"/>
        <v>0</v>
      </c>
      <c r="CJ26" s="2">
        <f t="shared" si="17"/>
        <v>0</v>
      </c>
      <c r="CK26" s="2">
        <f t="shared" si="17"/>
        <v>0</v>
      </c>
      <c r="CL26" s="2">
        <f t="shared" si="17"/>
        <v>0</v>
      </c>
      <c r="CM26" s="2">
        <f t="shared" si="17"/>
        <v>0</v>
      </c>
      <c r="CN26" s="2">
        <f t="shared" si="17"/>
        <v>0</v>
      </c>
      <c r="CO26" s="2">
        <f t="shared" si="17"/>
        <v>0</v>
      </c>
      <c r="CP26" s="2">
        <f t="shared" si="17"/>
        <v>0</v>
      </c>
      <c r="CQ26" s="2">
        <f t="shared" si="17"/>
        <v>0</v>
      </c>
      <c r="CR26" s="2">
        <f t="shared" si="17"/>
        <v>0</v>
      </c>
      <c r="CS26" s="2">
        <f t="shared" si="17"/>
        <v>0</v>
      </c>
      <c r="CT26" s="2">
        <f t="shared" si="17"/>
        <v>0</v>
      </c>
      <c r="CU26" s="2">
        <f t="shared" si="17"/>
        <v>0</v>
      </c>
      <c r="CV26" s="2">
        <f t="shared" si="17"/>
        <v>0</v>
      </c>
      <c r="CW26" s="2">
        <f t="shared" si="17"/>
        <v>0</v>
      </c>
      <c r="CX26" s="2">
        <f t="shared" si="17"/>
        <v>0</v>
      </c>
      <c r="CY26" s="2">
        <f t="shared" si="17"/>
        <v>0</v>
      </c>
      <c r="CZ26" s="2">
        <f t="shared" si="17"/>
        <v>0</v>
      </c>
      <c r="DA26" s="2">
        <f t="shared" si="17"/>
        <v>0</v>
      </c>
      <c r="DB26" s="2">
        <f t="shared" si="17"/>
        <v>0</v>
      </c>
      <c r="DC26" s="2">
        <f t="shared" si="17"/>
        <v>0</v>
      </c>
      <c r="DD26" s="2">
        <f t="shared" si="17"/>
        <v>0</v>
      </c>
      <c r="DE26" s="2">
        <f t="shared" si="17"/>
        <v>0</v>
      </c>
      <c r="DF26" s="2">
        <f t="shared" si="17"/>
        <v>0</v>
      </c>
      <c r="DG26" s="3">
        <f t="shared" ref="DG26:EL26" si="18">DG60</f>
        <v>0</v>
      </c>
      <c r="DH26" s="3">
        <f t="shared" si="18"/>
        <v>0</v>
      </c>
      <c r="DI26" s="3">
        <f t="shared" si="18"/>
        <v>0</v>
      </c>
      <c r="DJ26" s="3">
        <f t="shared" si="18"/>
        <v>0</v>
      </c>
      <c r="DK26" s="3">
        <f t="shared" si="18"/>
        <v>0</v>
      </c>
      <c r="DL26" s="3">
        <f t="shared" si="18"/>
        <v>0</v>
      </c>
      <c r="DM26" s="3">
        <f t="shared" si="18"/>
        <v>0</v>
      </c>
      <c r="DN26" s="3">
        <f t="shared" si="18"/>
        <v>0</v>
      </c>
      <c r="DO26" s="3">
        <f t="shared" si="18"/>
        <v>0</v>
      </c>
      <c r="DP26" s="3">
        <f t="shared" si="18"/>
        <v>0</v>
      </c>
      <c r="DQ26" s="3">
        <f t="shared" si="18"/>
        <v>0</v>
      </c>
      <c r="DR26" s="3">
        <f t="shared" si="18"/>
        <v>0</v>
      </c>
      <c r="DS26" s="3">
        <f t="shared" si="18"/>
        <v>0</v>
      </c>
      <c r="DT26" s="3">
        <f t="shared" si="18"/>
        <v>0</v>
      </c>
      <c r="DU26" s="3">
        <f t="shared" si="18"/>
        <v>0</v>
      </c>
      <c r="DV26" s="3">
        <f t="shared" si="18"/>
        <v>0</v>
      </c>
      <c r="DW26" s="3">
        <f t="shared" si="18"/>
        <v>0</v>
      </c>
      <c r="DX26" s="3">
        <f t="shared" si="18"/>
        <v>0</v>
      </c>
      <c r="DY26" s="3">
        <f t="shared" si="18"/>
        <v>0</v>
      </c>
      <c r="DZ26" s="3">
        <f t="shared" si="18"/>
        <v>0</v>
      </c>
      <c r="EA26" s="3">
        <f t="shared" si="18"/>
        <v>0</v>
      </c>
      <c r="EB26" s="3">
        <f t="shared" si="18"/>
        <v>0</v>
      </c>
      <c r="EC26" s="3">
        <f t="shared" si="18"/>
        <v>0</v>
      </c>
      <c r="ED26" s="3">
        <f t="shared" si="18"/>
        <v>0</v>
      </c>
      <c r="EE26" s="3">
        <f t="shared" si="18"/>
        <v>0</v>
      </c>
      <c r="EF26" s="3">
        <f t="shared" si="18"/>
        <v>0</v>
      </c>
      <c r="EG26" s="3">
        <f t="shared" si="18"/>
        <v>0</v>
      </c>
      <c r="EH26" s="3">
        <f t="shared" si="18"/>
        <v>0</v>
      </c>
      <c r="EI26" s="3">
        <f t="shared" si="18"/>
        <v>0</v>
      </c>
      <c r="EJ26" s="3">
        <f t="shared" si="18"/>
        <v>0</v>
      </c>
      <c r="EK26" s="3">
        <f t="shared" si="18"/>
        <v>0</v>
      </c>
      <c r="EL26" s="3">
        <f t="shared" si="18"/>
        <v>0</v>
      </c>
      <c r="EM26" s="3">
        <f t="shared" ref="EM26:FR26" si="19">EM60</f>
        <v>0</v>
      </c>
      <c r="EN26" s="3">
        <f t="shared" si="19"/>
        <v>0</v>
      </c>
      <c r="EO26" s="3">
        <f t="shared" si="19"/>
        <v>0</v>
      </c>
      <c r="EP26" s="3">
        <f t="shared" si="19"/>
        <v>0</v>
      </c>
      <c r="EQ26" s="3">
        <f t="shared" si="19"/>
        <v>0</v>
      </c>
      <c r="ER26" s="3">
        <f t="shared" si="19"/>
        <v>0</v>
      </c>
      <c r="ES26" s="3">
        <f t="shared" si="19"/>
        <v>0</v>
      </c>
      <c r="ET26" s="3">
        <f t="shared" si="19"/>
        <v>0</v>
      </c>
      <c r="EU26" s="3">
        <f t="shared" si="19"/>
        <v>0</v>
      </c>
      <c r="EV26" s="3">
        <f t="shared" si="19"/>
        <v>0</v>
      </c>
      <c r="EW26" s="3">
        <f t="shared" si="19"/>
        <v>0</v>
      </c>
      <c r="EX26" s="3">
        <f t="shared" si="19"/>
        <v>0</v>
      </c>
      <c r="EY26" s="3">
        <f t="shared" si="19"/>
        <v>0</v>
      </c>
      <c r="EZ26" s="3">
        <f t="shared" si="19"/>
        <v>0</v>
      </c>
      <c r="FA26" s="3">
        <f t="shared" si="19"/>
        <v>0</v>
      </c>
      <c r="FB26" s="3">
        <f t="shared" si="19"/>
        <v>0</v>
      </c>
      <c r="FC26" s="3">
        <f t="shared" si="19"/>
        <v>0</v>
      </c>
      <c r="FD26" s="3">
        <f t="shared" si="19"/>
        <v>0</v>
      </c>
      <c r="FE26" s="3">
        <f t="shared" si="19"/>
        <v>0</v>
      </c>
      <c r="FF26" s="3">
        <f t="shared" si="19"/>
        <v>0</v>
      </c>
      <c r="FG26" s="3">
        <f t="shared" si="19"/>
        <v>0</v>
      </c>
      <c r="FH26" s="3">
        <f t="shared" si="19"/>
        <v>0</v>
      </c>
      <c r="FI26" s="3">
        <f t="shared" si="19"/>
        <v>0</v>
      </c>
      <c r="FJ26" s="3">
        <f t="shared" si="19"/>
        <v>0</v>
      </c>
      <c r="FK26" s="3">
        <f t="shared" si="19"/>
        <v>0</v>
      </c>
      <c r="FL26" s="3">
        <f t="shared" si="19"/>
        <v>0</v>
      </c>
      <c r="FM26" s="3">
        <f t="shared" si="19"/>
        <v>0</v>
      </c>
      <c r="FN26" s="3">
        <f t="shared" si="19"/>
        <v>0</v>
      </c>
      <c r="FO26" s="3">
        <f t="shared" si="19"/>
        <v>0</v>
      </c>
      <c r="FP26" s="3">
        <f t="shared" si="19"/>
        <v>0</v>
      </c>
      <c r="FQ26" s="3">
        <f t="shared" si="19"/>
        <v>0</v>
      </c>
      <c r="FR26" s="3">
        <f t="shared" si="19"/>
        <v>0</v>
      </c>
      <c r="FS26" s="3">
        <f t="shared" ref="FS26:GX26" si="20">FS60</f>
        <v>0</v>
      </c>
      <c r="FT26" s="3">
        <f t="shared" si="20"/>
        <v>0</v>
      </c>
      <c r="FU26" s="3">
        <f t="shared" si="20"/>
        <v>0</v>
      </c>
      <c r="FV26" s="3">
        <f t="shared" si="20"/>
        <v>0</v>
      </c>
      <c r="FW26" s="3">
        <f t="shared" si="20"/>
        <v>0</v>
      </c>
      <c r="FX26" s="3">
        <f t="shared" si="20"/>
        <v>0</v>
      </c>
      <c r="FY26" s="3">
        <f t="shared" si="20"/>
        <v>0</v>
      </c>
      <c r="FZ26" s="3">
        <f t="shared" si="20"/>
        <v>0</v>
      </c>
      <c r="GA26" s="3">
        <f t="shared" si="20"/>
        <v>0</v>
      </c>
      <c r="GB26" s="3">
        <f t="shared" si="20"/>
        <v>0</v>
      </c>
      <c r="GC26" s="3">
        <f t="shared" si="20"/>
        <v>0</v>
      </c>
      <c r="GD26" s="3">
        <f t="shared" si="20"/>
        <v>0</v>
      </c>
      <c r="GE26" s="3">
        <f t="shared" si="20"/>
        <v>0</v>
      </c>
      <c r="GF26" s="3">
        <f t="shared" si="20"/>
        <v>0</v>
      </c>
      <c r="GG26" s="3">
        <f t="shared" si="20"/>
        <v>0</v>
      </c>
      <c r="GH26" s="3">
        <f t="shared" si="20"/>
        <v>0</v>
      </c>
      <c r="GI26" s="3">
        <f t="shared" si="20"/>
        <v>0</v>
      </c>
      <c r="GJ26" s="3">
        <f t="shared" si="20"/>
        <v>0</v>
      </c>
      <c r="GK26" s="3">
        <f t="shared" si="20"/>
        <v>0</v>
      </c>
      <c r="GL26" s="3">
        <f t="shared" si="20"/>
        <v>0</v>
      </c>
      <c r="GM26" s="3">
        <f t="shared" si="20"/>
        <v>0</v>
      </c>
      <c r="GN26" s="3">
        <f t="shared" si="20"/>
        <v>0</v>
      </c>
      <c r="GO26" s="3">
        <f t="shared" si="20"/>
        <v>0</v>
      </c>
      <c r="GP26" s="3">
        <f t="shared" si="20"/>
        <v>0</v>
      </c>
      <c r="GQ26" s="3">
        <f t="shared" si="20"/>
        <v>0</v>
      </c>
      <c r="GR26" s="3">
        <f t="shared" si="20"/>
        <v>0</v>
      </c>
      <c r="GS26" s="3">
        <f t="shared" si="20"/>
        <v>0</v>
      </c>
      <c r="GT26" s="3">
        <f t="shared" si="20"/>
        <v>0</v>
      </c>
      <c r="GU26" s="3">
        <f t="shared" si="20"/>
        <v>0</v>
      </c>
      <c r="GV26" s="3">
        <f t="shared" si="20"/>
        <v>0</v>
      </c>
      <c r="GW26" s="3">
        <f t="shared" si="20"/>
        <v>0</v>
      </c>
      <c r="GX26" s="3">
        <f t="shared" si="20"/>
        <v>0</v>
      </c>
    </row>
    <row r="28" spans="1:245" x14ac:dyDescent="0.2">
      <c r="A28">
        <v>17</v>
      </c>
      <c r="B28">
        <v>1</v>
      </c>
      <c r="C28">
        <f>ROW(SmtRes!A5)</f>
        <v>5</v>
      </c>
      <c r="D28">
        <f>ROW(EtalonRes!A5)</f>
        <v>5</v>
      </c>
      <c r="E28" t="s">
        <v>24</v>
      </c>
      <c r="F28" t="s">
        <v>25</v>
      </c>
      <c r="G28" t="s">
        <v>26</v>
      </c>
      <c r="H28" t="s">
        <v>27</v>
      </c>
      <c r="I28">
        <f>ROUND(ROUND(640/1000,4),7)</f>
        <v>0.64</v>
      </c>
      <c r="J28">
        <v>0</v>
      </c>
      <c r="K28">
        <f>ROUND(ROUND(640/1000,4),7)</f>
        <v>0.64</v>
      </c>
      <c r="O28">
        <f>ROUND(CP28,2)</f>
        <v>5110.3999999999996</v>
      </c>
      <c r="P28">
        <f>ROUND(CQ28*I28,2)</f>
        <v>4.4800000000000004</v>
      </c>
      <c r="Q28">
        <f>ROUND(CR28*I28,2)</f>
        <v>4945.28</v>
      </c>
      <c r="R28">
        <f>ROUND(CS28*I28,2)</f>
        <v>730.24</v>
      </c>
      <c r="S28">
        <f>ROUND(CT28*I28,2)</f>
        <v>160.63999999999999</v>
      </c>
      <c r="T28">
        <f>ROUND(CU28*I28,2)</f>
        <v>0</v>
      </c>
      <c r="U28">
        <f>CV28*I28</f>
        <v>23.05152</v>
      </c>
      <c r="V28">
        <f>CW28*I28</f>
        <v>0</v>
      </c>
      <c r="W28">
        <f>ROUND(CX28*I28,2)</f>
        <v>0</v>
      </c>
      <c r="X28">
        <f>ROUND(CY28,2)</f>
        <v>819.61</v>
      </c>
      <c r="Y28">
        <f>ROUND(CZ28,2)</f>
        <v>409.8</v>
      </c>
      <c r="AA28">
        <v>29836452</v>
      </c>
      <c r="AB28">
        <f>ROUND((AC28+AD28+AF28),0)</f>
        <v>7985</v>
      </c>
      <c r="AC28">
        <f>ROUND((ES28),0)</f>
        <v>7</v>
      </c>
      <c r="AD28">
        <f>ROUND(((((ET28*ROUND(1.25,7)))-((EU28*ROUND(1.25,7))))+AE28),0)</f>
        <v>7727</v>
      </c>
      <c r="AE28">
        <f>ROUND(((EU28*ROUND(1.25,7))),0)</f>
        <v>1141</v>
      </c>
      <c r="AF28">
        <f>ROUND(((EV28*ROUND(1.15,7))),0)</f>
        <v>251</v>
      </c>
      <c r="AG28">
        <f>ROUND((AP28),0)</f>
        <v>0</v>
      </c>
      <c r="AH28">
        <f>((EW28*ROUND(1.15,7)))</f>
        <v>36.018000000000001</v>
      </c>
      <c r="AI28">
        <f>((EX28*ROUND(1.25,7)))</f>
        <v>0</v>
      </c>
      <c r="AJ28">
        <f>(AS28)</f>
        <v>0</v>
      </c>
      <c r="AK28">
        <v>6406.05</v>
      </c>
      <c r="AL28">
        <v>6.61</v>
      </c>
      <c r="AM28">
        <v>6181.14</v>
      </c>
      <c r="AN28">
        <v>912.62</v>
      </c>
      <c r="AO28">
        <v>218.3</v>
      </c>
      <c r="AP28">
        <v>0</v>
      </c>
      <c r="AQ28">
        <v>31.32</v>
      </c>
      <c r="AR28">
        <v>0</v>
      </c>
      <c r="AS28">
        <v>0</v>
      </c>
      <c r="AT28">
        <v>92</v>
      </c>
      <c r="AU28">
        <v>46</v>
      </c>
      <c r="AV28">
        <v>1</v>
      </c>
      <c r="AW28">
        <v>1</v>
      </c>
      <c r="AZ28">
        <v>1</v>
      </c>
      <c r="BA28">
        <v>35.86</v>
      </c>
      <c r="BB28">
        <v>1</v>
      </c>
      <c r="BC28">
        <v>1</v>
      </c>
      <c r="BD28" t="s">
        <v>3</v>
      </c>
      <c r="BE28" t="s">
        <v>3</v>
      </c>
      <c r="BF28" t="s">
        <v>3</v>
      </c>
      <c r="BG28" t="s">
        <v>3</v>
      </c>
      <c r="BH28">
        <v>0</v>
      </c>
      <c r="BI28">
        <v>1</v>
      </c>
      <c r="BJ28" t="s">
        <v>28</v>
      </c>
      <c r="BM28">
        <v>1001</v>
      </c>
      <c r="BN28">
        <v>0</v>
      </c>
      <c r="BO28" t="s">
        <v>29</v>
      </c>
      <c r="BP28">
        <v>1</v>
      </c>
      <c r="BQ28">
        <v>2</v>
      </c>
      <c r="BR28">
        <v>0</v>
      </c>
      <c r="BS28">
        <v>35.86</v>
      </c>
      <c r="BT28">
        <v>1</v>
      </c>
      <c r="BU28">
        <v>1</v>
      </c>
      <c r="BV28">
        <v>1</v>
      </c>
      <c r="BW28">
        <v>1</v>
      </c>
      <c r="BX28">
        <v>1</v>
      </c>
      <c r="BY28" t="s">
        <v>3</v>
      </c>
      <c r="BZ28">
        <v>92</v>
      </c>
      <c r="CA28">
        <v>46</v>
      </c>
      <c r="CB28" t="s">
        <v>3</v>
      </c>
      <c r="CE28">
        <v>0</v>
      </c>
      <c r="CF28">
        <v>0</v>
      </c>
      <c r="CG28">
        <v>0</v>
      </c>
      <c r="CM28">
        <v>0</v>
      </c>
      <c r="CN28" t="s">
        <v>30</v>
      </c>
      <c r="CO28">
        <v>0</v>
      </c>
      <c r="CP28">
        <f>(P28+Q28+S28)</f>
        <v>5110.3999999999996</v>
      </c>
      <c r="CQ28">
        <f>AC28*BC28</f>
        <v>7</v>
      </c>
      <c r="CR28">
        <f>AD28*BB28</f>
        <v>7727</v>
      </c>
      <c r="CS28">
        <f t="shared" ref="CS28:CX28" si="21">AE28</f>
        <v>1141</v>
      </c>
      <c r="CT28">
        <f t="shared" si="21"/>
        <v>251</v>
      </c>
      <c r="CU28">
        <f t="shared" si="21"/>
        <v>0</v>
      </c>
      <c r="CV28">
        <f t="shared" si="21"/>
        <v>36.018000000000001</v>
      </c>
      <c r="CW28">
        <f t="shared" si="21"/>
        <v>0</v>
      </c>
      <c r="CX28">
        <f t="shared" si="21"/>
        <v>0</v>
      </c>
      <c r="CY28">
        <f>(((S28+R28)*AT28)/100)</f>
        <v>819.60960000000011</v>
      </c>
      <c r="CZ28">
        <f>(((S28+R28)*AU28)/100)</f>
        <v>409.80480000000006</v>
      </c>
      <c r="DC28" t="s">
        <v>3</v>
      </c>
      <c r="DD28" t="s">
        <v>3</v>
      </c>
      <c r="DE28" t="s">
        <v>31</v>
      </c>
      <c r="DF28" t="s">
        <v>31</v>
      </c>
      <c r="DG28" t="s">
        <v>32</v>
      </c>
      <c r="DH28" t="s">
        <v>3</v>
      </c>
      <c r="DI28" t="s">
        <v>32</v>
      </c>
      <c r="DJ28" t="s">
        <v>31</v>
      </c>
      <c r="DK28" t="s">
        <v>3</v>
      </c>
      <c r="DL28" t="s">
        <v>3</v>
      </c>
      <c r="DM28" t="s">
        <v>3</v>
      </c>
      <c r="DN28">
        <v>0</v>
      </c>
      <c r="DO28">
        <v>0</v>
      </c>
      <c r="DP28">
        <v>1</v>
      </c>
      <c r="DQ28">
        <v>1</v>
      </c>
      <c r="DU28">
        <v>1007</v>
      </c>
      <c r="DV28" t="s">
        <v>27</v>
      </c>
      <c r="DW28" t="s">
        <v>27</v>
      </c>
      <c r="DX28">
        <v>1000</v>
      </c>
      <c r="DZ28" t="s">
        <v>3</v>
      </c>
      <c r="EA28" t="s">
        <v>3</v>
      </c>
      <c r="EB28" t="s">
        <v>3</v>
      </c>
      <c r="EC28" t="s">
        <v>3</v>
      </c>
      <c r="EE28">
        <v>29577974</v>
      </c>
      <c r="EF28">
        <v>2</v>
      </c>
      <c r="EG28" t="s">
        <v>33</v>
      </c>
      <c r="EH28">
        <v>1</v>
      </c>
      <c r="EI28" t="s">
        <v>34</v>
      </c>
      <c r="EJ28">
        <v>1</v>
      </c>
      <c r="EK28">
        <v>1001</v>
      </c>
      <c r="EL28" t="s">
        <v>35</v>
      </c>
      <c r="EM28" t="s">
        <v>36</v>
      </c>
      <c r="EO28" t="s">
        <v>37</v>
      </c>
      <c r="EQ28">
        <v>512</v>
      </c>
      <c r="ER28">
        <v>6406.05</v>
      </c>
      <c r="ES28">
        <v>6.61</v>
      </c>
      <c r="ET28">
        <v>6181.14</v>
      </c>
      <c r="EU28">
        <v>912.62</v>
      </c>
      <c r="EV28">
        <v>218.3</v>
      </c>
      <c r="EW28">
        <v>31.32</v>
      </c>
      <c r="EX28">
        <v>0</v>
      </c>
      <c r="EY28">
        <v>0</v>
      </c>
      <c r="FQ28">
        <v>0</v>
      </c>
      <c r="FR28">
        <f t="shared" ref="FR28:FR58" si="22">ROUND(IF(AND(BH28=3,BI28=3),P28,0),2)</f>
        <v>0</v>
      </c>
      <c r="FS28">
        <v>0</v>
      </c>
      <c r="FX28">
        <v>92</v>
      </c>
      <c r="FY28">
        <v>46</v>
      </c>
      <c r="GA28" t="s">
        <v>3</v>
      </c>
      <c r="GD28">
        <v>1</v>
      </c>
      <c r="GF28">
        <v>-276714409</v>
      </c>
      <c r="GG28">
        <v>2</v>
      </c>
      <c r="GH28">
        <v>1</v>
      </c>
      <c r="GI28">
        <v>4</v>
      </c>
      <c r="GJ28">
        <v>0</v>
      </c>
      <c r="GK28">
        <v>0</v>
      </c>
      <c r="GL28">
        <f t="shared" ref="GL28:GL58" si="23">ROUND(IF(AND(BH28=3,BI28=3,FS28&lt;&gt;0),P28,0),2)</f>
        <v>0</v>
      </c>
      <c r="GM28">
        <f>ROUND(O28+X28+Y28,2)+GX28</f>
        <v>6339.81</v>
      </c>
      <c r="GN28">
        <f>IF(OR(BI28=0,BI28=1),ROUND(O28+X28+Y28,2),0)</f>
        <v>6339.81</v>
      </c>
      <c r="GO28">
        <f>IF(BI28=2,ROUND(O28+X28+Y28,2),0)</f>
        <v>0</v>
      </c>
      <c r="GP28">
        <f>IF(BI28=4,ROUND(O28+X28+Y28,2)+GX28,0)</f>
        <v>0</v>
      </c>
      <c r="GR28">
        <v>0</v>
      </c>
      <c r="GS28">
        <v>3</v>
      </c>
      <c r="GT28">
        <v>0</v>
      </c>
      <c r="GU28" t="s">
        <v>3</v>
      </c>
      <c r="GV28">
        <f>ROUND((GT28),0)</f>
        <v>0</v>
      </c>
      <c r="GW28">
        <v>1</v>
      </c>
      <c r="GX28">
        <f>ROUND(HC28*I28,2)</f>
        <v>0</v>
      </c>
      <c r="HA28">
        <v>0</v>
      </c>
      <c r="HB28">
        <v>0</v>
      </c>
      <c r="HC28">
        <f>GV28*GW28</f>
        <v>0</v>
      </c>
      <c r="HE28" t="s">
        <v>3</v>
      </c>
      <c r="HF28" t="s">
        <v>3</v>
      </c>
      <c r="HI28">
        <f t="shared" ref="HI28:HI58" si="24">ROUND(R28*BS28,2)</f>
        <v>26186.41</v>
      </c>
      <c r="HJ28">
        <f t="shared" ref="HJ28:HJ58" si="25">ROUND(S28*BA28,2)</f>
        <v>5760.55</v>
      </c>
      <c r="HK28">
        <f>ROUND((((HJ28+HI28)*AT28)/100),2)</f>
        <v>29391.200000000001</v>
      </c>
      <c r="HL28">
        <f>ROUND((((HJ28+HI28)*AU28)/100),2)</f>
        <v>14695.6</v>
      </c>
      <c r="HM28" t="s">
        <v>3</v>
      </c>
      <c r="HN28" t="s">
        <v>3</v>
      </c>
      <c r="HO28" t="s">
        <v>3</v>
      </c>
      <c r="HP28" t="s">
        <v>3</v>
      </c>
      <c r="HQ28" t="s">
        <v>3</v>
      </c>
      <c r="IK28">
        <v>0</v>
      </c>
    </row>
    <row r="29" spans="1:245" x14ac:dyDescent="0.2">
      <c r="A29">
        <v>17</v>
      </c>
      <c r="B29">
        <v>1</v>
      </c>
      <c r="E29" t="s">
        <v>38</v>
      </c>
      <c r="F29" t="s">
        <v>39</v>
      </c>
      <c r="G29" t="s">
        <v>40</v>
      </c>
      <c r="H29" t="s">
        <v>41</v>
      </c>
      <c r="I29">
        <f>ROUND(ROUND(1089,4),7)</f>
        <v>1089</v>
      </c>
      <c r="J29">
        <v>0</v>
      </c>
      <c r="K29">
        <f>ROUND(ROUND(1089,4),7)</f>
        <v>1089</v>
      </c>
      <c r="O29">
        <f>0</f>
        <v>0</v>
      </c>
      <c r="P29">
        <f>0</f>
        <v>0</v>
      </c>
      <c r="Q29">
        <f>0</f>
        <v>0</v>
      </c>
      <c r="R29">
        <f>0</f>
        <v>0</v>
      </c>
      <c r="S29">
        <f>0</f>
        <v>0</v>
      </c>
      <c r="T29">
        <f>0</f>
        <v>0</v>
      </c>
      <c r="U29">
        <f>0</f>
        <v>0</v>
      </c>
      <c r="V29">
        <f>0</f>
        <v>0</v>
      </c>
      <c r="W29">
        <f>0</f>
        <v>0</v>
      </c>
      <c r="X29">
        <f>0</f>
        <v>0</v>
      </c>
      <c r="Y29">
        <f>0</f>
        <v>0</v>
      </c>
      <c r="AA29">
        <v>29836452</v>
      </c>
      <c r="AB29">
        <f>ROUND((AK29),0)</f>
        <v>14</v>
      </c>
      <c r="AC29">
        <f>0</f>
        <v>0</v>
      </c>
      <c r="AD29">
        <f>0</f>
        <v>0</v>
      </c>
      <c r="AE29">
        <f>0</f>
        <v>0</v>
      </c>
      <c r="AF29">
        <f>0</f>
        <v>0</v>
      </c>
      <c r="AG29">
        <f>0</f>
        <v>0</v>
      </c>
      <c r="AH29">
        <f>0</f>
        <v>0</v>
      </c>
      <c r="AI29">
        <f>0</f>
        <v>0</v>
      </c>
      <c r="AJ29">
        <f>0</f>
        <v>0</v>
      </c>
      <c r="AK29">
        <v>13.79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1</v>
      </c>
      <c r="AW29">
        <v>1</v>
      </c>
      <c r="AZ29">
        <v>1</v>
      </c>
      <c r="BA29">
        <v>1</v>
      </c>
      <c r="BB29">
        <v>1</v>
      </c>
      <c r="BC29">
        <v>1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1</v>
      </c>
      <c r="BJ29" t="s">
        <v>42</v>
      </c>
      <c r="BM29">
        <v>700005</v>
      </c>
      <c r="BN29">
        <v>0</v>
      </c>
      <c r="BO29" t="s">
        <v>29</v>
      </c>
      <c r="BP29">
        <v>1</v>
      </c>
      <c r="BQ29">
        <v>10</v>
      </c>
      <c r="BR29">
        <v>0</v>
      </c>
      <c r="BS29">
        <v>1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0</v>
      </c>
      <c r="CA29">
        <v>0</v>
      </c>
      <c r="CB29" t="s">
        <v>3</v>
      </c>
      <c r="CE29">
        <v>0</v>
      </c>
      <c r="CF29">
        <v>0</v>
      </c>
      <c r="CG29">
        <v>0</v>
      </c>
      <c r="CM29">
        <v>0</v>
      </c>
      <c r="CN29" t="s">
        <v>3</v>
      </c>
      <c r="CO29">
        <v>0</v>
      </c>
      <c r="CP29">
        <f>AB29*AZ29</f>
        <v>14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C29" t="s">
        <v>3</v>
      </c>
      <c r="DD29" t="s">
        <v>3</v>
      </c>
      <c r="DE29" t="s">
        <v>3</v>
      </c>
      <c r="DF29" t="s">
        <v>3</v>
      </c>
      <c r="DG29" t="s">
        <v>3</v>
      </c>
      <c r="DH29" t="s">
        <v>3</v>
      </c>
      <c r="DI29" t="s">
        <v>3</v>
      </c>
      <c r="DJ29" t="s">
        <v>3</v>
      </c>
      <c r="DK29" t="s">
        <v>3</v>
      </c>
      <c r="DL29" t="s">
        <v>3</v>
      </c>
      <c r="DM29" t="s">
        <v>3</v>
      </c>
      <c r="DN29">
        <v>0</v>
      </c>
      <c r="DO29">
        <v>0</v>
      </c>
      <c r="DP29">
        <v>1</v>
      </c>
      <c r="DQ29">
        <v>1</v>
      </c>
      <c r="DU29">
        <v>1013</v>
      </c>
      <c r="DV29" t="s">
        <v>41</v>
      </c>
      <c r="DW29" t="s">
        <v>41</v>
      </c>
      <c r="DX29">
        <v>1</v>
      </c>
      <c r="DZ29" t="s">
        <v>3</v>
      </c>
      <c r="EA29" t="s">
        <v>3</v>
      </c>
      <c r="EB29" t="s">
        <v>3</v>
      </c>
      <c r="EC29" t="s">
        <v>3</v>
      </c>
      <c r="EE29">
        <v>29578226</v>
      </c>
      <c r="EF29">
        <v>10</v>
      </c>
      <c r="EG29" t="s">
        <v>43</v>
      </c>
      <c r="EH29">
        <v>107</v>
      </c>
      <c r="EI29" t="s">
        <v>44</v>
      </c>
      <c r="EJ29">
        <v>1</v>
      </c>
      <c r="EK29">
        <v>700005</v>
      </c>
      <c r="EL29" t="s">
        <v>44</v>
      </c>
      <c r="EM29" t="s">
        <v>45</v>
      </c>
      <c r="EO29" t="s">
        <v>3</v>
      </c>
      <c r="EQ29">
        <v>0</v>
      </c>
      <c r="ER29">
        <v>0</v>
      </c>
      <c r="ES29">
        <v>0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FQ29">
        <v>0</v>
      </c>
      <c r="FR29">
        <f t="shared" si="22"/>
        <v>0</v>
      </c>
      <c r="FS29">
        <v>0</v>
      </c>
      <c r="FX29">
        <v>0</v>
      </c>
      <c r="FY29">
        <v>0</v>
      </c>
      <c r="GA29" t="s">
        <v>3</v>
      </c>
      <c r="GD29">
        <v>1</v>
      </c>
      <c r="GF29">
        <v>635034058</v>
      </c>
      <c r="GG29">
        <v>2</v>
      </c>
      <c r="GH29">
        <v>1</v>
      </c>
      <c r="GI29">
        <v>4</v>
      </c>
      <c r="GJ29">
        <v>2</v>
      </c>
      <c r="GK29">
        <v>0</v>
      </c>
      <c r="GL29">
        <f t="shared" si="23"/>
        <v>0</v>
      </c>
      <c r="GM29">
        <f>ROUND(CP29*I29,2)</f>
        <v>15246</v>
      </c>
      <c r="GN29">
        <f>IF(OR(BI29=0,BI29=1),ROUND(CP29*I29,2),0)</f>
        <v>15246</v>
      </c>
      <c r="GO29">
        <f>IF(BI29=2,ROUND(CP29*I29,2),0)</f>
        <v>0</v>
      </c>
      <c r="GP29">
        <f>IF(BI29=4,ROUND(CP29*I29,2)+GX29,0)</f>
        <v>0</v>
      </c>
      <c r="GR29">
        <v>0</v>
      </c>
      <c r="GS29">
        <v>3</v>
      </c>
      <c r="GT29">
        <v>0</v>
      </c>
      <c r="GU29" t="s">
        <v>3</v>
      </c>
      <c r="GV29">
        <f>0</f>
        <v>0</v>
      </c>
      <c r="GW29">
        <v>1</v>
      </c>
      <c r="GX29">
        <f>0</f>
        <v>0</v>
      </c>
      <c r="HA29">
        <v>0</v>
      </c>
      <c r="HB29">
        <v>0</v>
      </c>
      <c r="HC29">
        <v>0</v>
      </c>
      <c r="HE29" t="s">
        <v>3</v>
      </c>
      <c r="HF29" t="s">
        <v>3</v>
      </c>
      <c r="HI29">
        <f t="shared" si="24"/>
        <v>0</v>
      </c>
      <c r="HJ29">
        <f t="shared" si="25"/>
        <v>0</v>
      </c>
      <c r="HM29" t="s">
        <v>3</v>
      </c>
      <c r="HN29" t="s">
        <v>3</v>
      </c>
      <c r="HO29" t="s">
        <v>3</v>
      </c>
      <c r="HP29" t="s">
        <v>3</v>
      </c>
      <c r="HQ29" t="s">
        <v>3</v>
      </c>
      <c r="IK29">
        <v>0</v>
      </c>
    </row>
    <row r="30" spans="1:245" x14ac:dyDescent="0.2">
      <c r="A30">
        <v>17</v>
      </c>
      <c r="B30">
        <v>1</v>
      </c>
      <c r="C30">
        <f>ROW(SmtRes!A13)</f>
        <v>13</v>
      </c>
      <c r="D30">
        <f>ROW(EtalonRes!A14)</f>
        <v>14</v>
      </c>
      <c r="E30" t="s">
        <v>46</v>
      </c>
      <c r="F30" t="s">
        <v>47</v>
      </c>
      <c r="G30" t="s">
        <v>48</v>
      </c>
      <c r="H30" t="s">
        <v>49</v>
      </c>
      <c r="I30">
        <f>ROUND(ROUND(263/100,4),7)</f>
        <v>2.63</v>
      </c>
      <c r="J30">
        <v>0</v>
      </c>
      <c r="K30">
        <f>ROUND(ROUND(263/100,4),7)</f>
        <v>2.63</v>
      </c>
      <c r="O30">
        <f t="shared" ref="O30:O58" si="26">ROUND(CP30,2)</f>
        <v>11698.24</v>
      </c>
      <c r="P30">
        <f t="shared" ref="P30:P58" si="27">ROUND(CQ30*I30,2)</f>
        <v>44.71</v>
      </c>
      <c r="Q30">
        <f t="shared" ref="Q30:Q58" si="28">ROUND(CR30*I30,2)</f>
        <v>11124.9</v>
      </c>
      <c r="R30">
        <f t="shared" ref="R30:R58" si="29">ROUND(CS30*I30,2)</f>
        <v>802.15</v>
      </c>
      <c r="S30">
        <f t="shared" ref="S30:S58" si="30">ROUND(CT30*I30,2)</f>
        <v>528.63</v>
      </c>
      <c r="T30">
        <f t="shared" ref="T30:T58" si="31">ROUND(CU30*I30,2)</f>
        <v>0</v>
      </c>
      <c r="U30">
        <f t="shared" ref="U30:U58" si="32">CV30*I30</f>
        <v>73.162655000000001</v>
      </c>
      <c r="V30">
        <f t="shared" ref="V30:V58" si="33">CW30*I30</f>
        <v>0</v>
      </c>
      <c r="W30">
        <f t="shared" ref="W30:W58" si="34">ROUND(CX30*I30,2)</f>
        <v>0</v>
      </c>
      <c r="X30">
        <f t="shared" ref="X30:X58" si="35">ROUND(CY30,2)</f>
        <v>1676.78</v>
      </c>
      <c r="Y30">
        <f t="shared" ref="Y30:Y58" si="36">ROUND(CZ30,2)</f>
        <v>1264.24</v>
      </c>
      <c r="AA30">
        <v>29836452</v>
      </c>
      <c r="AB30">
        <f t="shared" ref="AB30:AB58" si="37">ROUND((AC30+AD30+AF30),0)</f>
        <v>4448</v>
      </c>
      <c r="AC30">
        <f t="shared" ref="AC30:AC38" si="38">ROUND((ES30),0)</f>
        <v>17</v>
      </c>
      <c r="AD30">
        <f>ROUND(((((ET30*ROUND(1.25,7)))-((EU30*ROUND(1.25,7))))+AE30),0)</f>
        <v>4230</v>
      </c>
      <c r="AE30">
        <f>ROUND(((EU30*ROUND(1.25,7))),0)</f>
        <v>305</v>
      </c>
      <c r="AF30">
        <f>ROUND(((EV30*ROUND(1.15,7))),0)</f>
        <v>201</v>
      </c>
      <c r="AG30">
        <f t="shared" ref="AG30:AG58" si="39">ROUND((AP30),0)</f>
        <v>0</v>
      </c>
      <c r="AH30">
        <f>((EW30*ROUND(1.15,7)))</f>
        <v>27.8185</v>
      </c>
      <c r="AI30">
        <f>((EX30*ROUND(1.25,7)))</f>
        <v>0</v>
      </c>
      <c r="AJ30">
        <f t="shared" ref="AJ30:AJ58" si="40">(AS30)</f>
        <v>0</v>
      </c>
      <c r="AK30">
        <v>3575.71</v>
      </c>
      <c r="AL30">
        <v>17.079999999999998</v>
      </c>
      <c r="AM30">
        <v>3383.98</v>
      </c>
      <c r="AN30">
        <v>244.35</v>
      </c>
      <c r="AO30">
        <v>174.65</v>
      </c>
      <c r="AP30">
        <v>0</v>
      </c>
      <c r="AQ30">
        <v>24.19</v>
      </c>
      <c r="AR30">
        <v>0</v>
      </c>
      <c r="AS30">
        <v>0</v>
      </c>
      <c r="AT30">
        <v>126</v>
      </c>
      <c r="AU30">
        <v>95</v>
      </c>
      <c r="AV30">
        <v>1</v>
      </c>
      <c r="AW30">
        <v>1</v>
      </c>
      <c r="AZ30">
        <v>1</v>
      </c>
      <c r="BA30">
        <v>35.86</v>
      </c>
      <c r="BB30">
        <v>1</v>
      </c>
      <c r="BC30">
        <v>1</v>
      </c>
      <c r="BD30" t="s">
        <v>3</v>
      </c>
      <c r="BE30" t="s">
        <v>3</v>
      </c>
      <c r="BF30" t="s">
        <v>3</v>
      </c>
      <c r="BG30" t="s">
        <v>3</v>
      </c>
      <c r="BH30">
        <v>0</v>
      </c>
      <c r="BI30">
        <v>1</v>
      </c>
      <c r="BJ30" t="s">
        <v>50</v>
      </c>
      <c r="BM30">
        <v>27001</v>
      </c>
      <c r="BN30">
        <v>0</v>
      </c>
      <c r="BO30" t="s">
        <v>29</v>
      </c>
      <c r="BP30">
        <v>1</v>
      </c>
      <c r="BQ30">
        <v>2</v>
      </c>
      <c r="BR30">
        <v>0</v>
      </c>
      <c r="BS30">
        <v>35.86</v>
      </c>
      <c r="BT30">
        <v>1</v>
      </c>
      <c r="BU30">
        <v>1</v>
      </c>
      <c r="BV30">
        <v>1</v>
      </c>
      <c r="BW30">
        <v>1</v>
      </c>
      <c r="BX30">
        <v>1</v>
      </c>
      <c r="BY30" t="s">
        <v>3</v>
      </c>
      <c r="BZ30">
        <v>126</v>
      </c>
      <c r="CA30">
        <v>95</v>
      </c>
      <c r="CB30" t="s">
        <v>3</v>
      </c>
      <c r="CE30">
        <v>0</v>
      </c>
      <c r="CF30">
        <v>0</v>
      </c>
      <c r="CG30">
        <v>0</v>
      </c>
      <c r="CM30">
        <v>0</v>
      </c>
      <c r="CN30" t="s">
        <v>30</v>
      </c>
      <c r="CO30">
        <v>0</v>
      </c>
      <c r="CP30">
        <f t="shared" ref="CP30:CP58" si="41">(P30+Q30+S30)</f>
        <v>11698.239999999998</v>
      </c>
      <c r="CQ30">
        <f t="shared" ref="CQ30:CQ58" si="42">AC30*BC30</f>
        <v>17</v>
      </c>
      <c r="CR30">
        <f t="shared" ref="CR30:CR58" si="43">AD30*BB30</f>
        <v>4230</v>
      </c>
      <c r="CS30">
        <f t="shared" ref="CS30:CS58" si="44">AE30</f>
        <v>305</v>
      </c>
      <c r="CT30">
        <f t="shared" ref="CT30:CT58" si="45">AF30</f>
        <v>201</v>
      </c>
      <c r="CU30">
        <f t="shared" ref="CU30:CU58" si="46">AG30</f>
        <v>0</v>
      </c>
      <c r="CV30">
        <f t="shared" ref="CV30:CV58" si="47">AH30</f>
        <v>27.8185</v>
      </c>
      <c r="CW30">
        <f t="shared" ref="CW30:CW58" si="48">AI30</f>
        <v>0</v>
      </c>
      <c r="CX30">
        <f t="shared" ref="CX30:CX58" si="49">AJ30</f>
        <v>0</v>
      </c>
      <c r="CY30">
        <f t="shared" ref="CY30:CY58" si="50">(((S30+R30)*AT30)/100)</f>
        <v>1676.7828</v>
      </c>
      <c r="CZ30">
        <f t="shared" ref="CZ30:CZ58" si="51">(((S30+R30)*AU30)/100)</f>
        <v>1264.241</v>
      </c>
      <c r="DC30" t="s">
        <v>3</v>
      </c>
      <c r="DD30" t="s">
        <v>3</v>
      </c>
      <c r="DE30" t="s">
        <v>31</v>
      </c>
      <c r="DF30" t="s">
        <v>31</v>
      </c>
      <c r="DG30" t="s">
        <v>32</v>
      </c>
      <c r="DH30" t="s">
        <v>3</v>
      </c>
      <c r="DI30" t="s">
        <v>32</v>
      </c>
      <c r="DJ30" t="s">
        <v>31</v>
      </c>
      <c r="DK30" t="s">
        <v>3</v>
      </c>
      <c r="DL30" t="s">
        <v>3</v>
      </c>
      <c r="DM30" t="s">
        <v>3</v>
      </c>
      <c r="DN30">
        <v>0</v>
      </c>
      <c r="DO30">
        <v>0</v>
      </c>
      <c r="DP30">
        <v>1</v>
      </c>
      <c r="DQ30">
        <v>1</v>
      </c>
      <c r="DU30">
        <v>1007</v>
      </c>
      <c r="DV30" t="s">
        <v>49</v>
      </c>
      <c r="DW30" t="s">
        <v>49</v>
      </c>
      <c r="DX30">
        <v>100</v>
      </c>
      <c r="DZ30" t="s">
        <v>3</v>
      </c>
      <c r="EA30" t="s">
        <v>3</v>
      </c>
      <c r="EB30" t="s">
        <v>3</v>
      </c>
      <c r="EC30" t="s">
        <v>3</v>
      </c>
      <c r="EE30">
        <v>29578057</v>
      </c>
      <c r="EF30">
        <v>2</v>
      </c>
      <c r="EG30" t="s">
        <v>33</v>
      </c>
      <c r="EH30">
        <v>21</v>
      </c>
      <c r="EI30" t="s">
        <v>51</v>
      </c>
      <c r="EJ30">
        <v>1</v>
      </c>
      <c r="EK30">
        <v>27001</v>
      </c>
      <c r="EL30" t="s">
        <v>51</v>
      </c>
      <c r="EM30" t="s">
        <v>52</v>
      </c>
      <c r="EO30" t="s">
        <v>37</v>
      </c>
      <c r="EQ30">
        <v>512</v>
      </c>
      <c r="ER30">
        <v>3575.71</v>
      </c>
      <c r="ES30">
        <v>17.079999999999998</v>
      </c>
      <c r="ET30">
        <v>3383.98</v>
      </c>
      <c r="EU30">
        <v>244.35</v>
      </c>
      <c r="EV30">
        <v>174.65</v>
      </c>
      <c r="EW30">
        <v>24.19</v>
      </c>
      <c r="EX30">
        <v>0</v>
      </c>
      <c r="EY30">
        <v>0</v>
      </c>
      <c r="FQ30">
        <v>0</v>
      </c>
      <c r="FR30">
        <f t="shared" si="22"/>
        <v>0</v>
      </c>
      <c r="FS30">
        <v>0</v>
      </c>
      <c r="FX30">
        <v>126</v>
      </c>
      <c r="FY30">
        <v>95</v>
      </c>
      <c r="GA30" t="s">
        <v>3</v>
      </c>
      <c r="GD30">
        <v>1</v>
      </c>
      <c r="GF30">
        <v>1626827432</v>
      </c>
      <c r="GG30">
        <v>2</v>
      </c>
      <c r="GH30">
        <v>1</v>
      </c>
      <c r="GI30">
        <v>4</v>
      </c>
      <c r="GJ30">
        <v>0</v>
      </c>
      <c r="GK30">
        <v>0</v>
      </c>
      <c r="GL30">
        <f t="shared" si="23"/>
        <v>0</v>
      </c>
      <c r="GM30">
        <f t="shared" ref="GM30:GM58" si="52">ROUND(O30+X30+Y30,2)+GX30</f>
        <v>14639.26</v>
      </c>
      <c r="GN30">
        <f t="shared" ref="GN30:GN58" si="53">IF(OR(BI30=0,BI30=1),ROUND(O30+X30+Y30,2),0)</f>
        <v>14639.26</v>
      </c>
      <c r="GO30">
        <f t="shared" ref="GO30:GO58" si="54">IF(BI30=2,ROUND(O30+X30+Y30,2),0)</f>
        <v>0</v>
      </c>
      <c r="GP30">
        <f t="shared" ref="GP30:GP58" si="55">IF(BI30=4,ROUND(O30+X30+Y30,2)+GX30,0)</f>
        <v>0</v>
      </c>
      <c r="GR30">
        <v>0</v>
      </c>
      <c r="GS30">
        <v>3</v>
      </c>
      <c r="GT30">
        <v>0</v>
      </c>
      <c r="GU30" t="s">
        <v>3</v>
      </c>
      <c r="GV30">
        <f t="shared" ref="GV30:GV58" si="56">ROUND((GT30),0)</f>
        <v>0</v>
      </c>
      <c r="GW30">
        <v>1</v>
      </c>
      <c r="GX30">
        <f t="shared" ref="GX30:GX58" si="57">ROUND(HC30*I30,2)</f>
        <v>0</v>
      </c>
      <c r="HA30">
        <v>0</v>
      </c>
      <c r="HB30">
        <v>0</v>
      </c>
      <c r="HC30">
        <f t="shared" ref="HC30:HC58" si="58">GV30*GW30</f>
        <v>0</v>
      </c>
      <c r="HE30" t="s">
        <v>3</v>
      </c>
      <c r="HF30" t="s">
        <v>3</v>
      </c>
      <c r="HI30">
        <f t="shared" si="24"/>
        <v>28765.1</v>
      </c>
      <c r="HJ30">
        <f t="shared" si="25"/>
        <v>18956.669999999998</v>
      </c>
      <c r="HK30">
        <f t="shared" ref="HK30:HK58" si="59">ROUND((((HJ30+HI30)*AT30)/100),2)</f>
        <v>60129.43</v>
      </c>
      <c r="HL30">
        <f t="shared" ref="HL30:HL58" si="60">ROUND((((HJ30+HI30)*AU30)/100),2)</f>
        <v>45335.68</v>
      </c>
      <c r="HM30" t="s">
        <v>3</v>
      </c>
      <c r="HN30" t="s">
        <v>3</v>
      </c>
      <c r="HO30" t="s">
        <v>3</v>
      </c>
      <c r="HP30" t="s">
        <v>3</v>
      </c>
      <c r="HQ30" t="s">
        <v>3</v>
      </c>
      <c r="IK30">
        <v>0</v>
      </c>
    </row>
    <row r="31" spans="1:245" x14ac:dyDescent="0.2">
      <c r="A31">
        <v>17</v>
      </c>
      <c r="B31">
        <v>1</v>
      </c>
      <c r="E31" t="s">
        <v>53</v>
      </c>
      <c r="F31" t="s">
        <v>54</v>
      </c>
      <c r="G31" t="s">
        <v>55</v>
      </c>
      <c r="H31" t="s">
        <v>56</v>
      </c>
      <c r="I31">
        <f>ROUND(ROUND(69.6,4),7)</f>
        <v>69.599999999999994</v>
      </c>
      <c r="J31">
        <v>0</v>
      </c>
      <c r="K31">
        <f>ROUND(ROUND(69.6,4),7)</f>
        <v>69.599999999999994</v>
      </c>
      <c r="O31">
        <f t="shared" si="26"/>
        <v>11275.2</v>
      </c>
      <c r="P31">
        <f t="shared" si="27"/>
        <v>11275.2</v>
      </c>
      <c r="Q31">
        <f t="shared" si="28"/>
        <v>0</v>
      </c>
      <c r="R31">
        <f t="shared" si="29"/>
        <v>0</v>
      </c>
      <c r="S31">
        <f t="shared" si="30"/>
        <v>0</v>
      </c>
      <c r="T31">
        <f t="shared" si="31"/>
        <v>0</v>
      </c>
      <c r="U31">
        <f t="shared" si="32"/>
        <v>0</v>
      </c>
      <c r="V31">
        <f t="shared" si="33"/>
        <v>0</v>
      </c>
      <c r="W31">
        <f t="shared" si="34"/>
        <v>0</v>
      </c>
      <c r="X31">
        <f t="shared" si="35"/>
        <v>0</v>
      </c>
      <c r="Y31">
        <f t="shared" si="36"/>
        <v>0</v>
      </c>
      <c r="AA31">
        <v>29836452</v>
      </c>
      <c r="AB31">
        <f t="shared" si="37"/>
        <v>162</v>
      </c>
      <c r="AC31">
        <f t="shared" si="38"/>
        <v>162</v>
      </c>
      <c r="AD31">
        <f>ROUND((((ET31)-(EU31))+AE31),0)</f>
        <v>0</v>
      </c>
      <c r="AE31">
        <f t="shared" ref="AE31:AF35" si="61">ROUND((EU31),0)</f>
        <v>0</v>
      </c>
      <c r="AF31">
        <f t="shared" si="61"/>
        <v>0</v>
      </c>
      <c r="AG31">
        <f t="shared" si="39"/>
        <v>0</v>
      </c>
      <c r="AH31">
        <f t="shared" ref="AH31:AI35" si="62">(EW31)</f>
        <v>0</v>
      </c>
      <c r="AI31">
        <f t="shared" si="62"/>
        <v>0</v>
      </c>
      <c r="AJ31">
        <f t="shared" si="40"/>
        <v>0</v>
      </c>
      <c r="AK31">
        <v>162.33000000000001</v>
      </c>
      <c r="AL31">
        <v>162.33000000000001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1</v>
      </c>
      <c r="AW31">
        <v>1</v>
      </c>
      <c r="AZ31">
        <v>1</v>
      </c>
      <c r="BA31">
        <v>1</v>
      </c>
      <c r="BB31">
        <v>1</v>
      </c>
      <c r="BC31">
        <v>1</v>
      </c>
      <c r="BD31" t="s">
        <v>3</v>
      </c>
      <c r="BE31" t="s">
        <v>3</v>
      </c>
      <c r="BF31" t="s">
        <v>3</v>
      </c>
      <c r="BG31" t="s">
        <v>3</v>
      </c>
      <c r="BH31">
        <v>3</v>
      </c>
      <c r="BI31">
        <v>1</v>
      </c>
      <c r="BJ31" t="s">
        <v>57</v>
      </c>
      <c r="BM31">
        <v>500001</v>
      </c>
      <c r="BN31">
        <v>0</v>
      </c>
      <c r="BO31" t="s">
        <v>29</v>
      </c>
      <c r="BP31">
        <v>1</v>
      </c>
      <c r="BQ31">
        <v>8</v>
      </c>
      <c r="BR31">
        <v>0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0</v>
      </c>
      <c r="CA31">
        <v>0</v>
      </c>
      <c r="CB31" t="s">
        <v>3</v>
      </c>
      <c r="CE31">
        <v>0</v>
      </c>
      <c r="CF31">
        <v>0</v>
      </c>
      <c r="CG31">
        <v>0</v>
      </c>
      <c r="CM31">
        <v>0</v>
      </c>
      <c r="CN31" t="s">
        <v>3</v>
      </c>
      <c r="CO31">
        <v>0</v>
      </c>
      <c r="CP31">
        <f t="shared" si="41"/>
        <v>11275.2</v>
      </c>
      <c r="CQ31">
        <f t="shared" si="42"/>
        <v>162</v>
      </c>
      <c r="CR31">
        <f t="shared" si="43"/>
        <v>0</v>
      </c>
      <c r="CS31">
        <f t="shared" si="44"/>
        <v>0</v>
      </c>
      <c r="CT31">
        <f t="shared" si="45"/>
        <v>0</v>
      </c>
      <c r="CU31">
        <f t="shared" si="46"/>
        <v>0</v>
      </c>
      <c r="CV31">
        <f t="shared" si="47"/>
        <v>0</v>
      </c>
      <c r="CW31">
        <f t="shared" si="48"/>
        <v>0</v>
      </c>
      <c r="CX31">
        <f t="shared" si="49"/>
        <v>0</v>
      </c>
      <c r="CY31">
        <f t="shared" si="50"/>
        <v>0</v>
      </c>
      <c r="CZ31">
        <f t="shared" si="51"/>
        <v>0</v>
      </c>
      <c r="DC31" t="s">
        <v>3</v>
      </c>
      <c r="DD31" t="s">
        <v>3</v>
      </c>
      <c r="DE31" t="s">
        <v>3</v>
      </c>
      <c r="DF31" t="s">
        <v>3</v>
      </c>
      <c r="DG31" t="s">
        <v>3</v>
      </c>
      <c r="DH31" t="s">
        <v>3</v>
      </c>
      <c r="DI31" t="s">
        <v>3</v>
      </c>
      <c r="DJ31" t="s">
        <v>3</v>
      </c>
      <c r="DK31" t="s">
        <v>3</v>
      </c>
      <c r="DL31" t="s">
        <v>3</v>
      </c>
      <c r="DM31" t="s">
        <v>3</v>
      </c>
      <c r="DN31">
        <v>0</v>
      </c>
      <c r="DO31">
        <v>0</v>
      </c>
      <c r="DP31">
        <v>1</v>
      </c>
      <c r="DQ31">
        <v>1</v>
      </c>
      <c r="DU31">
        <v>1007</v>
      </c>
      <c r="DV31" t="s">
        <v>56</v>
      </c>
      <c r="DW31" t="s">
        <v>56</v>
      </c>
      <c r="DX31">
        <v>1</v>
      </c>
      <c r="DZ31" t="s">
        <v>3</v>
      </c>
      <c r="EA31" t="s">
        <v>3</v>
      </c>
      <c r="EB31" t="s">
        <v>3</v>
      </c>
      <c r="EC31" t="s">
        <v>3</v>
      </c>
      <c r="EE31">
        <v>29577929</v>
      </c>
      <c r="EF31">
        <v>8</v>
      </c>
      <c r="EG31" t="s">
        <v>58</v>
      </c>
      <c r="EH31">
        <v>0</v>
      </c>
      <c r="EI31" t="s">
        <v>3</v>
      </c>
      <c r="EJ31">
        <v>1</v>
      </c>
      <c r="EK31">
        <v>500001</v>
      </c>
      <c r="EL31" t="s">
        <v>59</v>
      </c>
      <c r="EM31" t="s">
        <v>60</v>
      </c>
      <c r="EO31" t="s">
        <v>3</v>
      </c>
      <c r="EQ31">
        <v>0</v>
      </c>
      <c r="ER31">
        <v>162.33000000000001</v>
      </c>
      <c r="ES31">
        <v>162.33000000000001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FQ31">
        <v>0</v>
      </c>
      <c r="FR31">
        <f t="shared" si="22"/>
        <v>0</v>
      </c>
      <c r="FS31">
        <v>0</v>
      </c>
      <c r="FX31">
        <v>0</v>
      </c>
      <c r="FY31">
        <v>0</v>
      </c>
      <c r="GA31" t="s">
        <v>3</v>
      </c>
      <c r="GD31">
        <v>1</v>
      </c>
      <c r="GF31">
        <v>619409258</v>
      </c>
      <c r="GG31">
        <v>2</v>
      </c>
      <c r="GH31">
        <v>1</v>
      </c>
      <c r="GI31">
        <v>4</v>
      </c>
      <c r="GJ31">
        <v>0</v>
      </c>
      <c r="GK31">
        <v>0</v>
      </c>
      <c r="GL31">
        <f t="shared" si="23"/>
        <v>0</v>
      </c>
      <c r="GM31">
        <f t="shared" si="52"/>
        <v>11275.2</v>
      </c>
      <c r="GN31">
        <f t="shared" si="53"/>
        <v>11275.2</v>
      </c>
      <c r="GO31">
        <f t="shared" si="54"/>
        <v>0</v>
      </c>
      <c r="GP31">
        <f t="shared" si="55"/>
        <v>0</v>
      </c>
      <c r="GR31">
        <v>0</v>
      </c>
      <c r="GS31">
        <v>3</v>
      </c>
      <c r="GT31">
        <v>0</v>
      </c>
      <c r="GU31" t="s">
        <v>3</v>
      </c>
      <c r="GV31">
        <f t="shared" si="56"/>
        <v>0</v>
      </c>
      <c r="GW31">
        <v>1</v>
      </c>
      <c r="GX31">
        <f t="shared" si="57"/>
        <v>0</v>
      </c>
      <c r="HA31">
        <v>0</v>
      </c>
      <c r="HB31">
        <v>0</v>
      </c>
      <c r="HC31">
        <f t="shared" si="58"/>
        <v>0</v>
      </c>
      <c r="HE31" t="s">
        <v>3</v>
      </c>
      <c r="HF31" t="s">
        <v>3</v>
      </c>
      <c r="HI31">
        <f t="shared" si="24"/>
        <v>0</v>
      </c>
      <c r="HJ31">
        <f t="shared" si="25"/>
        <v>0</v>
      </c>
      <c r="HK31">
        <f t="shared" si="59"/>
        <v>0</v>
      </c>
      <c r="HL31">
        <f t="shared" si="60"/>
        <v>0</v>
      </c>
      <c r="HM31" t="s">
        <v>3</v>
      </c>
      <c r="HN31" t="s">
        <v>3</v>
      </c>
      <c r="HO31" t="s">
        <v>3</v>
      </c>
      <c r="HP31" t="s">
        <v>3</v>
      </c>
      <c r="HQ31" t="s">
        <v>3</v>
      </c>
      <c r="IK31">
        <v>0</v>
      </c>
    </row>
    <row r="32" spans="1:245" x14ac:dyDescent="0.2">
      <c r="A32">
        <v>17</v>
      </c>
      <c r="B32">
        <v>1</v>
      </c>
      <c r="E32" t="s">
        <v>61</v>
      </c>
      <c r="F32" t="s">
        <v>62</v>
      </c>
      <c r="G32" t="s">
        <v>63</v>
      </c>
      <c r="H32" t="s">
        <v>56</v>
      </c>
      <c r="I32">
        <f>ROUND(ROUND(261.8,4),7)</f>
        <v>261.8</v>
      </c>
      <c r="J32">
        <v>0</v>
      </c>
      <c r="K32">
        <f>ROUND(ROUND(261.8,4),7)</f>
        <v>261.8</v>
      </c>
      <c r="O32">
        <f t="shared" si="26"/>
        <v>40317.199999999997</v>
      </c>
      <c r="P32">
        <f t="shared" si="27"/>
        <v>40317.199999999997</v>
      </c>
      <c r="Q32">
        <f t="shared" si="28"/>
        <v>0</v>
      </c>
      <c r="R32">
        <f t="shared" si="29"/>
        <v>0</v>
      </c>
      <c r="S32">
        <f t="shared" si="30"/>
        <v>0</v>
      </c>
      <c r="T32">
        <f t="shared" si="31"/>
        <v>0</v>
      </c>
      <c r="U32">
        <f t="shared" si="32"/>
        <v>0</v>
      </c>
      <c r="V32">
        <f t="shared" si="33"/>
        <v>0</v>
      </c>
      <c r="W32">
        <f t="shared" si="34"/>
        <v>0</v>
      </c>
      <c r="X32">
        <f t="shared" si="35"/>
        <v>0</v>
      </c>
      <c r="Y32">
        <f t="shared" si="36"/>
        <v>0</v>
      </c>
      <c r="AA32">
        <v>29836452</v>
      </c>
      <c r="AB32">
        <f t="shared" si="37"/>
        <v>154</v>
      </c>
      <c r="AC32">
        <f t="shared" si="38"/>
        <v>154</v>
      </c>
      <c r="AD32">
        <f>ROUND((((ET32)-(EU32))+AE32),0)</f>
        <v>0</v>
      </c>
      <c r="AE32">
        <f t="shared" si="61"/>
        <v>0</v>
      </c>
      <c r="AF32">
        <f t="shared" si="61"/>
        <v>0</v>
      </c>
      <c r="AG32">
        <f t="shared" si="39"/>
        <v>0</v>
      </c>
      <c r="AH32">
        <f t="shared" si="62"/>
        <v>0</v>
      </c>
      <c r="AI32">
        <f t="shared" si="62"/>
        <v>0</v>
      </c>
      <c r="AJ32">
        <f t="shared" si="40"/>
        <v>0</v>
      </c>
      <c r="AK32">
        <v>154.03</v>
      </c>
      <c r="AL32">
        <v>154.03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1</v>
      </c>
      <c r="AW32">
        <v>1</v>
      </c>
      <c r="AZ32">
        <v>1</v>
      </c>
      <c r="BA32">
        <v>1</v>
      </c>
      <c r="BB32">
        <v>1</v>
      </c>
      <c r="BC32">
        <v>1</v>
      </c>
      <c r="BD32" t="s">
        <v>3</v>
      </c>
      <c r="BE32" t="s">
        <v>3</v>
      </c>
      <c r="BF32" t="s">
        <v>3</v>
      </c>
      <c r="BG32" t="s">
        <v>3</v>
      </c>
      <c r="BH32">
        <v>3</v>
      </c>
      <c r="BI32">
        <v>1</v>
      </c>
      <c r="BJ32" t="s">
        <v>64</v>
      </c>
      <c r="BM32">
        <v>500001</v>
      </c>
      <c r="BN32">
        <v>0</v>
      </c>
      <c r="BO32" t="s">
        <v>29</v>
      </c>
      <c r="BP32">
        <v>1</v>
      </c>
      <c r="BQ32">
        <v>8</v>
      </c>
      <c r="BR32">
        <v>0</v>
      </c>
      <c r="BS32">
        <v>1</v>
      </c>
      <c r="BT32">
        <v>1</v>
      </c>
      <c r="BU32">
        <v>1</v>
      </c>
      <c r="BV32">
        <v>1</v>
      </c>
      <c r="BW32">
        <v>1</v>
      </c>
      <c r="BX32">
        <v>1</v>
      </c>
      <c r="BY32" t="s">
        <v>3</v>
      </c>
      <c r="BZ32">
        <v>0</v>
      </c>
      <c r="CA32">
        <v>0</v>
      </c>
      <c r="CB32" t="s">
        <v>3</v>
      </c>
      <c r="CE32">
        <v>0</v>
      </c>
      <c r="CF32">
        <v>0</v>
      </c>
      <c r="CG32">
        <v>0</v>
      </c>
      <c r="CM32">
        <v>0</v>
      </c>
      <c r="CN32" t="s">
        <v>3</v>
      </c>
      <c r="CO32">
        <v>0</v>
      </c>
      <c r="CP32">
        <f t="shared" si="41"/>
        <v>40317.199999999997</v>
      </c>
      <c r="CQ32">
        <f t="shared" si="42"/>
        <v>154</v>
      </c>
      <c r="CR32">
        <f t="shared" si="43"/>
        <v>0</v>
      </c>
      <c r="CS32">
        <f t="shared" si="44"/>
        <v>0</v>
      </c>
      <c r="CT32">
        <f t="shared" si="45"/>
        <v>0</v>
      </c>
      <c r="CU32">
        <f t="shared" si="46"/>
        <v>0</v>
      </c>
      <c r="CV32">
        <f t="shared" si="47"/>
        <v>0</v>
      </c>
      <c r="CW32">
        <f t="shared" si="48"/>
        <v>0</v>
      </c>
      <c r="CX32">
        <f t="shared" si="49"/>
        <v>0</v>
      </c>
      <c r="CY32">
        <f t="shared" si="50"/>
        <v>0</v>
      </c>
      <c r="CZ32">
        <f t="shared" si="51"/>
        <v>0</v>
      </c>
      <c r="DC32" t="s">
        <v>3</v>
      </c>
      <c r="DD32" t="s">
        <v>3</v>
      </c>
      <c r="DE32" t="s">
        <v>3</v>
      </c>
      <c r="DF32" t="s">
        <v>3</v>
      </c>
      <c r="DG32" t="s">
        <v>3</v>
      </c>
      <c r="DH32" t="s">
        <v>3</v>
      </c>
      <c r="DI32" t="s">
        <v>3</v>
      </c>
      <c r="DJ32" t="s">
        <v>3</v>
      </c>
      <c r="DK32" t="s">
        <v>3</v>
      </c>
      <c r="DL32" t="s">
        <v>3</v>
      </c>
      <c r="DM32" t="s">
        <v>3</v>
      </c>
      <c r="DN32">
        <v>0</v>
      </c>
      <c r="DO32">
        <v>0</v>
      </c>
      <c r="DP32">
        <v>1</v>
      </c>
      <c r="DQ32">
        <v>1</v>
      </c>
      <c r="DU32">
        <v>1007</v>
      </c>
      <c r="DV32" t="s">
        <v>56</v>
      </c>
      <c r="DW32" t="s">
        <v>56</v>
      </c>
      <c r="DX32">
        <v>1</v>
      </c>
      <c r="DZ32" t="s">
        <v>3</v>
      </c>
      <c r="EA32" t="s">
        <v>3</v>
      </c>
      <c r="EB32" t="s">
        <v>3</v>
      </c>
      <c r="EC32" t="s">
        <v>3</v>
      </c>
      <c r="EE32">
        <v>29577929</v>
      </c>
      <c r="EF32">
        <v>8</v>
      </c>
      <c r="EG32" t="s">
        <v>58</v>
      </c>
      <c r="EH32">
        <v>0</v>
      </c>
      <c r="EI32" t="s">
        <v>3</v>
      </c>
      <c r="EJ32">
        <v>1</v>
      </c>
      <c r="EK32">
        <v>500001</v>
      </c>
      <c r="EL32" t="s">
        <v>59</v>
      </c>
      <c r="EM32" t="s">
        <v>60</v>
      </c>
      <c r="EO32" t="s">
        <v>3</v>
      </c>
      <c r="EQ32">
        <v>0</v>
      </c>
      <c r="ER32">
        <v>154.03</v>
      </c>
      <c r="ES32">
        <v>154.03</v>
      </c>
      <c r="ET32">
        <v>0</v>
      </c>
      <c r="EU32">
        <v>0</v>
      </c>
      <c r="EV32">
        <v>0</v>
      </c>
      <c r="EW32">
        <v>0</v>
      </c>
      <c r="EX32">
        <v>0</v>
      </c>
      <c r="EY32">
        <v>0</v>
      </c>
      <c r="FQ32">
        <v>0</v>
      </c>
      <c r="FR32">
        <f t="shared" si="22"/>
        <v>0</v>
      </c>
      <c r="FS32">
        <v>0</v>
      </c>
      <c r="FX32">
        <v>0</v>
      </c>
      <c r="FY32">
        <v>0</v>
      </c>
      <c r="GA32" t="s">
        <v>3</v>
      </c>
      <c r="GD32">
        <v>1</v>
      </c>
      <c r="GF32">
        <v>528467256</v>
      </c>
      <c r="GG32">
        <v>2</v>
      </c>
      <c r="GH32">
        <v>1</v>
      </c>
      <c r="GI32">
        <v>4</v>
      </c>
      <c r="GJ32">
        <v>0</v>
      </c>
      <c r="GK32">
        <v>0</v>
      </c>
      <c r="GL32">
        <f t="shared" si="23"/>
        <v>0</v>
      </c>
      <c r="GM32">
        <f t="shared" si="52"/>
        <v>40317.199999999997</v>
      </c>
      <c r="GN32">
        <f t="shared" si="53"/>
        <v>40317.199999999997</v>
      </c>
      <c r="GO32">
        <f t="shared" si="54"/>
        <v>0</v>
      </c>
      <c r="GP32">
        <f t="shared" si="55"/>
        <v>0</v>
      </c>
      <c r="GR32">
        <v>0</v>
      </c>
      <c r="GS32">
        <v>3</v>
      </c>
      <c r="GT32">
        <v>0</v>
      </c>
      <c r="GU32" t="s">
        <v>3</v>
      </c>
      <c r="GV32">
        <f t="shared" si="56"/>
        <v>0</v>
      </c>
      <c r="GW32">
        <v>1</v>
      </c>
      <c r="GX32">
        <f t="shared" si="57"/>
        <v>0</v>
      </c>
      <c r="HA32">
        <v>0</v>
      </c>
      <c r="HB32">
        <v>0</v>
      </c>
      <c r="HC32">
        <f t="shared" si="58"/>
        <v>0</v>
      </c>
      <c r="HE32" t="s">
        <v>3</v>
      </c>
      <c r="HF32" t="s">
        <v>3</v>
      </c>
      <c r="HI32">
        <f t="shared" si="24"/>
        <v>0</v>
      </c>
      <c r="HJ32">
        <f t="shared" si="25"/>
        <v>0</v>
      </c>
      <c r="HK32">
        <f t="shared" si="59"/>
        <v>0</v>
      </c>
      <c r="HL32">
        <f t="shared" si="60"/>
        <v>0</v>
      </c>
      <c r="HM32" t="s">
        <v>3</v>
      </c>
      <c r="HN32" t="s">
        <v>3</v>
      </c>
      <c r="HO32" t="s">
        <v>3</v>
      </c>
      <c r="HP32" t="s">
        <v>3</v>
      </c>
      <c r="HQ32" t="s">
        <v>3</v>
      </c>
      <c r="IK32">
        <v>0</v>
      </c>
    </row>
    <row r="33" spans="1:245" x14ac:dyDescent="0.2">
      <c r="A33">
        <v>17</v>
      </c>
      <c r="B33">
        <v>1</v>
      </c>
      <c r="C33">
        <f>ROW(SmtRes!A21)</f>
        <v>21</v>
      </c>
      <c r="D33">
        <f>ROW(EtalonRes!A22)</f>
        <v>22</v>
      </c>
      <c r="E33" t="s">
        <v>65</v>
      </c>
      <c r="F33" t="s">
        <v>66</v>
      </c>
      <c r="G33" t="s">
        <v>67</v>
      </c>
      <c r="H33" t="s">
        <v>49</v>
      </c>
      <c r="I33">
        <f>ROUND(ROUND(177.7/100,4),7)</f>
        <v>1.7769999999999999</v>
      </c>
      <c r="J33">
        <v>0</v>
      </c>
      <c r="K33">
        <f>ROUND(ROUND(177.7/100,4),7)</f>
        <v>1.7769999999999999</v>
      </c>
      <c r="O33">
        <f t="shared" si="26"/>
        <v>4286.12</v>
      </c>
      <c r="P33">
        <f t="shared" si="27"/>
        <v>30.21</v>
      </c>
      <c r="Q33">
        <f t="shared" si="28"/>
        <v>4055.11</v>
      </c>
      <c r="R33">
        <f t="shared" si="29"/>
        <v>293.20999999999998</v>
      </c>
      <c r="S33">
        <f t="shared" si="30"/>
        <v>200.8</v>
      </c>
      <c r="T33">
        <f t="shared" si="31"/>
        <v>0</v>
      </c>
      <c r="U33">
        <f t="shared" si="32"/>
        <v>27.934439999999999</v>
      </c>
      <c r="V33">
        <f t="shared" si="33"/>
        <v>26.31737</v>
      </c>
      <c r="W33">
        <f t="shared" si="34"/>
        <v>0</v>
      </c>
      <c r="X33">
        <f t="shared" si="35"/>
        <v>622.45000000000005</v>
      </c>
      <c r="Y33">
        <f t="shared" si="36"/>
        <v>469.31</v>
      </c>
      <c r="AA33">
        <v>29836452</v>
      </c>
      <c r="AB33">
        <f t="shared" si="37"/>
        <v>2412</v>
      </c>
      <c r="AC33">
        <f t="shared" si="38"/>
        <v>17</v>
      </c>
      <c r="AD33">
        <f>ROUND((((ET33)-(EU33))+AE33),0)</f>
        <v>2282</v>
      </c>
      <c r="AE33">
        <f t="shared" si="61"/>
        <v>165</v>
      </c>
      <c r="AF33">
        <f t="shared" si="61"/>
        <v>113</v>
      </c>
      <c r="AG33">
        <f t="shared" si="39"/>
        <v>0</v>
      </c>
      <c r="AH33">
        <f t="shared" si="62"/>
        <v>15.72</v>
      </c>
      <c r="AI33">
        <f t="shared" si="62"/>
        <v>14.81</v>
      </c>
      <c r="AJ33">
        <f t="shared" si="40"/>
        <v>0</v>
      </c>
      <c r="AK33">
        <v>2410.9699999999998</v>
      </c>
      <c r="AL33">
        <v>17.079999999999998</v>
      </c>
      <c r="AM33">
        <v>2281.33</v>
      </c>
      <c r="AN33">
        <v>164.79</v>
      </c>
      <c r="AO33">
        <v>112.56</v>
      </c>
      <c r="AP33">
        <v>0</v>
      </c>
      <c r="AQ33">
        <v>15.72</v>
      </c>
      <c r="AR33">
        <v>14.81</v>
      </c>
      <c r="AS33">
        <v>0</v>
      </c>
      <c r="AT33">
        <v>126</v>
      </c>
      <c r="AU33">
        <v>95</v>
      </c>
      <c r="AV33">
        <v>1</v>
      </c>
      <c r="AW33">
        <v>1</v>
      </c>
      <c r="AZ33">
        <v>1</v>
      </c>
      <c r="BA33">
        <v>35.86</v>
      </c>
      <c r="BB33">
        <v>1</v>
      </c>
      <c r="BC33">
        <v>1</v>
      </c>
      <c r="BD33" t="s">
        <v>3</v>
      </c>
      <c r="BE33" t="s">
        <v>3</v>
      </c>
      <c r="BF33" t="s">
        <v>3</v>
      </c>
      <c r="BG33" t="s">
        <v>3</v>
      </c>
      <c r="BH33">
        <v>0</v>
      </c>
      <c r="BI33">
        <v>1</v>
      </c>
      <c r="BJ33" t="s">
        <v>68</v>
      </c>
      <c r="BM33">
        <v>27001</v>
      </c>
      <c r="BN33">
        <v>0</v>
      </c>
      <c r="BO33" t="s">
        <v>29</v>
      </c>
      <c r="BP33">
        <v>1</v>
      </c>
      <c r="BQ33">
        <v>2</v>
      </c>
      <c r="BR33">
        <v>0</v>
      </c>
      <c r="BS33">
        <v>35.86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126</v>
      </c>
      <c r="CA33">
        <v>95</v>
      </c>
      <c r="CB33" t="s">
        <v>3</v>
      </c>
      <c r="CE33">
        <v>0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41"/>
        <v>4286.12</v>
      </c>
      <c r="CQ33">
        <f t="shared" si="42"/>
        <v>17</v>
      </c>
      <c r="CR33">
        <f t="shared" si="43"/>
        <v>2282</v>
      </c>
      <c r="CS33">
        <f t="shared" si="44"/>
        <v>165</v>
      </c>
      <c r="CT33">
        <f t="shared" si="45"/>
        <v>113</v>
      </c>
      <c r="CU33">
        <f t="shared" si="46"/>
        <v>0</v>
      </c>
      <c r="CV33">
        <f t="shared" si="47"/>
        <v>15.72</v>
      </c>
      <c r="CW33">
        <f t="shared" si="48"/>
        <v>14.81</v>
      </c>
      <c r="CX33">
        <f t="shared" si="49"/>
        <v>0</v>
      </c>
      <c r="CY33">
        <f t="shared" si="50"/>
        <v>622.45260000000007</v>
      </c>
      <c r="CZ33">
        <f t="shared" si="51"/>
        <v>469.30949999999996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0</v>
      </c>
      <c r="DO33">
        <v>0</v>
      </c>
      <c r="DP33">
        <v>1</v>
      </c>
      <c r="DQ33">
        <v>1</v>
      </c>
      <c r="DU33">
        <v>1007</v>
      </c>
      <c r="DV33" t="s">
        <v>49</v>
      </c>
      <c r="DW33" t="s">
        <v>49</v>
      </c>
      <c r="DX33">
        <v>100</v>
      </c>
      <c r="DZ33" t="s">
        <v>3</v>
      </c>
      <c r="EA33" t="s">
        <v>3</v>
      </c>
      <c r="EB33" t="s">
        <v>3</v>
      </c>
      <c r="EC33" t="s">
        <v>3</v>
      </c>
      <c r="EE33">
        <v>29578057</v>
      </c>
      <c r="EF33">
        <v>2</v>
      </c>
      <c r="EG33" t="s">
        <v>33</v>
      </c>
      <c r="EH33">
        <v>21</v>
      </c>
      <c r="EI33" t="s">
        <v>51</v>
      </c>
      <c r="EJ33">
        <v>1</v>
      </c>
      <c r="EK33">
        <v>27001</v>
      </c>
      <c r="EL33" t="s">
        <v>51</v>
      </c>
      <c r="EM33" t="s">
        <v>52</v>
      </c>
      <c r="EO33" t="s">
        <v>3</v>
      </c>
      <c r="EQ33">
        <v>0</v>
      </c>
      <c r="ER33">
        <v>2410.9699999999998</v>
      </c>
      <c r="ES33">
        <v>17.079999999999998</v>
      </c>
      <c r="ET33">
        <v>2281.33</v>
      </c>
      <c r="EU33">
        <v>164.79</v>
      </c>
      <c r="EV33">
        <v>112.56</v>
      </c>
      <c r="EW33">
        <v>15.72</v>
      </c>
      <c r="EX33">
        <v>14.81</v>
      </c>
      <c r="EY33">
        <v>0</v>
      </c>
      <c r="FQ33">
        <v>0</v>
      </c>
      <c r="FR33">
        <f t="shared" si="22"/>
        <v>0</v>
      </c>
      <c r="FS33">
        <v>0</v>
      </c>
      <c r="FX33">
        <v>126</v>
      </c>
      <c r="FY33">
        <v>95</v>
      </c>
      <c r="GA33" t="s">
        <v>3</v>
      </c>
      <c r="GD33">
        <v>1</v>
      </c>
      <c r="GF33">
        <v>839106179</v>
      </c>
      <c r="GG33">
        <v>2</v>
      </c>
      <c r="GH33">
        <v>1</v>
      </c>
      <c r="GI33">
        <v>4</v>
      </c>
      <c r="GJ33">
        <v>0</v>
      </c>
      <c r="GK33">
        <v>0</v>
      </c>
      <c r="GL33">
        <f t="shared" si="23"/>
        <v>0</v>
      </c>
      <c r="GM33">
        <f t="shared" si="52"/>
        <v>5377.88</v>
      </c>
      <c r="GN33">
        <f t="shared" si="53"/>
        <v>5377.88</v>
      </c>
      <c r="GO33">
        <f t="shared" si="54"/>
        <v>0</v>
      </c>
      <c r="GP33">
        <f t="shared" si="55"/>
        <v>0</v>
      </c>
      <c r="GR33">
        <v>0</v>
      </c>
      <c r="GS33">
        <v>3</v>
      </c>
      <c r="GT33">
        <v>0</v>
      </c>
      <c r="GU33" t="s">
        <v>3</v>
      </c>
      <c r="GV33">
        <f t="shared" si="56"/>
        <v>0</v>
      </c>
      <c r="GW33">
        <v>1</v>
      </c>
      <c r="GX33">
        <f t="shared" si="57"/>
        <v>0</v>
      </c>
      <c r="HA33">
        <v>0</v>
      </c>
      <c r="HB33">
        <v>0</v>
      </c>
      <c r="HC33">
        <f t="shared" si="58"/>
        <v>0</v>
      </c>
      <c r="HE33" t="s">
        <v>3</v>
      </c>
      <c r="HF33" t="s">
        <v>3</v>
      </c>
      <c r="HI33">
        <f t="shared" si="24"/>
        <v>10514.51</v>
      </c>
      <c r="HJ33">
        <f t="shared" si="25"/>
        <v>7200.69</v>
      </c>
      <c r="HK33">
        <f t="shared" si="59"/>
        <v>22321.15</v>
      </c>
      <c r="HL33">
        <f t="shared" si="60"/>
        <v>16829.439999999999</v>
      </c>
      <c r="HM33" t="s">
        <v>3</v>
      </c>
      <c r="HN33" t="s">
        <v>3</v>
      </c>
      <c r="HO33" t="s">
        <v>3</v>
      </c>
      <c r="HP33" t="s">
        <v>3</v>
      </c>
      <c r="HQ33" t="s">
        <v>3</v>
      </c>
      <c r="IK33">
        <v>0</v>
      </c>
    </row>
    <row r="34" spans="1:245" x14ac:dyDescent="0.2">
      <c r="A34">
        <v>18</v>
      </c>
      <c r="B34">
        <v>1</v>
      </c>
      <c r="C34">
        <v>21</v>
      </c>
      <c r="E34" t="s">
        <v>69</v>
      </c>
      <c r="F34" t="s">
        <v>70</v>
      </c>
      <c r="G34" t="s">
        <v>71</v>
      </c>
      <c r="H34" t="s">
        <v>56</v>
      </c>
      <c r="I34">
        <f>I33*J34</f>
        <v>0</v>
      </c>
      <c r="J34">
        <v>0</v>
      </c>
      <c r="K34">
        <v>0</v>
      </c>
      <c r="O34">
        <f t="shared" si="26"/>
        <v>0</v>
      </c>
      <c r="P34">
        <f t="shared" si="27"/>
        <v>0</v>
      </c>
      <c r="Q34">
        <f t="shared" si="28"/>
        <v>0</v>
      </c>
      <c r="R34">
        <f t="shared" si="29"/>
        <v>0</v>
      </c>
      <c r="S34">
        <f t="shared" si="30"/>
        <v>0</v>
      </c>
      <c r="T34">
        <f t="shared" si="31"/>
        <v>0</v>
      </c>
      <c r="U34">
        <f t="shared" si="32"/>
        <v>0</v>
      </c>
      <c r="V34">
        <f t="shared" si="33"/>
        <v>0</v>
      </c>
      <c r="W34">
        <f t="shared" si="34"/>
        <v>0</v>
      </c>
      <c r="X34">
        <f t="shared" si="35"/>
        <v>0</v>
      </c>
      <c r="Y34">
        <f t="shared" si="36"/>
        <v>0</v>
      </c>
      <c r="AA34">
        <v>29836452</v>
      </c>
      <c r="AB34">
        <f t="shared" si="37"/>
        <v>0</v>
      </c>
      <c r="AC34">
        <f t="shared" si="38"/>
        <v>0</v>
      </c>
      <c r="AD34">
        <f>ROUND((((ET34)-(EU34))+AE34),0)</f>
        <v>0</v>
      </c>
      <c r="AE34">
        <f t="shared" si="61"/>
        <v>0</v>
      </c>
      <c r="AF34">
        <f t="shared" si="61"/>
        <v>0</v>
      </c>
      <c r="AG34">
        <f t="shared" si="39"/>
        <v>0</v>
      </c>
      <c r="AH34">
        <f t="shared" si="62"/>
        <v>0</v>
      </c>
      <c r="AI34">
        <f t="shared" si="62"/>
        <v>0</v>
      </c>
      <c r="AJ34">
        <f t="shared" si="40"/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126</v>
      </c>
      <c r="AU34">
        <v>95</v>
      </c>
      <c r="AV34">
        <v>1</v>
      </c>
      <c r="AW34">
        <v>1</v>
      </c>
      <c r="AZ34">
        <v>1</v>
      </c>
      <c r="BA34">
        <v>1</v>
      </c>
      <c r="BB34">
        <v>1</v>
      </c>
      <c r="BC34">
        <v>1</v>
      </c>
      <c r="BD34" t="s">
        <v>3</v>
      </c>
      <c r="BE34" t="s">
        <v>3</v>
      </c>
      <c r="BF34" t="s">
        <v>3</v>
      </c>
      <c r="BG34" t="s">
        <v>3</v>
      </c>
      <c r="BH34">
        <v>3</v>
      </c>
      <c r="BI34">
        <v>1</v>
      </c>
      <c r="BJ34" t="s">
        <v>3</v>
      </c>
      <c r="BM34">
        <v>27001</v>
      </c>
      <c r="BN34">
        <v>0</v>
      </c>
      <c r="BO34" t="s">
        <v>29</v>
      </c>
      <c r="BP34">
        <v>1</v>
      </c>
      <c r="BQ34">
        <v>2</v>
      </c>
      <c r="BR34">
        <v>0</v>
      </c>
      <c r="BS34">
        <v>1</v>
      </c>
      <c r="BT34">
        <v>1</v>
      </c>
      <c r="BU34">
        <v>1</v>
      </c>
      <c r="BV34">
        <v>1</v>
      </c>
      <c r="BW34">
        <v>1</v>
      </c>
      <c r="BX34">
        <v>1</v>
      </c>
      <c r="BY34" t="s">
        <v>3</v>
      </c>
      <c r="BZ34">
        <v>126</v>
      </c>
      <c r="CA34">
        <v>95</v>
      </c>
      <c r="CB34" t="s">
        <v>3</v>
      </c>
      <c r="CE34">
        <v>0</v>
      </c>
      <c r="CF34">
        <v>0</v>
      </c>
      <c r="CG34">
        <v>0</v>
      </c>
      <c r="CM34">
        <v>0</v>
      </c>
      <c r="CN34" t="s">
        <v>3</v>
      </c>
      <c r="CO34">
        <v>0</v>
      </c>
      <c r="CP34">
        <f t="shared" si="41"/>
        <v>0</v>
      </c>
      <c r="CQ34">
        <f t="shared" si="42"/>
        <v>0</v>
      </c>
      <c r="CR34">
        <f t="shared" si="43"/>
        <v>0</v>
      </c>
      <c r="CS34">
        <f t="shared" si="44"/>
        <v>0</v>
      </c>
      <c r="CT34">
        <f t="shared" si="45"/>
        <v>0</v>
      </c>
      <c r="CU34">
        <f t="shared" si="46"/>
        <v>0</v>
      </c>
      <c r="CV34">
        <f t="shared" si="47"/>
        <v>0</v>
      </c>
      <c r="CW34">
        <f t="shared" si="48"/>
        <v>0</v>
      </c>
      <c r="CX34">
        <f t="shared" si="49"/>
        <v>0</v>
      </c>
      <c r="CY34">
        <f t="shared" si="50"/>
        <v>0</v>
      </c>
      <c r="CZ34">
        <f t="shared" si="51"/>
        <v>0</v>
      </c>
      <c r="DC34" t="s">
        <v>3</v>
      </c>
      <c r="DD34" t="s">
        <v>3</v>
      </c>
      <c r="DE34" t="s">
        <v>3</v>
      </c>
      <c r="DF34" t="s">
        <v>3</v>
      </c>
      <c r="DG34" t="s">
        <v>3</v>
      </c>
      <c r="DH34" t="s">
        <v>3</v>
      </c>
      <c r="DI34" t="s">
        <v>3</v>
      </c>
      <c r="DJ34" t="s">
        <v>3</v>
      </c>
      <c r="DK34" t="s">
        <v>3</v>
      </c>
      <c r="DL34" t="s">
        <v>3</v>
      </c>
      <c r="DM34" t="s">
        <v>3</v>
      </c>
      <c r="DN34">
        <v>0</v>
      </c>
      <c r="DO34">
        <v>0</v>
      </c>
      <c r="DP34">
        <v>1</v>
      </c>
      <c r="DQ34">
        <v>1</v>
      </c>
      <c r="DU34">
        <v>1007</v>
      </c>
      <c r="DV34" t="s">
        <v>56</v>
      </c>
      <c r="DW34" t="s">
        <v>56</v>
      </c>
      <c r="DX34">
        <v>1</v>
      </c>
      <c r="DZ34" t="s">
        <v>3</v>
      </c>
      <c r="EA34" t="s">
        <v>3</v>
      </c>
      <c r="EB34" t="s">
        <v>3</v>
      </c>
      <c r="EC34" t="s">
        <v>3</v>
      </c>
      <c r="EE34">
        <v>29578057</v>
      </c>
      <c r="EF34">
        <v>2</v>
      </c>
      <c r="EG34" t="s">
        <v>33</v>
      </c>
      <c r="EH34">
        <v>21</v>
      </c>
      <c r="EI34" t="s">
        <v>51</v>
      </c>
      <c r="EJ34">
        <v>1</v>
      </c>
      <c r="EK34">
        <v>27001</v>
      </c>
      <c r="EL34" t="s">
        <v>51</v>
      </c>
      <c r="EM34" t="s">
        <v>52</v>
      </c>
      <c r="EO34" t="s">
        <v>3</v>
      </c>
      <c r="EQ34">
        <v>0</v>
      </c>
      <c r="ER34">
        <v>0</v>
      </c>
      <c r="ES34">
        <v>0</v>
      </c>
      <c r="ET34">
        <v>0</v>
      </c>
      <c r="EU34">
        <v>0</v>
      </c>
      <c r="EV34">
        <v>0</v>
      </c>
      <c r="EW34">
        <v>0</v>
      </c>
      <c r="EX34">
        <v>0</v>
      </c>
      <c r="FQ34">
        <v>0</v>
      </c>
      <c r="FR34">
        <f t="shared" si="22"/>
        <v>0</v>
      </c>
      <c r="FS34">
        <v>0</v>
      </c>
      <c r="FX34">
        <v>126</v>
      </c>
      <c r="FY34">
        <v>95</v>
      </c>
      <c r="GA34" t="s">
        <v>3</v>
      </c>
      <c r="GD34">
        <v>1</v>
      </c>
      <c r="GF34">
        <v>-784639423</v>
      </c>
      <c r="GG34">
        <v>2</v>
      </c>
      <c r="GH34">
        <v>1</v>
      </c>
      <c r="GI34">
        <v>4</v>
      </c>
      <c r="GJ34">
        <v>0</v>
      </c>
      <c r="GK34">
        <v>0</v>
      </c>
      <c r="GL34">
        <f t="shared" si="23"/>
        <v>0</v>
      </c>
      <c r="GM34">
        <f t="shared" si="52"/>
        <v>0</v>
      </c>
      <c r="GN34">
        <f t="shared" si="53"/>
        <v>0</v>
      </c>
      <c r="GO34">
        <f t="shared" si="54"/>
        <v>0</v>
      </c>
      <c r="GP34">
        <f t="shared" si="55"/>
        <v>0</v>
      </c>
      <c r="GR34">
        <v>0</v>
      </c>
      <c r="GS34">
        <v>3</v>
      </c>
      <c r="GT34">
        <v>0</v>
      </c>
      <c r="GU34" t="s">
        <v>3</v>
      </c>
      <c r="GV34">
        <f t="shared" si="56"/>
        <v>0</v>
      </c>
      <c r="GW34">
        <v>1</v>
      </c>
      <c r="GX34">
        <f t="shared" si="57"/>
        <v>0</v>
      </c>
      <c r="HA34">
        <v>0</v>
      </c>
      <c r="HB34">
        <v>0</v>
      </c>
      <c r="HC34">
        <f t="shared" si="58"/>
        <v>0</v>
      </c>
      <c r="HE34" t="s">
        <v>3</v>
      </c>
      <c r="HF34" t="s">
        <v>3</v>
      </c>
      <c r="HI34">
        <f t="shared" si="24"/>
        <v>0</v>
      </c>
      <c r="HJ34">
        <f t="shared" si="25"/>
        <v>0</v>
      </c>
      <c r="HK34">
        <f t="shared" si="59"/>
        <v>0</v>
      </c>
      <c r="HL34">
        <f t="shared" si="60"/>
        <v>0</v>
      </c>
      <c r="HM34" t="s">
        <v>3</v>
      </c>
      <c r="HN34" t="s">
        <v>3</v>
      </c>
      <c r="HO34" t="s">
        <v>3</v>
      </c>
      <c r="HP34" t="s">
        <v>3</v>
      </c>
      <c r="HQ34" t="s">
        <v>3</v>
      </c>
      <c r="IK34">
        <v>0</v>
      </c>
    </row>
    <row r="35" spans="1:245" x14ac:dyDescent="0.2">
      <c r="A35">
        <v>17</v>
      </c>
      <c r="B35">
        <v>1</v>
      </c>
      <c r="E35" t="s">
        <v>72</v>
      </c>
      <c r="F35" t="s">
        <v>73</v>
      </c>
      <c r="G35" t="s">
        <v>74</v>
      </c>
      <c r="H35" t="s">
        <v>56</v>
      </c>
      <c r="I35">
        <f>ROUND(ROUND(216.8,4),7)</f>
        <v>216.8</v>
      </c>
      <c r="J35">
        <v>0</v>
      </c>
      <c r="K35">
        <f>ROUND(ROUND(216.8,4),7)</f>
        <v>216.8</v>
      </c>
      <c r="O35">
        <f t="shared" si="26"/>
        <v>29701.599999999999</v>
      </c>
      <c r="P35">
        <f t="shared" si="27"/>
        <v>29701.599999999999</v>
      </c>
      <c r="Q35">
        <f t="shared" si="28"/>
        <v>0</v>
      </c>
      <c r="R35">
        <f t="shared" si="29"/>
        <v>0</v>
      </c>
      <c r="S35">
        <f t="shared" si="30"/>
        <v>0</v>
      </c>
      <c r="T35">
        <f t="shared" si="31"/>
        <v>0</v>
      </c>
      <c r="U35">
        <f t="shared" si="32"/>
        <v>0</v>
      </c>
      <c r="V35">
        <f t="shared" si="33"/>
        <v>0</v>
      </c>
      <c r="W35">
        <f t="shared" si="34"/>
        <v>0</v>
      </c>
      <c r="X35">
        <f t="shared" si="35"/>
        <v>0</v>
      </c>
      <c r="Y35">
        <f t="shared" si="36"/>
        <v>0</v>
      </c>
      <c r="AA35">
        <v>29836452</v>
      </c>
      <c r="AB35">
        <f t="shared" si="37"/>
        <v>137</v>
      </c>
      <c r="AC35">
        <f t="shared" si="38"/>
        <v>137</v>
      </c>
      <c r="AD35">
        <f>ROUND((((ET35)-(EU35))+AE35),0)</f>
        <v>0</v>
      </c>
      <c r="AE35">
        <f t="shared" si="61"/>
        <v>0</v>
      </c>
      <c r="AF35">
        <f t="shared" si="61"/>
        <v>0</v>
      </c>
      <c r="AG35">
        <f t="shared" si="39"/>
        <v>0</v>
      </c>
      <c r="AH35">
        <f t="shared" si="62"/>
        <v>0</v>
      </c>
      <c r="AI35">
        <f t="shared" si="62"/>
        <v>0</v>
      </c>
      <c r="AJ35">
        <f t="shared" si="40"/>
        <v>0</v>
      </c>
      <c r="AK35">
        <v>136.52000000000001</v>
      </c>
      <c r="AL35">
        <v>136.52000000000001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1</v>
      </c>
      <c r="AW35">
        <v>1</v>
      </c>
      <c r="AZ35">
        <v>1</v>
      </c>
      <c r="BA35">
        <v>1</v>
      </c>
      <c r="BB35">
        <v>1</v>
      </c>
      <c r="BC35">
        <v>1</v>
      </c>
      <c r="BD35" t="s">
        <v>3</v>
      </c>
      <c r="BE35" t="s">
        <v>3</v>
      </c>
      <c r="BF35" t="s">
        <v>3</v>
      </c>
      <c r="BG35" t="s">
        <v>3</v>
      </c>
      <c r="BH35">
        <v>3</v>
      </c>
      <c r="BI35">
        <v>1</v>
      </c>
      <c r="BJ35" t="s">
        <v>75</v>
      </c>
      <c r="BM35">
        <v>500001</v>
      </c>
      <c r="BN35">
        <v>0</v>
      </c>
      <c r="BO35" t="s">
        <v>29</v>
      </c>
      <c r="BP35">
        <v>1</v>
      </c>
      <c r="BQ35">
        <v>8</v>
      </c>
      <c r="BR35">
        <v>0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0</v>
      </c>
      <c r="CA35">
        <v>0</v>
      </c>
      <c r="CB35" t="s">
        <v>3</v>
      </c>
      <c r="CE35">
        <v>0</v>
      </c>
      <c r="CF35">
        <v>0</v>
      </c>
      <c r="CG35">
        <v>0</v>
      </c>
      <c r="CM35">
        <v>0</v>
      </c>
      <c r="CN35" t="s">
        <v>3</v>
      </c>
      <c r="CO35">
        <v>0</v>
      </c>
      <c r="CP35">
        <f t="shared" si="41"/>
        <v>29701.599999999999</v>
      </c>
      <c r="CQ35">
        <f t="shared" si="42"/>
        <v>137</v>
      </c>
      <c r="CR35">
        <f t="shared" si="43"/>
        <v>0</v>
      </c>
      <c r="CS35">
        <f t="shared" si="44"/>
        <v>0</v>
      </c>
      <c r="CT35">
        <f t="shared" si="45"/>
        <v>0</v>
      </c>
      <c r="CU35">
        <f t="shared" si="46"/>
        <v>0</v>
      </c>
      <c r="CV35">
        <f t="shared" si="47"/>
        <v>0</v>
      </c>
      <c r="CW35">
        <f t="shared" si="48"/>
        <v>0</v>
      </c>
      <c r="CX35">
        <f t="shared" si="49"/>
        <v>0</v>
      </c>
      <c r="CY35">
        <f t="shared" si="50"/>
        <v>0</v>
      </c>
      <c r="CZ35">
        <f t="shared" si="51"/>
        <v>0</v>
      </c>
      <c r="DC35" t="s">
        <v>3</v>
      </c>
      <c r="DD35" t="s">
        <v>3</v>
      </c>
      <c r="DE35" t="s">
        <v>3</v>
      </c>
      <c r="DF35" t="s">
        <v>3</v>
      </c>
      <c r="DG35" t="s">
        <v>3</v>
      </c>
      <c r="DH35" t="s">
        <v>3</v>
      </c>
      <c r="DI35" t="s">
        <v>3</v>
      </c>
      <c r="DJ35" t="s">
        <v>3</v>
      </c>
      <c r="DK35" t="s">
        <v>3</v>
      </c>
      <c r="DL35" t="s">
        <v>3</v>
      </c>
      <c r="DM35" t="s">
        <v>3</v>
      </c>
      <c r="DN35">
        <v>0</v>
      </c>
      <c r="DO35">
        <v>0</v>
      </c>
      <c r="DP35">
        <v>1</v>
      </c>
      <c r="DQ35">
        <v>1</v>
      </c>
      <c r="DU35">
        <v>1007</v>
      </c>
      <c r="DV35" t="s">
        <v>56</v>
      </c>
      <c r="DW35" t="s">
        <v>56</v>
      </c>
      <c r="DX35">
        <v>1</v>
      </c>
      <c r="DZ35" t="s">
        <v>3</v>
      </c>
      <c r="EA35" t="s">
        <v>3</v>
      </c>
      <c r="EB35" t="s">
        <v>3</v>
      </c>
      <c r="EC35" t="s">
        <v>3</v>
      </c>
      <c r="EE35">
        <v>29577929</v>
      </c>
      <c r="EF35">
        <v>8</v>
      </c>
      <c r="EG35" t="s">
        <v>58</v>
      </c>
      <c r="EH35">
        <v>0</v>
      </c>
      <c r="EI35" t="s">
        <v>3</v>
      </c>
      <c r="EJ35">
        <v>1</v>
      </c>
      <c r="EK35">
        <v>500001</v>
      </c>
      <c r="EL35" t="s">
        <v>59</v>
      </c>
      <c r="EM35" t="s">
        <v>60</v>
      </c>
      <c r="EO35" t="s">
        <v>3</v>
      </c>
      <c r="EQ35">
        <v>0</v>
      </c>
      <c r="ER35">
        <v>136.52000000000001</v>
      </c>
      <c r="ES35">
        <v>136.52000000000001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FQ35">
        <v>0</v>
      </c>
      <c r="FR35">
        <f t="shared" si="22"/>
        <v>0</v>
      </c>
      <c r="FS35">
        <v>0</v>
      </c>
      <c r="FX35">
        <v>0</v>
      </c>
      <c r="FY35">
        <v>0</v>
      </c>
      <c r="GA35" t="s">
        <v>3</v>
      </c>
      <c r="GD35">
        <v>1</v>
      </c>
      <c r="GF35">
        <v>1347831650</v>
      </c>
      <c r="GG35">
        <v>2</v>
      </c>
      <c r="GH35">
        <v>1</v>
      </c>
      <c r="GI35">
        <v>4</v>
      </c>
      <c r="GJ35">
        <v>0</v>
      </c>
      <c r="GK35">
        <v>0</v>
      </c>
      <c r="GL35">
        <f t="shared" si="23"/>
        <v>0</v>
      </c>
      <c r="GM35">
        <f t="shared" si="52"/>
        <v>29701.599999999999</v>
      </c>
      <c r="GN35">
        <f t="shared" si="53"/>
        <v>29701.599999999999</v>
      </c>
      <c r="GO35">
        <f t="shared" si="54"/>
        <v>0</v>
      </c>
      <c r="GP35">
        <f t="shared" si="55"/>
        <v>0</v>
      </c>
      <c r="GR35">
        <v>0</v>
      </c>
      <c r="GS35">
        <v>3</v>
      </c>
      <c r="GT35">
        <v>0</v>
      </c>
      <c r="GU35" t="s">
        <v>3</v>
      </c>
      <c r="GV35">
        <f t="shared" si="56"/>
        <v>0</v>
      </c>
      <c r="GW35">
        <v>1</v>
      </c>
      <c r="GX35">
        <f t="shared" si="57"/>
        <v>0</v>
      </c>
      <c r="HA35">
        <v>0</v>
      </c>
      <c r="HB35">
        <v>0</v>
      </c>
      <c r="HC35">
        <f t="shared" si="58"/>
        <v>0</v>
      </c>
      <c r="HE35" t="s">
        <v>3</v>
      </c>
      <c r="HF35" t="s">
        <v>3</v>
      </c>
      <c r="HI35">
        <f t="shared" si="24"/>
        <v>0</v>
      </c>
      <c r="HJ35">
        <f t="shared" si="25"/>
        <v>0</v>
      </c>
      <c r="HK35">
        <f t="shared" si="59"/>
        <v>0</v>
      </c>
      <c r="HL35">
        <f t="shared" si="60"/>
        <v>0</v>
      </c>
      <c r="HM35" t="s">
        <v>3</v>
      </c>
      <c r="HN35" t="s">
        <v>3</v>
      </c>
      <c r="HO35" t="s">
        <v>3</v>
      </c>
      <c r="HP35" t="s">
        <v>3</v>
      </c>
      <c r="HQ35" t="s">
        <v>3</v>
      </c>
      <c r="IK35">
        <v>0</v>
      </c>
    </row>
    <row r="36" spans="1:245" x14ac:dyDescent="0.2">
      <c r="A36">
        <v>17</v>
      </c>
      <c r="B36">
        <v>1</v>
      </c>
      <c r="C36">
        <f>ROW(SmtRes!A35)</f>
        <v>35</v>
      </c>
      <c r="D36">
        <f>ROW(EtalonRes!A36)</f>
        <v>36</v>
      </c>
      <c r="E36" t="s">
        <v>76</v>
      </c>
      <c r="F36" t="s">
        <v>77</v>
      </c>
      <c r="G36" t="s">
        <v>78</v>
      </c>
      <c r="H36" t="s">
        <v>79</v>
      </c>
      <c r="I36">
        <f>ROUND(ROUND(2000/1000,4),7)</f>
        <v>2</v>
      </c>
      <c r="J36">
        <v>0</v>
      </c>
      <c r="K36">
        <f>ROUND(ROUND(2000/1000,4),7)</f>
        <v>2</v>
      </c>
      <c r="O36">
        <f t="shared" si="26"/>
        <v>7292</v>
      </c>
      <c r="P36">
        <f t="shared" si="27"/>
        <v>566</v>
      </c>
      <c r="Q36">
        <f t="shared" si="28"/>
        <v>5970</v>
      </c>
      <c r="R36">
        <f t="shared" si="29"/>
        <v>576</v>
      </c>
      <c r="S36">
        <f t="shared" si="30"/>
        <v>756</v>
      </c>
      <c r="T36">
        <f t="shared" si="31"/>
        <v>0</v>
      </c>
      <c r="U36">
        <f t="shared" si="32"/>
        <v>88.089999999999989</v>
      </c>
      <c r="V36">
        <f t="shared" si="33"/>
        <v>0</v>
      </c>
      <c r="W36">
        <f t="shared" si="34"/>
        <v>0</v>
      </c>
      <c r="X36">
        <f t="shared" si="35"/>
        <v>1678.32</v>
      </c>
      <c r="Y36">
        <f t="shared" si="36"/>
        <v>1265.4000000000001</v>
      </c>
      <c r="AA36">
        <v>29836452</v>
      </c>
      <c r="AB36">
        <f t="shared" si="37"/>
        <v>3646</v>
      </c>
      <c r="AC36">
        <f t="shared" si="38"/>
        <v>283</v>
      </c>
      <c r="AD36">
        <f>ROUND(((((ET36*ROUND(1.25,7)))-((EU36*ROUND(1.25,7))))+AE36),0)</f>
        <v>2985</v>
      </c>
      <c r="AE36">
        <f>ROUND(((EU36*ROUND(1.25,7))),0)</f>
        <v>288</v>
      </c>
      <c r="AF36">
        <f>ROUND(((EV36*ROUND(1.15,7))),0)</f>
        <v>378</v>
      </c>
      <c r="AG36">
        <f t="shared" si="39"/>
        <v>0</v>
      </c>
      <c r="AH36">
        <f>((EW36*ROUND(1.15,7)))</f>
        <v>44.044999999999995</v>
      </c>
      <c r="AI36">
        <f>((EX36*ROUND(1.25,7)))</f>
        <v>0</v>
      </c>
      <c r="AJ36">
        <f t="shared" si="40"/>
        <v>0</v>
      </c>
      <c r="AK36">
        <v>2999.98</v>
      </c>
      <c r="AL36">
        <v>282.69</v>
      </c>
      <c r="AM36">
        <v>2388.29</v>
      </c>
      <c r="AN36">
        <v>230.49</v>
      </c>
      <c r="AO36">
        <v>329</v>
      </c>
      <c r="AP36">
        <v>0</v>
      </c>
      <c r="AQ36">
        <v>38.299999999999997</v>
      </c>
      <c r="AR36">
        <v>0</v>
      </c>
      <c r="AS36">
        <v>0</v>
      </c>
      <c r="AT36">
        <v>126</v>
      </c>
      <c r="AU36">
        <v>95</v>
      </c>
      <c r="AV36">
        <v>1</v>
      </c>
      <c r="AW36">
        <v>1</v>
      </c>
      <c r="AZ36">
        <v>1</v>
      </c>
      <c r="BA36">
        <v>35.86</v>
      </c>
      <c r="BB36">
        <v>1</v>
      </c>
      <c r="BC36">
        <v>1</v>
      </c>
      <c r="BD36" t="s">
        <v>3</v>
      </c>
      <c r="BE36" t="s">
        <v>3</v>
      </c>
      <c r="BF36" t="s">
        <v>3</v>
      </c>
      <c r="BG36" t="s">
        <v>3</v>
      </c>
      <c r="BH36">
        <v>0</v>
      </c>
      <c r="BI36">
        <v>1</v>
      </c>
      <c r="BJ36" t="s">
        <v>80</v>
      </c>
      <c r="BM36">
        <v>27001</v>
      </c>
      <c r="BN36">
        <v>0</v>
      </c>
      <c r="BO36" t="s">
        <v>29</v>
      </c>
      <c r="BP36">
        <v>1</v>
      </c>
      <c r="BQ36">
        <v>2</v>
      </c>
      <c r="BR36">
        <v>0</v>
      </c>
      <c r="BS36">
        <v>35.86</v>
      </c>
      <c r="BT36">
        <v>1</v>
      </c>
      <c r="BU36">
        <v>1</v>
      </c>
      <c r="BV36">
        <v>1</v>
      </c>
      <c r="BW36">
        <v>1</v>
      </c>
      <c r="BX36">
        <v>1</v>
      </c>
      <c r="BY36" t="s">
        <v>3</v>
      </c>
      <c r="BZ36">
        <v>126</v>
      </c>
      <c r="CA36">
        <v>95</v>
      </c>
      <c r="CB36" t="s">
        <v>3</v>
      </c>
      <c r="CE36">
        <v>0</v>
      </c>
      <c r="CF36">
        <v>0</v>
      </c>
      <c r="CG36">
        <v>0</v>
      </c>
      <c r="CM36">
        <v>0</v>
      </c>
      <c r="CN36" t="s">
        <v>30</v>
      </c>
      <c r="CO36">
        <v>0</v>
      </c>
      <c r="CP36">
        <f t="shared" si="41"/>
        <v>7292</v>
      </c>
      <c r="CQ36">
        <f t="shared" si="42"/>
        <v>283</v>
      </c>
      <c r="CR36">
        <f t="shared" si="43"/>
        <v>2985</v>
      </c>
      <c r="CS36">
        <f t="shared" si="44"/>
        <v>288</v>
      </c>
      <c r="CT36">
        <f t="shared" si="45"/>
        <v>378</v>
      </c>
      <c r="CU36">
        <f t="shared" si="46"/>
        <v>0</v>
      </c>
      <c r="CV36">
        <f t="shared" si="47"/>
        <v>44.044999999999995</v>
      </c>
      <c r="CW36">
        <f t="shared" si="48"/>
        <v>0</v>
      </c>
      <c r="CX36">
        <f t="shared" si="49"/>
        <v>0</v>
      </c>
      <c r="CY36">
        <f t="shared" si="50"/>
        <v>1678.32</v>
      </c>
      <c r="CZ36">
        <f t="shared" si="51"/>
        <v>1265.4000000000001</v>
      </c>
      <c r="DC36" t="s">
        <v>3</v>
      </c>
      <c r="DD36" t="s">
        <v>3</v>
      </c>
      <c r="DE36" t="s">
        <v>31</v>
      </c>
      <c r="DF36" t="s">
        <v>31</v>
      </c>
      <c r="DG36" t="s">
        <v>32</v>
      </c>
      <c r="DH36" t="s">
        <v>3</v>
      </c>
      <c r="DI36" t="s">
        <v>32</v>
      </c>
      <c r="DJ36" t="s">
        <v>31</v>
      </c>
      <c r="DK36" t="s">
        <v>3</v>
      </c>
      <c r="DL36" t="s">
        <v>3</v>
      </c>
      <c r="DM36" t="s">
        <v>3</v>
      </c>
      <c r="DN36">
        <v>0</v>
      </c>
      <c r="DO36">
        <v>0</v>
      </c>
      <c r="DP36">
        <v>1</v>
      </c>
      <c r="DQ36">
        <v>1</v>
      </c>
      <c r="DU36">
        <v>1005</v>
      </c>
      <c r="DV36" t="s">
        <v>79</v>
      </c>
      <c r="DW36" t="s">
        <v>79</v>
      </c>
      <c r="DX36">
        <v>1000</v>
      </c>
      <c r="DZ36" t="s">
        <v>3</v>
      </c>
      <c r="EA36" t="s">
        <v>3</v>
      </c>
      <c r="EB36" t="s">
        <v>3</v>
      </c>
      <c r="EC36" t="s">
        <v>3</v>
      </c>
      <c r="EE36">
        <v>29578057</v>
      </c>
      <c r="EF36">
        <v>2</v>
      </c>
      <c r="EG36" t="s">
        <v>33</v>
      </c>
      <c r="EH36">
        <v>21</v>
      </c>
      <c r="EI36" t="s">
        <v>51</v>
      </c>
      <c r="EJ36">
        <v>1</v>
      </c>
      <c r="EK36">
        <v>27001</v>
      </c>
      <c r="EL36" t="s">
        <v>51</v>
      </c>
      <c r="EM36" t="s">
        <v>52</v>
      </c>
      <c r="EO36" t="s">
        <v>37</v>
      </c>
      <c r="EQ36">
        <v>512</v>
      </c>
      <c r="ER36">
        <v>2999.98</v>
      </c>
      <c r="ES36">
        <v>282.69</v>
      </c>
      <c r="ET36">
        <v>2388.29</v>
      </c>
      <c r="EU36">
        <v>230.49</v>
      </c>
      <c r="EV36">
        <v>329</v>
      </c>
      <c r="EW36">
        <v>38.299999999999997</v>
      </c>
      <c r="EX36">
        <v>0</v>
      </c>
      <c r="EY36">
        <v>0</v>
      </c>
      <c r="FQ36">
        <v>0</v>
      </c>
      <c r="FR36">
        <f t="shared" si="22"/>
        <v>0</v>
      </c>
      <c r="FS36">
        <v>0</v>
      </c>
      <c r="FX36">
        <v>126</v>
      </c>
      <c r="FY36">
        <v>95</v>
      </c>
      <c r="GA36" t="s">
        <v>3</v>
      </c>
      <c r="GD36">
        <v>1</v>
      </c>
      <c r="GF36">
        <v>799148659</v>
      </c>
      <c r="GG36">
        <v>2</v>
      </c>
      <c r="GH36">
        <v>1</v>
      </c>
      <c r="GI36">
        <v>4</v>
      </c>
      <c r="GJ36">
        <v>0</v>
      </c>
      <c r="GK36">
        <v>0</v>
      </c>
      <c r="GL36">
        <f t="shared" si="23"/>
        <v>0</v>
      </c>
      <c r="GM36">
        <f t="shared" si="52"/>
        <v>10235.719999999999</v>
      </c>
      <c r="GN36">
        <f t="shared" si="53"/>
        <v>10235.719999999999</v>
      </c>
      <c r="GO36">
        <f t="shared" si="54"/>
        <v>0</v>
      </c>
      <c r="GP36">
        <f t="shared" si="55"/>
        <v>0</v>
      </c>
      <c r="GR36">
        <v>0</v>
      </c>
      <c r="GS36">
        <v>3</v>
      </c>
      <c r="GT36">
        <v>0</v>
      </c>
      <c r="GU36" t="s">
        <v>3</v>
      </c>
      <c r="GV36">
        <f t="shared" si="56"/>
        <v>0</v>
      </c>
      <c r="GW36">
        <v>1</v>
      </c>
      <c r="GX36">
        <f t="shared" si="57"/>
        <v>0</v>
      </c>
      <c r="HA36">
        <v>0</v>
      </c>
      <c r="HB36">
        <v>0</v>
      </c>
      <c r="HC36">
        <f t="shared" si="58"/>
        <v>0</v>
      </c>
      <c r="HE36" t="s">
        <v>3</v>
      </c>
      <c r="HF36" t="s">
        <v>3</v>
      </c>
      <c r="HI36">
        <f t="shared" si="24"/>
        <v>20655.36</v>
      </c>
      <c r="HJ36">
        <f t="shared" si="25"/>
        <v>27110.16</v>
      </c>
      <c r="HK36">
        <f t="shared" si="59"/>
        <v>60184.56</v>
      </c>
      <c r="HL36">
        <f t="shared" si="60"/>
        <v>45377.24</v>
      </c>
      <c r="HM36" t="s">
        <v>3</v>
      </c>
      <c r="HN36" t="s">
        <v>3</v>
      </c>
      <c r="HO36" t="s">
        <v>3</v>
      </c>
      <c r="HP36" t="s">
        <v>3</v>
      </c>
      <c r="HQ36" t="s">
        <v>3</v>
      </c>
      <c r="IK36">
        <v>0</v>
      </c>
    </row>
    <row r="37" spans="1:245" x14ac:dyDescent="0.2">
      <c r="A37">
        <v>18</v>
      </c>
      <c r="B37">
        <v>1</v>
      </c>
      <c r="C37">
        <v>31</v>
      </c>
      <c r="E37" t="s">
        <v>81</v>
      </c>
      <c r="F37" t="s">
        <v>82</v>
      </c>
      <c r="G37" t="s">
        <v>83</v>
      </c>
      <c r="H37" t="s">
        <v>84</v>
      </c>
      <c r="I37">
        <f>I36*J37</f>
        <v>2.1600000000000001E-2</v>
      </c>
      <c r="J37">
        <v>1.0800000000000001E-2</v>
      </c>
      <c r="K37">
        <v>1.0800000000000001E-2</v>
      </c>
      <c r="O37">
        <f t="shared" si="26"/>
        <v>0</v>
      </c>
      <c r="P37">
        <f t="shared" si="27"/>
        <v>0</v>
      </c>
      <c r="Q37">
        <f t="shared" si="28"/>
        <v>0</v>
      </c>
      <c r="R37">
        <f t="shared" si="29"/>
        <v>0</v>
      </c>
      <c r="S37">
        <f t="shared" si="30"/>
        <v>0</v>
      </c>
      <c r="T37">
        <f t="shared" si="31"/>
        <v>0</v>
      </c>
      <c r="U37">
        <f t="shared" si="32"/>
        <v>0</v>
      </c>
      <c r="V37">
        <f t="shared" si="33"/>
        <v>0</v>
      </c>
      <c r="W37">
        <f t="shared" si="34"/>
        <v>0</v>
      </c>
      <c r="X37">
        <f t="shared" si="35"/>
        <v>0</v>
      </c>
      <c r="Y37">
        <f t="shared" si="36"/>
        <v>0</v>
      </c>
      <c r="AA37">
        <v>29836452</v>
      </c>
      <c r="AB37">
        <f t="shared" si="37"/>
        <v>0</v>
      </c>
      <c r="AC37">
        <f t="shared" si="38"/>
        <v>0</v>
      </c>
      <c r="AD37">
        <f>ROUND((((ET37)-(EU37))+AE37),0)</f>
        <v>0</v>
      </c>
      <c r="AE37">
        <f>ROUND((EU37),0)</f>
        <v>0</v>
      </c>
      <c r="AF37">
        <f>ROUND((EV37),0)</f>
        <v>0</v>
      </c>
      <c r="AG37">
        <f t="shared" si="39"/>
        <v>0</v>
      </c>
      <c r="AH37">
        <f>(EW37)</f>
        <v>0</v>
      </c>
      <c r="AI37">
        <f>(EX37)</f>
        <v>0</v>
      </c>
      <c r="AJ37">
        <f t="shared" si="40"/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126</v>
      </c>
      <c r="AU37">
        <v>95</v>
      </c>
      <c r="AV37">
        <v>1</v>
      </c>
      <c r="AW37">
        <v>1</v>
      </c>
      <c r="AZ37">
        <v>1</v>
      </c>
      <c r="BA37">
        <v>1</v>
      </c>
      <c r="BB37">
        <v>1</v>
      </c>
      <c r="BC37">
        <v>1</v>
      </c>
      <c r="BD37" t="s">
        <v>3</v>
      </c>
      <c r="BE37" t="s">
        <v>3</v>
      </c>
      <c r="BF37" t="s">
        <v>3</v>
      </c>
      <c r="BG37" t="s">
        <v>3</v>
      </c>
      <c r="BH37">
        <v>3</v>
      </c>
      <c r="BI37">
        <v>1</v>
      </c>
      <c r="BJ37" t="s">
        <v>3</v>
      </c>
      <c r="BM37">
        <v>27001</v>
      </c>
      <c r="BN37">
        <v>0</v>
      </c>
      <c r="BO37" t="s">
        <v>29</v>
      </c>
      <c r="BP37">
        <v>1</v>
      </c>
      <c r="BQ37">
        <v>2</v>
      </c>
      <c r="BR37">
        <v>0</v>
      </c>
      <c r="BS37">
        <v>1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126</v>
      </c>
      <c r="CA37">
        <v>95</v>
      </c>
      <c r="CB37" t="s">
        <v>3</v>
      </c>
      <c r="CE37">
        <v>0</v>
      </c>
      <c r="CF37">
        <v>0</v>
      </c>
      <c r="CG37">
        <v>0</v>
      </c>
      <c r="CM37">
        <v>0</v>
      </c>
      <c r="CN37" t="s">
        <v>3</v>
      </c>
      <c r="CO37">
        <v>0</v>
      </c>
      <c r="CP37">
        <f t="shared" si="41"/>
        <v>0</v>
      </c>
      <c r="CQ37">
        <f t="shared" si="42"/>
        <v>0</v>
      </c>
      <c r="CR37">
        <f t="shared" si="43"/>
        <v>0</v>
      </c>
      <c r="CS37">
        <f t="shared" si="44"/>
        <v>0</v>
      </c>
      <c r="CT37">
        <f t="shared" si="45"/>
        <v>0</v>
      </c>
      <c r="CU37">
        <f t="shared" si="46"/>
        <v>0</v>
      </c>
      <c r="CV37">
        <f t="shared" si="47"/>
        <v>0</v>
      </c>
      <c r="CW37">
        <f t="shared" si="48"/>
        <v>0</v>
      </c>
      <c r="CX37">
        <f t="shared" si="49"/>
        <v>0</v>
      </c>
      <c r="CY37">
        <f t="shared" si="50"/>
        <v>0</v>
      </c>
      <c r="CZ37">
        <f t="shared" si="51"/>
        <v>0</v>
      </c>
      <c r="DC37" t="s">
        <v>3</v>
      </c>
      <c r="DD37" t="s">
        <v>3</v>
      </c>
      <c r="DE37" t="s">
        <v>3</v>
      </c>
      <c r="DF37" t="s">
        <v>3</v>
      </c>
      <c r="DG37" t="s">
        <v>3</v>
      </c>
      <c r="DH37" t="s">
        <v>3</v>
      </c>
      <c r="DI37" t="s">
        <v>3</v>
      </c>
      <c r="DJ37" t="s">
        <v>3</v>
      </c>
      <c r="DK37" t="s">
        <v>3</v>
      </c>
      <c r="DL37" t="s">
        <v>3</v>
      </c>
      <c r="DM37" t="s">
        <v>3</v>
      </c>
      <c r="DN37">
        <v>0</v>
      </c>
      <c r="DO37">
        <v>0</v>
      </c>
      <c r="DP37">
        <v>1</v>
      </c>
      <c r="DQ37">
        <v>1</v>
      </c>
      <c r="DU37">
        <v>1009</v>
      </c>
      <c r="DV37" t="s">
        <v>84</v>
      </c>
      <c r="DW37" t="s">
        <v>84</v>
      </c>
      <c r="DX37">
        <v>1000</v>
      </c>
      <c r="DZ37" t="s">
        <v>3</v>
      </c>
      <c r="EA37" t="s">
        <v>3</v>
      </c>
      <c r="EB37" t="s">
        <v>3</v>
      </c>
      <c r="EC37" t="s">
        <v>3</v>
      </c>
      <c r="EE37">
        <v>29578057</v>
      </c>
      <c r="EF37">
        <v>2</v>
      </c>
      <c r="EG37" t="s">
        <v>33</v>
      </c>
      <c r="EH37">
        <v>21</v>
      </c>
      <c r="EI37" t="s">
        <v>51</v>
      </c>
      <c r="EJ37">
        <v>1</v>
      </c>
      <c r="EK37">
        <v>27001</v>
      </c>
      <c r="EL37" t="s">
        <v>51</v>
      </c>
      <c r="EM37" t="s">
        <v>52</v>
      </c>
      <c r="EO37" t="s">
        <v>3</v>
      </c>
      <c r="EQ37">
        <v>512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FQ37">
        <v>0</v>
      </c>
      <c r="FR37">
        <f t="shared" si="22"/>
        <v>0</v>
      </c>
      <c r="FS37">
        <v>0</v>
      </c>
      <c r="FX37">
        <v>126</v>
      </c>
      <c r="FY37">
        <v>95</v>
      </c>
      <c r="GA37" t="s">
        <v>3</v>
      </c>
      <c r="GD37">
        <v>1</v>
      </c>
      <c r="GF37">
        <v>-1605379213</v>
      </c>
      <c r="GG37">
        <v>2</v>
      </c>
      <c r="GH37">
        <v>1</v>
      </c>
      <c r="GI37">
        <v>4</v>
      </c>
      <c r="GJ37">
        <v>0</v>
      </c>
      <c r="GK37">
        <v>0</v>
      </c>
      <c r="GL37">
        <f t="shared" si="23"/>
        <v>0</v>
      </c>
      <c r="GM37">
        <f t="shared" si="52"/>
        <v>0</v>
      </c>
      <c r="GN37">
        <f t="shared" si="53"/>
        <v>0</v>
      </c>
      <c r="GO37">
        <f t="shared" si="54"/>
        <v>0</v>
      </c>
      <c r="GP37">
        <f t="shared" si="55"/>
        <v>0</v>
      </c>
      <c r="GR37">
        <v>0</v>
      </c>
      <c r="GS37">
        <v>3</v>
      </c>
      <c r="GT37">
        <v>0</v>
      </c>
      <c r="GU37" t="s">
        <v>3</v>
      </c>
      <c r="GV37">
        <f t="shared" si="56"/>
        <v>0</v>
      </c>
      <c r="GW37">
        <v>1</v>
      </c>
      <c r="GX37">
        <f t="shared" si="57"/>
        <v>0</v>
      </c>
      <c r="HA37">
        <v>0</v>
      </c>
      <c r="HB37">
        <v>0</v>
      </c>
      <c r="HC37">
        <f t="shared" si="58"/>
        <v>0</v>
      </c>
      <c r="HE37" t="s">
        <v>3</v>
      </c>
      <c r="HF37" t="s">
        <v>3</v>
      </c>
      <c r="HI37">
        <f t="shared" si="24"/>
        <v>0</v>
      </c>
      <c r="HJ37">
        <f t="shared" si="25"/>
        <v>0</v>
      </c>
      <c r="HK37">
        <f t="shared" si="59"/>
        <v>0</v>
      </c>
      <c r="HL37">
        <f t="shared" si="60"/>
        <v>0</v>
      </c>
      <c r="HM37" t="s">
        <v>3</v>
      </c>
      <c r="HN37" t="s">
        <v>3</v>
      </c>
      <c r="HO37" t="s">
        <v>3</v>
      </c>
      <c r="HP37" t="s">
        <v>3</v>
      </c>
      <c r="HQ37" t="s">
        <v>3</v>
      </c>
      <c r="IK37">
        <v>0</v>
      </c>
    </row>
    <row r="38" spans="1:245" x14ac:dyDescent="0.2">
      <c r="A38">
        <v>18</v>
      </c>
      <c r="B38">
        <v>1</v>
      </c>
      <c r="C38">
        <v>33</v>
      </c>
      <c r="E38" t="s">
        <v>85</v>
      </c>
      <c r="F38" t="s">
        <v>86</v>
      </c>
      <c r="G38" t="s">
        <v>87</v>
      </c>
      <c r="H38" t="s">
        <v>84</v>
      </c>
      <c r="I38">
        <f>I36*J38</f>
        <v>191.6</v>
      </c>
      <c r="J38">
        <v>95.8</v>
      </c>
      <c r="K38">
        <v>95.8</v>
      </c>
      <c r="O38">
        <f t="shared" si="26"/>
        <v>0</v>
      </c>
      <c r="P38">
        <f t="shared" si="27"/>
        <v>0</v>
      </c>
      <c r="Q38">
        <f t="shared" si="28"/>
        <v>0</v>
      </c>
      <c r="R38">
        <f t="shared" si="29"/>
        <v>0</v>
      </c>
      <c r="S38">
        <f t="shared" si="30"/>
        <v>0</v>
      </c>
      <c r="T38">
        <f t="shared" si="31"/>
        <v>0</v>
      </c>
      <c r="U38">
        <f t="shared" si="32"/>
        <v>0</v>
      </c>
      <c r="V38">
        <f t="shared" si="33"/>
        <v>0</v>
      </c>
      <c r="W38">
        <f t="shared" si="34"/>
        <v>0</v>
      </c>
      <c r="X38">
        <f t="shared" si="35"/>
        <v>0</v>
      </c>
      <c r="Y38">
        <f t="shared" si="36"/>
        <v>0</v>
      </c>
      <c r="AA38">
        <v>29836452</v>
      </c>
      <c r="AB38">
        <f t="shared" si="37"/>
        <v>0</v>
      </c>
      <c r="AC38">
        <f t="shared" si="38"/>
        <v>0</v>
      </c>
      <c r="AD38">
        <f>ROUND((((ET38)-(EU38))+AE38),0)</f>
        <v>0</v>
      </c>
      <c r="AE38">
        <f>ROUND((EU38),0)</f>
        <v>0</v>
      </c>
      <c r="AF38">
        <f>ROUND((EV38),0)</f>
        <v>0</v>
      </c>
      <c r="AG38">
        <f t="shared" si="39"/>
        <v>0</v>
      </c>
      <c r="AH38">
        <f>(EW38)</f>
        <v>0</v>
      </c>
      <c r="AI38">
        <f>(EX38)</f>
        <v>0</v>
      </c>
      <c r="AJ38">
        <f t="shared" si="40"/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126</v>
      </c>
      <c r="AU38">
        <v>95</v>
      </c>
      <c r="AV38">
        <v>1</v>
      </c>
      <c r="AW38">
        <v>1</v>
      </c>
      <c r="AZ38">
        <v>1</v>
      </c>
      <c r="BA38">
        <v>1</v>
      </c>
      <c r="BB38">
        <v>1</v>
      </c>
      <c r="BC38">
        <v>1</v>
      </c>
      <c r="BD38" t="s">
        <v>3</v>
      </c>
      <c r="BE38" t="s">
        <v>3</v>
      </c>
      <c r="BF38" t="s">
        <v>3</v>
      </c>
      <c r="BG38" t="s">
        <v>3</v>
      </c>
      <c r="BH38">
        <v>3</v>
      </c>
      <c r="BI38">
        <v>1</v>
      </c>
      <c r="BJ38" t="s">
        <v>3</v>
      </c>
      <c r="BM38">
        <v>27001</v>
      </c>
      <c r="BN38">
        <v>0</v>
      </c>
      <c r="BO38" t="s">
        <v>29</v>
      </c>
      <c r="BP38">
        <v>1</v>
      </c>
      <c r="BQ38">
        <v>2</v>
      </c>
      <c r="BR38">
        <v>0</v>
      </c>
      <c r="BS38">
        <v>1</v>
      </c>
      <c r="BT38">
        <v>1</v>
      </c>
      <c r="BU38">
        <v>1</v>
      </c>
      <c r="BV38">
        <v>1</v>
      </c>
      <c r="BW38">
        <v>1</v>
      </c>
      <c r="BX38">
        <v>1</v>
      </c>
      <c r="BY38" t="s">
        <v>3</v>
      </c>
      <c r="BZ38">
        <v>126</v>
      </c>
      <c r="CA38">
        <v>95</v>
      </c>
      <c r="CB38" t="s">
        <v>3</v>
      </c>
      <c r="CE38">
        <v>0</v>
      </c>
      <c r="CF38">
        <v>0</v>
      </c>
      <c r="CG38">
        <v>0</v>
      </c>
      <c r="CM38">
        <v>0</v>
      </c>
      <c r="CN38" t="s">
        <v>3</v>
      </c>
      <c r="CO38">
        <v>0</v>
      </c>
      <c r="CP38">
        <f t="shared" si="41"/>
        <v>0</v>
      </c>
      <c r="CQ38">
        <f t="shared" si="42"/>
        <v>0</v>
      </c>
      <c r="CR38">
        <f t="shared" si="43"/>
        <v>0</v>
      </c>
      <c r="CS38">
        <f t="shared" si="44"/>
        <v>0</v>
      </c>
      <c r="CT38">
        <f t="shared" si="45"/>
        <v>0</v>
      </c>
      <c r="CU38">
        <f t="shared" si="46"/>
        <v>0</v>
      </c>
      <c r="CV38">
        <f t="shared" si="47"/>
        <v>0</v>
      </c>
      <c r="CW38">
        <f t="shared" si="48"/>
        <v>0</v>
      </c>
      <c r="CX38">
        <f t="shared" si="49"/>
        <v>0</v>
      </c>
      <c r="CY38">
        <f t="shared" si="50"/>
        <v>0</v>
      </c>
      <c r="CZ38">
        <f t="shared" si="51"/>
        <v>0</v>
      </c>
      <c r="DC38" t="s">
        <v>3</v>
      </c>
      <c r="DD38" t="s">
        <v>3</v>
      </c>
      <c r="DE38" t="s">
        <v>3</v>
      </c>
      <c r="DF38" t="s">
        <v>3</v>
      </c>
      <c r="DG38" t="s">
        <v>3</v>
      </c>
      <c r="DH38" t="s">
        <v>3</v>
      </c>
      <c r="DI38" t="s">
        <v>3</v>
      </c>
      <c r="DJ38" t="s">
        <v>3</v>
      </c>
      <c r="DK38" t="s">
        <v>3</v>
      </c>
      <c r="DL38" t="s">
        <v>3</v>
      </c>
      <c r="DM38" t="s">
        <v>3</v>
      </c>
      <c r="DN38">
        <v>0</v>
      </c>
      <c r="DO38">
        <v>0</v>
      </c>
      <c r="DP38">
        <v>1</v>
      </c>
      <c r="DQ38">
        <v>1</v>
      </c>
      <c r="DU38">
        <v>1009</v>
      </c>
      <c r="DV38" t="s">
        <v>84</v>
      </c>
      <c r="DW38" t="s">
        <v>84</v>
      </c>
      <c r="DX38">
        <v>1000</v>
      </c>
      <c r="DZ38" t="s">
        <v>3</v>
      </c>
      <c r="EA38" t="s">
        <v>3</v>
      </c>
      <c r="EB38" t="s">
        <v>3</v>
      </c>
      <c r="EC38" t="s">
        <v>3</v>
      </c>
      <c r="EE38">
        <v>29578057</v>
      </c>
      <c r="EF38">
        <v>2</v>
      </c>
      <c r="EG38" t="s">
        <v>33</v>
      </c>
      <c r="EH38">
        <v>21</v>
      </c>
      <c r="EI38" t="s">
        <v>51</v>
      </c>
      <c r="EJ38">
        <v>1</v>
      </c>
      <c r="EK38">
        <v>27001</v>
      </c>
      <c r="EL38" t="s">
        <v>51</v>
      </c>
      <c r="EM38" t="s">
        <v>52</v>
      </c>
      <c r="EO38" t="s">
        <v>3</v>
      </c>
      <c r="EQ38">
        <v>512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FQ38">
        <v>0</v>
      </c>
      <c r="FR38">
        <f t="shared" si="22"/>
        <v>0</v>
      </c>
      <c r="FS38">
        <v>0</v>
      </c>
      <c r="FX38">
        <v>126</v>
      </c>
      <c r="FY38">
        <v>95</v>
      </c>
      <c r="GA38" t="s">
        <v>3</v>
      </c>
      <c r="GD38">
        <v>1</v>
      </c>
      <c r="GF38">
        <v>1670663622</v>
      </c>
      <c r="GG38">
        <v>2</v>
      </c>
      <c r="GH38">
        <v>1</v>
      </c>
      <c r="GI38">
        <v>4</v>
      </c>
      <c r="GJ38">
        <v>0</v>
      </c>
      <c r="GK38">
        <v>0</v>
      </c>
      <c r="GL38">
        <f t="shared" si="23"/>
        <v>0</v>
      </c>
      <c r="GM38">
        <f t="shared" si="52"/>
        <v>0</v>
      </c>
      <c r="GN38">
        <f t="shared" si="53"/>
        <v>0</v>
      </c>
      <c r="GO38">
        <f t="shared" si="54"/>
        <v>0</v>
      </c>
      <c r="GP38">
        <f t="shared" si="55"/>
        <v>0</v>
      </c>
      <c r="GR38">
        <v>0</v>
      </c>
      <c r="GS38">
        <v>3</v>
      </c>
      <c r="GT38">
        <v>0</v>
      </c>
      <c r="GU38" t="s">
        <v>3</v>
      </c>
      <c r="GV38">
        <f t="shared" si="56"/>
        <v>0</v>
      </c>
      <c r="GW38">
        <v>1</v>
      </c>
      <c r="GX38">
        <f t="shared" si="57"/>
        <v>0</v>
      </c>
      <c r="HA38">
        <v>0</v>
      </c>
      <c r="HB38">
        <v>0</v>
      </c>
      <c r="HC38">
        <f t="shared" si="58"/>
        <v>0</v>
      </c>
      <c r="HE38" t="s">
        <v>3</v>
      </c>
      <c r="HF38" t="s">
        <v>3</v>
      </c>
      <c r="HI38">
        <f t="shared" si="24"/>
        <v>0</v>
      </c>
      <c r="HJ38">
        <f t="shared" si="25"/>
        <v>0</v>
      </c>
      <c r="HK38">
        <f t="shared" si="59"/>
        <v>0</v>
      </c>
      <c r="HL38">
        <f t="shared" si="60"/>
        <v>0</v>
      </c>
      <c r="HM38" t="s">
        <v>3</v>
      </c>
      <c r="HN38" t="s">
        <v>3</v>
      </c>
      <c r="HO38" t="s">
        <v>3</v>
      </c>
      <c r="HP38" t="s">
        <v>3</v>
      </c>
      <c r="HQ38" t="s">
        <v>3</v>
      </c>
      <c r="IK38">
        <v>0</v>
      </c>
    </row>
    <row r="39" spans="1:245" x14ac:dyDescent="0.2">
      <c r="A39">
        <v>17</v>
      </c>
      <c r="B39">
        <v>1</v>
      </c>
      <c r="C39">
        <f>ROW(SmtRes!A39)</f>
        <v>39</v>
      </c>
      <c r="D39">
        <f>ROW(EtalonRes!A40)</f>
        <v>40</v>
      </c>
      <c r="E39" t="s">
        <v>88</v>
      </c>
      <c r="F39" t="s">
        <v>89</v>
      </c>
      <c r="G39" t="s">
        <v>90</v>
      </c>
      <c r="H39" t="s">
        <v>79</v>
      </c>
      <c r="I39">
        <f>ROUND(ROUND(240/1000,4),7)</f>
        <v>0.24</v>
      </c>
      <c r="J39">
        <v>0</v>
      </c>
      <c r="K39">
        <f>ROUND(ROUND(240/1000,4),7)</f>
        <v>0.24</v>
      </c>
      <c r="O39">
        <f t="shared" si="26"/>
        <v>4.5599999999999996</v>
      </c>
      <c r="P39">
        <f t="shared" si="27"/>
        <v>0</v>
      </c>
      <c r="Q39">
        <f t="shared" si="28"/>
        <v>3.6</v>
      </c>
      <c r="R39">
        <f t="shared" si="29"/>
        <v>0</v>
      </c>
      <c r="S39">
        <f t="shared" si="30"/>
        <v>0.96</v>
      </c>
      <c r="T39">
        <f t="shared" si="31"/>
        <v>0</v>
      </c>
      <c r="U39">
        <f t="shared" si="32"/>
        <v>9.935999999999999E-2</v>
      </c>
      <c r="V39">
        <f t="shared" si="33"/>
        <v>0</v>
      </c>
      <c r="W39">
        <f t="shared" si="34"/>
        <v>0</v>
      </c>
      <c r="X39">
        <f t="shared" si="35"/>
        <v>1.21</v>
      </c>
      <c r="Y39">
        <f t="shared" si="36"/>
        <v>0.91</v>
      </c>
      <c r="AA39">
        <v>29836452</v>
      </c>
      <c r="AB39">
        <f t="shared" si="37"/>
        <v>19</v>
      </c>
      <c r="AC39">
        <f>ROUND(((ES39*ROUND(4,7))),0)</f>
        <v>0</v>
      </c>
      <c r="AD39">
        <f>ROUND(((((ET39*ROUND((1.25*4),7)))-((EU39*ROUND((1.25*4),7))))+AE39),0)</f>
        <v>15</v>
      </c>
      <c r="AE39">
        <f>ROUND(((EU39*ROUND((1.25*4),7))),0)</f>
        <v>0</v>
      </c>
      <c r="AF39">
        <f>ROUND(((EV39*ROUND((1.15*4),7))),0)</f>
        <v>4</v>
      </c>
      <c r="AG39">
        <f t="shared" si="39"/>
        <v>0</v>
      </c>
      <c r="AH39">
        <f>((EW39*ROUND((1.15*4),7)))</f>
        <v>0.41399999999999998</v>
      </c>
      <c r="AI39">
        <f>((EX39*ROUND((1.25*4),7)))</f>
        <v>0</v>
      </c>
      <c r="AJ39">
        <f t="shared" si="40"/>
        <v>0</v>
      </c>
      <c r="AK39">
        <v>3.69</v>
      </c>
      <c r="AL39">
        <v>0</v>
      </c>
      <c r="AM39">
        <v>2.92</v>
      </c>
      <c r="AN39">
        <v>0</v>
      </c>
      <c r="AO39">
        <v>0.77</v>
      </c>
      <c r="AP39">
        <v>0</v>
      </c>
      <c r="AQ39">
        <v>0.09</v>
      </c>
      <c r="AR39">
        <v>0</v>
      </c>
      <c r="AS39">
        <v>0</v>
      </c>
      <c r="AT39">
        <v>126</v>
      </c>
      <c r="AU39">
        <v>95</v>
      </c>
      <c r="AV39">
        <v>1</v>
      </c>
      <c r="AW39">
        <v>1</v>
      </c>
      <c r="AZ39">
        <v>1</v>
      </c>
      <c r="BA39">
        <v>35.86</v>
      </c>
      <c r="BB39">
        <v>1</v>
      </c>
      <c r="BC39">
        <v>1</v>
      </c>
      <c r="BD39" t="s">
        <v>3</v>
      </c>
      <c r="BE39" t="s">
        <v>3</v>
      </c>
      <c r="BF39" t="s">
        <v>3</v>
      </c>
      <c r="BG39" t="s">
        <v>3</v>
      </c>
      <c r="BH39">
        <v>0</v>
      </c>
      <c r="BI39">
        <v>1</v>
      </c>
      <c r="BJ39" t="s">
        <v>91</v>
      </c>
      <c r="BM39">
        <v>27001</v>
      </c>
      <c r="BN39">
        <v>0</v>
      </c>
      <c r="BO39" t="s">
        <v>29</v>
      </c>
      <c r="BP39">
        <v>1</v>
      </c>
      <c r="BQ39">
        <v>2</v>
      </c>
      <c r="BR39">
        <v>0</v>
      </c>
      <c r="BS39">
        <v>35.86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3</v>
      </c>
      <c r="BZ39">
        <v>126</v>
      </c>
      <c r="CA39">
        <v>95</v>
      </c>
      <c r="CB39" t="s">
        <v>3</v>
      </c>
      <c r="CE39">
        <v>0</v>
      </c>
      <c r="CF39">
        <v>0</v>
      </c>
      <c r="CG39">
        <v>0</v>
      </c>
      <c r="CM39">
        <v>0</v>
      </c>
      <c r="CN39" t="s">
        <v>30</v>
      </c>
      <c r="CO39">
        <v>0</v>
      </c>
      <c r="CP39">
        <f t="shared" si="41"/>
        <v>4.5600000000000005</v>
      </c>
      <c r="CQ39">
        <f t="shared" si="42"/>
        <v>0</v>
      </c>
      <c r="CR39">
        <f t="shared" si="43"/>
        <v>15</v>
      </c>
      <c r="CS39">
        <f t="shared" si="44"/>
        <v>0</v>
      </c>
      <c r="CT39">
        <f t="shared" si="45"/>
        <v>4</v>
      </c>
      <c r="CU39">
        <f t="shared" si="46"/>
        <v>0</v>
      </c>
      <c r="CV39">
        <f t="shared" si="47"/>
        <v>0.41399999999999998</v>
      </c>
      <c r="CW39">
        <f t="shared" si="48"/>
        <v>0</v>
      </c>
      <c r="CX39">
        <f t="shared" si="49"/>
        <v>0</v>
      </c>
      <c r="CY39">
        <f t="shared" si="50"/>
        <v>1.2096</v>
      </c>
      <c r="CZ39">
        <f t="shared" si="51"/>
        <v>0.91200000000000003</v>
      </c>
      <c r="DC39" t="s">
        <v>3</v>
      </c>
      <c r="DD39" t="s">
        <v>92</v>
      </c>
      <c r="DE39" t="s">
        <v>93</v>
      </c>
      <c r="DF39" t="s">
        <v>93</v>
      </c>
      <c r="DG39" t="s">
        <v>94</v>
      </c>
      <c r="DH39" t="s">
        <v>3</v>
      </c>
      <c r="DI39" t="s">
        <v>94</v>
      </c>
      <c r="DJ39" t="s">
        <v>93</v>
      </c>
      <c r="DK39" t="s">
        <v>3</v>
      </c>
      <c r="DL39" t="s">
        <v>3</v>
      </c>
      <c r="DM39" t="s">
        <v>3</v>
      </c>
      <c r="DN39">
        <v>0</v>
      </c>
      <c r="DO39">
        <v>0</v>
      </c>
      <c r="DP39">
        <v>1</v>
      </c>
      <c r="DQ39">
        <v>1</v>
      </c>
      <c r="DU39">
        <v>1005</v>
      </c>
      <c r="DV39" t="s">
        <v>79</v>
      </c>
      <c r="DW39" t="s">
        <v>79</v>
      </c>
      <c r="DX39">
        <v>1000</v>
      </c>
      <c r="DZ39" t="s">
        <v>3</v>
      </c>
      <c r="EA39" t="s">
        <v>3</v>
      </c>
      <c r="EB39" t="s">
        <v>3</v>
      </c>
      <c r="EC39" t="s">
        <v>3</v>
      </c>
      <c r="EE39">
        <v>29578057</v>
      </c>
      <c r="EF39">
        <v>2</v>
      </c>
      <c r="EG39" t="s">
        <v>33</v>
      </c>
      <c r="EH39">
        <v>21</v>
      </c>
      <c r="EI39" t="s">
        <v>51</v>
      </c>
      <c r="EJ39">
        <v>1</v>
      </c>
      <c r="EK39">
        <v>27001</v>
      </c>
      <c r="EL39" t="s">
        <v>51</v>
      </c>
      <c r="EM39" t="s">
        <v>52</v>
      </c>
      <c r="EO39" t="s">
        <v>37</v>
      </c>
      <c r="EQ39">
        <v>512</v>
      </c>
      <c r="ER39">
        <v>3.69</v>
      </c>
      <c r="ES39">
        <v>0</v>
      </c>
      <c r="ET39">
        <v>2.92</v>
      </c>
      <c r="EU39">
        <v>0</v>
      </c>
      <c r="EV39">
        <v>0.77</v>
      </c>
      <c r="EW39">
        <v>0.09</v>
      </c>
      <c r="EX39">
        <v>0</v>
      </c>
      <c r="EY39">
        <v>0</v>
      </c>
      <c r="FQ39">
        <v>0</v>
      </c>
      <c r="FR39">
        <f t="shared" si="22"/>
        <v>0</v>
      </c>
      <c r="FS39">
        <v>0</v>
      </c>
      <c r="FX39">
        <v>126</v>
      </c>
      <c r="FY39">
        <v>95</v>
      </c>
      <c r="GA39" t="s">
        <v>3</v>
      </c>
      <c r="GD39">
        <v>1</v>
      </c>
      <c r="GF39">
        <v>-160206819</v>
      </c>
      <c r="GG39">
        <v>2</v>
      </c>
      <c r="GH39">
        <v>1</v>
      </c>
      <c r="GI39">
        <v>4</v>
      </c>
      <c r="GJ39">
        <v>0</v>
      </c>
      <c r="GK39">
        <v>0</v>
      </c>
      <c r="GL39">
        <f t="shared" si="23"/>
        <v>0</v>
      </c>
      <c r="GM39">
        <f t="shared" si="52"/>
        <v>6.68</v>
      </c>
      <c r="GN39">
        <f t="shared" si="53"/>
        <v>6.68</v>
      </c>
      <c r="GO39">
        <f t="shared" si="54"/>
        <v>0</v>
      </c>
      <c r="GP39">
        <f t="shared" si="55"/>
        <v>0</v>
      </c>
      <c r="GR39">
        <v>0</v>
      </c>
      <c r="GS39">
        <v>3</v>
      </c>
      <c r="GT39">
        <v>0</v>
      </c>
      <c r="GU39" t="s">
        <v>3</v>
      </c>
      <c r="GV39">
        <f t="shared" si="56"/>
        <v>0</v>
      </c>
      <c r="GW39">
        <v>1</v>
      </c>
      <c r="GX39">
        <f t="shared" si="57"/>
        <v>0</v>
      </c>
      <c r="HA39">
        <v>0</v>
      </c>
      <c r="HB39">
        <v>0</v>
      </c>
      <c r="HC39">
        <f t="shared" si="58"/>
        <v>0</v>
      </c>
      <c r="HE39" t="s">
        <v>3</v>
      </c>
      <c r="HF39" t="s">
        <v>3</v>
      </c>
      <c r="HI39">
        <f t="shared" si="24"/>
        <v>0</v>
      </c>
      <c r="HJ39">
        <f t="shared" si="25"/>
        <v>34.43</v>
      </c>
      <c r="HK39">
        <f t="shared" si="59"/>
        <v>43.38</v>
      </c>
      <c r="HL39">
        <f t="shared" si="60"/>
        <v>32.71</v>
      </c>
      <c r="HM39" t="s">
        <v>3</v>
      </c>
      <c r="HN39" t="s">
        <v>3</v>
      </c>
      <c r="HO39" t="s">
        <v>3</v>
      </c>
      <c r="HP39" t="s">
        <v>3</v>
      </c>
      <c r="HQ39" t="s">
        <v>3</v>
      </c>
      <c r="IK39">
        <v>0</v>
      </c>
    </row>
    <row r="40" spans="1:245" x14ac:dyDescent="0.2">
      <c r="A40">
        <v>18</v>
      </c>
      <c r="B40">
        <v>1</v>
      </c>
      <c r="C40">
        <v>38</v>
      </c>
      <c r="E40" t="s">
        <v>95</v>
      </c>
      <c r="F40" t="s">
        <v>82</v>
      </c>
      <c r="G40" t="s">
        <v>83</v>
      </c>
      <c r="H40" t="s">
        <v>84</v>
      </c>
      <c r="I40">
        <f>I39*J40</f>
        <v>1.3439999999999999E-3</v>
      </c>
      <c r="J40">
        <v>5.5999999999999999E-3</v>
      </c>
      <c r="K40">
        <v>1.4E-3</v>
      </c>
      <c r="O40">
        <f t="shared" si="26"/>
        <v>0</v>
      </c>
      <c r="P40">
        <f t="shared" si="27"/>
        <v>0</v>
      </c>
      <c r="Q40">
        <f t="shared" si="28"/>
        <v>0</v>
      </c>
      <c r="R40">
        <f t="shared" si="29"/>
        <v>0</v>
      </c>
      <c r="S40">
        <f t="shared" si="30"/>
        <v>0</v>
      </c>
      <c r="T40">
        <f t="shared" si="31"/>
        <v>0</v>
      </c>
      <c r="U40">
        <f t="shared" si="32"/>
        <v>0</v>
      </c>
      <c r="V40">
        <f t="shared" si="33"/>
        <v>0</v>
      </c>
      <c r="W40">
        <f t="shared" si="34"/>
        <v>0</v>
      </c>
      <c r="X40">
        <f t="shared" si="35"/>
        <v>0</v>
      </c>
      <c r="Y40">
        <f t="shared" si="36"/>
        <v>0</v>
      </c>
      <c r="AA40">
        <v>29836452</v>
      </c>
      <c r="AB40">
        <f t="shared" si="37"/>
        <v>0</v>
      </c>
      <c r="AC40">
        <f>ROUND((ES40),0)</f>
        <v>0</v>
      </c>
      <c r="AD40">
        <f>ROUND((((ET40)-(EU40))+AE40),0)</f>
        <v>0</v>
      </c>
      <c r="AE40">
        <f>ROUND((EU40),0)</f>
        <v>0</v>
      </c>
      <c r="AF40">
        <f>ROUND((EV40),0)</f>
        <v>0</v>
      </c>
      <c r="AG40">
        <f t="shared" si="39"/>
        <v>0</v>
      </c>
      <c r="AH40">
        <f>(EW40)</f>
        <v>0</v>
      </c>
      <c r="AI40">
        <f>(EX40)</f>
        <v>0</v>
      </c>
      <c r="AJ40">
        <f t="shared" si="40"/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126</v>
      </c>
      <c r="AU40">
        <v>95</v>
      </c>
      <c r="AV40">
        <v>1</v>
      </c>
      <c r="AW40">
        <v>1</v>
      </c>
      <c r="AZ40">
        <v>1</v>
      </c>
      <c r="BA40">
        <v>1</v>
      </c>
      <c r="BB40">
        <v>1</v>
      </c>
      <c r="BC40">
        <v>1</v>
      </c>
      <c r="BD40" t="s">
        <v>3</v>
      </c>
      <c r="BE40" t="s">
        <v>3</v>
      </c>
      <c r="BF40" t="s">
        <v>3</v>
      </c>
      <c r="BG40" t="s">
        <v>3</v>
      </c>
      <c r="BH40">
        <v>3</v>
      </c>
      <c r="BI40">
        <v>1</v>
      </c>
      <c r="BJ40" t="s">
        <v>3</v>
      </c>
      <c r="BM40">
        <v>27001</v>
      </c>
      <c r="BN40">
        <v>0</v>
      </c>
      <c r="BO40" t="s">
        <v>29</v>
      </c>
      <c r="BP40">
        <v>1</v>
      </c>
      <c r="BQ40">
        <v>2</v>
      </c>
      <c r="BR40">
        <v>0</v>
      </c>
      <c r="BS40">
        <v>1</v>
      </c>
      <c r="BT40">
        <v>1</v>
      </c>
      <c r="BU40">
        <v>1</v>
      </c>
      <c r="BV40">
        <v>1</v>
      </c>
      <c r="BW40">
        <v>1</v>
      </c>
      <c r="BX40">
        <v>1</v>
      </c>
      <c r="BY40" t="s">
        <v>3</v>
      </c>
      <c r="BZ40">
        <v>126</v>
      </c>
      <c r="CA40">
        <v>95</v>
      </c>
      <c r="CB40" t="s">
        <v>3</v>
      </c>
      <c r="CE40">
        <v>0</v>
      </c>
      <c r="CF40">
        <v>0</v>
      </c>
      <c r="CG40">
        <v>0</v>
      </c>
      <c r="CM40">
        <v>0</v>
      </c>
      <c r="CN40" t="s">
        <v>30</v>
      </c>
      <c r="CO40">
        <v>0</v>
      </c>
      <c r="CP40">
        <f t="shared" si="41"/>
        <v>0</v>
      </c>
      <c r="CQ40">
        <f t="shared" si="42"/>
        <v>0</v>
      </c>
      <c r="CR40">
        <f t="shared" si="43"/>
        <v>0</v>
      </c>
      <c r="CS40">
        <f t="shared" si="44"/>
        <v>0</v>
      </c>
      <c r="CT40">
        <f t="shared" si="45"/>
        <v>0</v>
      </c>
      <c r="CU40">
        <f t="shared" si="46"/>
        <v>0</v>
      </c>
      <c r="CV40">
        <f t="shared" si="47"/>
        <v>0</v>
      </c>
      <c r="CW40">
        <f t="shared" si="48"/>
        <v>0</v>
      </c>
      <c r="CX40">
        <f t="shared" si="49"/>
        <v>0</v>
      </c>
      <c r="CY40">
        <f t="shared" si="50"/>
        <v>0</v>
      </c>
      <c r="CZ40">
        <f t="shared" si="51"/>
        <v>0</v>
      </c>
      <c r="DC40" t="s">
        <v>3</v>
      </c>
      <c r="DD40" t="s">
        <v>3</v>
      </c>
      <c r="DE40" t="s">
        <v>3</v>
      </c>
      <c r="DF40" t="s">
        <v>3</v>
      </c>
      <c r="DG40" t="s">
        <v>3</v>
      </c>
      <c r="DH40" t="s">
        <v>3</v>
      </c>
      <c r="DI40" t="s">
        <v>3</v>
      </c>
      <c r="DJ40" t="s">
        <v>3</v>
      </c>
      <c r="DK40" t="s">
        <v>3</v>
      </c>
      <c r="DL40" t="s">
        <v>3</v>
      </c>
      <c r="DM40" t="s">
        <v>3</v>
      </c>
      <c r="DN40">
        <v>0</v>
      </c>
      <c r="DO40">
        <v>0</v>
      </c>
      <c r="DP40">
        <v>1</v>
      </c>
      <c r="DQ40">
        <v>1</v>
      </c>
      <c r="DU40">
        <v>1009</v>
      </c>
      <c r="DV40" t="s">
        <v>84</v>
      </c>
      <c r="DW40" t="s">
        <v>84</v>
      </c>
      <c r="DX40">
        <v>1000</v>
      </c>
      <c r="DZ40" t="s">
        <v>3</v>
      </c>
      <c r="EA40" t="s">
        <v>3</v>
      </c>
      <c r="EB40" t="s">
        <v>3</v>
      </c>
      <c r="EC40" t="s">
        <v>3</v>
      </c>
      <c r="EE40">
        <v>29578057</v>
      </c>
      <c r="EF40">
        <v>2</v>
      </c>
      <c r="EG40" t="s">
        <v>33</v>
      </c>
      <c r="EH40">
        <v>21</v>
      </c>
      <c r="EI40" t="s">
        <v>51</v>
      </c>
      <c r="EJ40">
        <v>1</v>
      </c>
      <c r="EK40">
        <v>27001</v>
      </c>
      <c r="EL40" t="s">
        <v>51</v>
      </c>
      <c r="EM40" t="s">
        <v>52</v>
      </c>
      <c r="EO40" t="s">
        <v>37</v>
      </c>
      <c r="EQ40">
        <v>512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FQ40">
        <v>0</v>
      </c>
      <c r="FR40">
        <f t="shared" si="22"/>
        <v>0</v>
      </c>
      <c r="FS40">
        <v>0</v>
      </c>
      <c r="FX40">
        <v>126</v>
      </c>
      <c r="FY40">
        <v>95</v>
      </c>
      <c r="GA40" t="s">
        <v>3</v>
      </c>
      <c r="GD40">
        <v>1</v>
      </c>
      <c r="GF40">
        <v>-1605379213</v>
      </c>
      <c r="GG40">
        <v>2</v>
      </c>
      <c r="GH40">
        <v>1</v>
      </c>
      <c r="GI40">
        <v>4</v>
      </c>
      <c r="GJ40">
        <v>0</v>
      </c>
      <c r="GK40">
        <v>0</v>
      </c>
      <c r="GL40">
        <f t="shared" si="23"/>
        <v>0</v>
      </c>
      <c r="GM40">
        <f t="shared" si="52"/>
        <v>0</v>
      </c>
      <c r="GN40">
        <f t="shared" si="53"/>
        <v>0</v>
      </c>
      <c r="GO40">
        <f t="shared" si="54"/>
        <v>0</v>
      </c>
      <c r="GP40">
        <f t="shared" si="55"/>
        <v>0</v>
      </c>
      <c r="GR40">
        <v>0</v>
      </c>
      <c r="GS40">
        <v>3</v>
      </c>
      <c r="GT40">
        <v>0</v>
      </c>
      <c r="GU40" t="s">
        <v>3</v>
      </c>
      <c r="GV40">
        <f t="shared" si="56"/>
        <v>0</v>
      </c>
      <c r="GW40">
        <v>1</v>
      </c>
      <c r="GX40">
        <f t="shared" si="57"/>
        <v>0</v>
      </c>
      <c r="HA40">
        <v>0</v>
      </c>
      <c r="HB40">
        <v>0</v>
      </c>
      <c r="HC40">
        <f t="shared" si="58"/>
        <v>0</v>
      </c>
      <c r="HE40" t="s">
        <v>3</v>
      </c>
      <c r="HF40" t="s">
        <v>3</v>
      </c>
      <c r="HI40">
        <f t="shared" si="24"/>
        <v>0</v>
      </c>
      <c r="HJ40">
        <f t="shared" si="25"/>
        <v>0</v>
      </c>
      <c r="HK40">
        <f t="shared" si="59"/>
        <v>0</v>
      </c>
      <c r="HL40">
        <f t="shared" si="60"/>
        <v>0</v>
      </c>
      <c r="HM40" t="s">
        <v>92</v>
      </c>
      <c r="HN40" t="s">
        <v>3</v>
      </c>
      <c r="HO40" t="s">
        <v>3</v>
      </c>
      <c r="HP40" t="s">
        <v>3</v>
      </c>
      <c r="HQ40" t="s">
        <v>3</v>
      </c>
      <c r="IK40">
        <v>0</v>
      </c>
    </row>
    <row r="41" spans="1:245" x14ac:dyDescent="0.2">
      <c r="A41">
        <v>18</v>
      </c>
      <c r="B41">
        <v>1</v>
      </c>
      <c r="C41">
        <v>39</v>
      </c>
      <c r="E41" t="s">
        <v>96</v>
      </c>
      <c r="F41" t="s">
        <v>86</v>
      </c>
      <c r="G41" t="s">
        <v>87</v>
      </c>
      <c r="H41" t="s">
        <v>84</v>
      </c>
      <c r="I41">
        <f>I39*J41</f>
        <v>11.52</v>
      </c>
      <c r="J41">
        <v>48</v>
      </c>
      <c r="K41">
        <v>12</v>
      </c>
      <c r="O41">
        <f t="shared" si="26"/>
        <v>0</v>
      </c>
      <c r="P41">
        <f t="shared" si="27"/>
        <v>0</v>
      </c>
      <c r="Q41">
        <f t="shared" si="28"/>
        <v>0</v>
      </c>
      <c r="R41">
        <f t="shared" si="29"/>
        <v>0</v>
      </c>
      <c r="S41">
        <f t="shared" si="30"/>
        <v>0</v>
      </c>
      <c r="T41">
        <f t="shared" si="31"/>
        <v>0</v>
      </c>
      <c r="U41">
        <f t="shared" si="32"/>
        <v>0</v>
      </c>
      <c r="V41">
        <f t="shared" si="33"/>
        <v>0</v>
      </c>
      <c r="W41">
        <f t="shared" si="34"/>
        <v>0</v>
      </c>
      <c r="X41">
        <f t="shared" si="35"/>
        <v>0</v>
      </c>
      <c r="Y41">
        <f t="shared" si="36"/>
        <v>0</v>
      </c>
      <c r="AA41">
        <v>29836452</v>
      </c>
      <c r="AB41">
        <f t="shared" si="37"/>
        <v>0</v>
      </c>
      <c r="AC41">
        <f>ROUND((ES41),0)</f>
        <v>0</v>
      </c>
      <c r="AD41">
        <f>ROUND((((ET41)-(EU41))+AE41),0)</f>
        <v>0</v>
      </c>
      <c r="AE41">
        <f>ROUND((EU41),0)</f>
        <v>0</v>
      </c>
      <c r="AF41">
        <f>ROUND((EV41),0)</f>
        <v>0</v>
      </c>
      <c r="AG41">
        <f t="shared" si="39"/>
        <v>0</v>
      </c>
      <c r="AH41">
        <f>(EW41)</f>
        <v>0</v>
      </c>
      <c r="AI41">
        <f>(EX41)</f>
        <v>0</v>
      </c>
      <c r="AJ41">
        <f t="shared" si="40"/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126</v>
      </c>
      <c r="AU41">
        <v>95</v>
      </c>
      <c r="AV41">
        <v>1</v>
      </c>
      <c r="AW41">
        <v>1</v>
      </c>
      <c r="AZ41">
        <v>1</v>
      </c>
      <c r="BA41">
        <v>1</v>
      </c>
      <c r="BB41">
        <v>1</v>
      </c>
      <c r="BC41">
        <v>1</v>
      </c>
      <c r="BD41" t="s">
        <v>3</v>
      </c>
      <c r="BE41" t="s">
        <v>3</v>
      </c>
      <c r="BF41" t="s">
        <v>3</v>
      </c>
      <c r="BG41" t="s">
        <v>3</v>
      </c>
      <c r="BH41">
        <v>3</v>
      </c>
      <c r="BI41">
        <v>1</v>
      </c>
      <c r="BJ41" t="s">
        <v>3</v>
      </c>
      <c r="BM41">
        <v>27001</v>
      </c>
      <c r="BN41">
        <v>0</v>
      </c>
      <c r="BO41" t="s">
        <v>29</v>
      </c>
      <c r="BP41">
        <v>1</v>
      </c>
      <c r="BQ41">
        <v>2</v>
      </c>
      <c r="BR41">
        <v>0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3</v>
      </c>
      <c r="BZ41">
        <v>126</v>
      </c>
      <c r="CA41">
        <v>95</v>
      </c>
      <c r="CB41" t="s">
        <v>3</v>
      </c>
      <c r="CE41">
        <v>0</v>
      </c>
      <c r="CF41">
        <v>0</v>
      </c>
      <c r="CG41">
        <v>0</v>
      </c>
      <c r="CM41">
        <v>0</v>
      </c>
      <c r="CN41" t="s">
        <v>30</v>
      </c>
      <c r="CO41">
        <v>0</v>
      </c>
      <c r="CP41">
        <f t="shared" si="41"/>
        <v>0</v>
      </c>
      <c r="CQ41">
        <f t="shared" si="42"/>
        <v>0</v>
      </c>
      <c r="CR41">
        <f t="shared" si="43"/>
        <v>0</v>
      </c>
      <c r="CS41">
        <f t="shared" si="44"/>
        <v>0</v>
      </c>
      <c r="CT41">
        <f t="shared" si="45"/>
        <v>0</v>
      </c>
      <c r="CU41">
        <f t="shared" si="46"/>
        <v>0</v>
      </c>
      <c r="CV41">
        <f t="shared" si="47"/>
        <v>0</v>
      </c>
      <c r="CW41">
        <f t="shared" si="48"/>
        <v>0</v>
      </c>
      <c r="CX41">
        <f t="shared" si="49"/>
        <v>0</v>
      </c>
      <c r="CY41">
        <f t="shared" si="50"/>
        <v>0</v>
      </c>
      <c r="CZ41">
        <f t="shared" si="51"/>
        <v>0</v>
      </c>
      <c r="DC41" t="s">
        <v>3</v>
      </c>
      <c r="DD41" t="s">
        <v>3</v>
      </c>
      <c r="DE41" t="s">
        <v>3</v>
      </c>
      <c r="DF41" t="s">
        <v>3</v>
      </c>
      <c r="DG41" t="s">
        <v>3</v>
      </c>
      <c r="DH41" t="s">
        <v>3</v>
      </c>
      <c r="DI41" t="s">
        <v>3</v>
      </c>
      <c r="DJ41" t="s">
        <v>3</v>
      </c>
      <c r="DK41" t="s">
        <v>3</v>
      </c>
      <c r="DL41" t="s">
        <v>3</v>
      </c>
      <c r="DM41" t="s">
        <v>3</v>
      </c>
      <c r="DN41">
        <v>0</v>
      </c>
      <c r="DO41">
        <v>0</v>
      </c>
      <c r="DP41">
        <v>1</v>
      </c>
      <c r="DQ41">
        <v>1</v>
      </c>
      <c r="DU41">
        <v>1009</v>
      </c>
      <c r="DV41" t="s">
        <v>84</v>
      </c>
      <c r="DW41" t="s">
        <v>84</v>
      </c>
      <c r="DX41">
        <v>1000</v>
      </c>
      <c r="DZ41" t="s">
        <v>3</v>
      </c>
      <c r="EA41" t="s">
        <v>3</v>
      </c>
      <c r="EB41" t="s">
        <v>3</v>
      </c>
      <c r="EC41" t="s">
        <v>3</v>
      </c>
      <c r="EE41">
        <v>29578057</v>
      </c>
      <c r="EF41">
        <v>2</v>
      </c>
      <c r="EG41" t="s">
        <v>33</v>
      </c>
      <c r="EH41">
        <v>21</v>
      </c>
      <c r="EI41" t="s">
        <v>51</v>
      </c>
      <c r="EJ41">
        <v>1</v>
      </c>
      <c r="EK41">
        <v>27001</v>
      </c>
      <c r="EL41" t="s">
        <v>51</v>
      </c>
      <c r="EM41" t="s">
        <v>52</v>
      </c>
      <c r="EO41" t="s">
        <v>37</v>
      </c>
      <c r="EQ41">
        <v>512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FQ41">
        <v>0</v>
      </c>
      <c r="FR41">
        <f t="shared" si="22"/>
        <v>0</v>
      </c>
      <c r="FS41">
        <v>0</v>
      </c>
      <c r="FX41">
        <v>126</v>
      </c>
      <c r="FY41">
        <v>95</v>
      </c>
      <c r="GA41" t="s">
        <v>3</v>
      </c>
      <c r="GD41">
        <v>1</v>
      </c>
      <c r="GF41">
        <v>1670663622</v>
      </c>
      <c r="GG41">
        <v>2</v>
      </c>
      <c r="GH41">
        <v>1</v>
      </c>
      <c r="GI41">
        <v>4</v>
      </c>
      <c r="GJ41">
        <v>0</v>
      </c>
      <c r="GK41">
        <v>0</v>
      </c>
      <c r="GL41">
        <f t="shared" si="23"/>
        <v>0</v>
      </c>
      <c r="GM41">
        <f t="shared" si="52"/>
        <v>0</v>
      </c>
      <c r="GN41">
        <f t="shared" si="53"/>
        <v>0</v>
      </c>
      <c r="GO41">
        <f t="shared" si="54"/>
        <v>0</v>
      </c>
      <c r="GP41">
        <f t="shared" si="55"/>
        <v>0</v>
      </c>
      <c r="GR41">
        <v>0</v>
      </c>
      <c r="GS41">
        <v>3</v>
      </c>
      <c r="GT41">
        <v>0</v>
      </c>
      <c r="GU41" t="s">
        <v>3</v>
      </c>
      <c r="GV41">
        <f t="shared" si="56"/>
        <v>0</v>
      </c>
      <c r="GW41">
        <v>1</v>
      </c>
      <c r="GX41">
        <f t="shared" si="57"/>
        <v>0</v>
      </c>
      <c r="HA41">
        <v>0</v>
      </c>
      <c r="HB41">
        <v>0</v>
      </c>
      <c r="HC41">
        <f t="shared" si="58"/>
        <v>0</v>
      </c>
      <c r="HE41" t="s">
        <v>3</v>
      </c>
      <c r="HF41" t="s">
        <v>3</v>
      </c>
      <c r="HI41">
        <f t="shared" si="24"/>
        <v>0</v>
      </c>
      <c r="HJ41">
        <f t="shared" si="25"/>
        <v>0</v>
      </c>
      <c r="HK41">
        <f t="shared" si="59"/>
        <v>0</v>
      </c>
      <c r="HL41">
        <f t="shared" si="60"/>
        <v>0</v>
      </c>
      <c r="HM41" t="s">
        <v>92</v>
      </c>
      <c r="HN41" t="s">
        <v>3</v>
      </c>
      <c r="HO41" t="s">
        <v>3</v>
      </c>
      <c r="HP41" t="s">
        <v>3</v>
      </c>
      <c r="HQ41" t="s">
        <v>3</v>
      </c>
      <c r="IK41">
        <v>0</v>
      </c>
    </row>
    <row r="42" spans="1:245" x14ac:dyDescent="0.2">
      <c r="A42">
        <v>17</v>
      </c>
      <c r="B42">
        <v>1</v>
      </c>
      <c r="C42">
        <f>ROW(SmtRes!A43)</f>
        <v>43</v>
      </c>
      <c r="D42">
        <f>ROW(EtalonRes!A44)</f>
        <v>44</v>
      </c>
      <c r="E42" t="s">
        <v>97</v>
      </c>
      <c r="F42" t="s">
        <v>89</v>
      </c>
      <c r="G42" t="s">
        <v>98</v>
      </c>
      <c r="H42" t="s">
        <v>79</v>
      </c>
      <c r="I42">
        <f>ROUND(ROUND(1760/1000,4),7)</f>
        <v>1.76</v>
      </c>
      <c r="J42">
        <v>0</v>
      </c>
      <c r="K42">
        <f>ROUND(ROUND(1760/1000,4),7)</f>
        <v>1.76</v>
      </c>
      <c r="O42">
        <f t="shared" si="26"/>
        <v>15.84</v>
      </c>
      <c r="P42">
        <f t="shared" si="27"/>
        <v>0</v>
      </c>
      <c r="Q42">
        <f t="shared" si="28"/>
        <v>12.32</v>
      </c>
      <c r="R42">
        <f t="shared" si="29"/>
        <v>0</v>
      </c>
      <c r="S42">
        <f t="shared" si="30"/>
        <v>3.52</v>
      </c>
      <c r="T42">
        <f t="shared" si="31"/>
        <v>0</v>
      </c>
      <c r="U42">
        <f t="shared" si="32"/>
        <v>0.36431999999999998</v>
      </c>
      <c r="V42">
        <f t="shared" si="33"/>
        <v>0</v>
      </c>
      <c r="W42">
        <f t="shared" si="34"/>
        <v>0</v>
      </c>
      <c r="X42">
        <f t="shared" si="35"/>
        <v>4.4400000000000004</v>
      </c>
      <c r="Y42">
        <f t="shared" si="36"/>
        <v>3.34</v>
      </c>
      <c r="AA42">
        <v>29836452</v>
      </c>
      <c r="AB42">
        <f t="shared" si="37"/>
        <v>9</v>
      </c>
      <c r="AC42">
        <f>ROUND(((ES42*ROUND(2,7))),0)</f>
        <v>0</v>
      </c>
      <c r="AD42">
        <f>ROUND(((((ET42*ROUND((1.25*2),7)))-((EU42*ROUND((1.25*2),7))))+AE42),0)</f>
        <v>7</v>
      </c>
      <c r="AE42">
        <f>ROUND(((EU42*ROUND((1.25*2),7))),0)</f>
        <v>0</v>
      </c>
      <c r="AF42">
        <f>ROUND(((EV42*ROUND((1.15*2),7))),0)</f>
        <v>2</v>
      </c>
      <c r="AG42">
        <f t="shared" si="39"/>
        <v>0</v>
      </c>
      <c r="AH42">
        <f>((EW42*ROUND((1.15*2),7)))</f>
        <v>0.20699999999999999</v>
      </c>
      <c r="AI42">
        <f>((EX42*ROUND((1.25*2),7)))</f>
        <v>0</v>
      </c>
      <c r="AJ42">
        <f t="shared" si="40"/>
        <v>0</v>
      </c>
      <c r="AK42">
        <v>3.69</v>
      </c>
      <c r="AL42">
        <v>0</v>
      </c>
      <c r="AM42">
        <v>2.92</v>
      </c>
      <c r="AN42">
        <v>0</v>
      </c>
      <c r="AO42">
        <v>0.77</v>
      </c>
      <c r="AP42">
        <v>0</v>
      </c>
      <c r="AQ42">
        <v>0.09</v>
      </c>
      <c r="AR42">
        <v>0</v>
      </c>
      <c r="AS42">
        <v>0</v>
      </c>
      <c r="AT42">
        <v>126</v>
      </c>
      <c r="AU42">
        <v>95</v>
      </c>
      <c r="AV42">
        <v>1</v>
      </c>
      <c r="AW42">
        <v>1</v>
      </c>
      <c r="AZ42">
        <v>1</v>
      </c>
      <c r="BA42">
        <v>35.86</v>
      </c>
      <c r="BB42">
        <v>1</v>
      </c>
      <c r="BC42">
        <v>1</v>
      </c>
      <c r="BD42" t="s">
        <v>3</v>
      </c>
      <c r="BE42" t="s">
        <v>3</v>
      </c>
      <c r="BF42" t="s">
        <v>3</v>
      </c>
      <c r="BG42" t="s">
        <v>3</v>
      </c>
      <c r="BH42">
        <v>0</v>
      </c>
      <c r="BI42">
        <v>1</v>
      </c>
      <c r="BJ42" t="s">
        <v>91</v>
      </c>
      <c r="BM42">
        <v>27001</v>
      </c>
      <c r="BN42">
        <v>0</v>
      </c>
      <c r="BO42" t="s">
        <v>29</v>
      </c>
      <c r="BP42">
        <v>1</v>
      </c>
      <c r="BQ42">
        <v>2</v>
      </c>
      <c r="BR42">
        <v>0</v>
      </c>
      <c r="BS42">
        <v>35.86</v>
      </c>
      <c r="BT42">
        <v>1</v>
      </c>
      <c r="BU42">
        <v>1</v>
      </c>
      <c r="BV42">
        <v>1</v>
      </c>
      <c r="BW42">
        <v>1</v>
      </c>
      <c r="BX42">
        <v>1</v>
      </c>
      <c r="BY42" t="s">
        <v>3</v>
      </c>
      <c r="BZ42">
        <v>126</v>
      </c>
      <c r="CA42">
        <v>95</v>
      </c>
      <c r="CB42" t="s">
        <v>3</v>
      </c>
      <c r="CE42">
        <v>0</v>
      </c>
      <c r="CF42">
        <v>0</v>
      </c>
      <c r="CG42">
        <v>0</v>
      </c>
      <c r="CM42">
        <v>0</v>
      </c>
      <c r="CN42" t="s">
        <v>30</v>
      </c>
      <c r="CO42">
        <v>0</v>
      </c>
      <c r="CP42">
        <f t="shared" si="41"/>
        <v>15.84</v>
      </c>
      <c r="CQ42">
        <f t="shared" si="42"/>
        <v>0</v>
      </c>
      <c r="CR42">
        <f t="shared" si="43"/>
        <v>7</v>
      </c>
      <c r="CS42">
        <f t="shared" si="44"/>
        <v>0</v>
      </c>
      <c r="CT42">
        <f t="shared" si="45"/>
        <v>2</v>
      </c>
      <c r="CU42">
        <f t="shared" si="46"/>
        <v>0</v>
      </c>
      <c r="CV42">
        <f t="shared" si="47"/>
        <v>0.20699999999999999</v>
      </c>
      <c r="CW42">
        <f t="shared" si="48"/>
        <v>0</v>
      </c>
      <c r="CX42">
        <f t="shared" si="49"/>
        <v>0</v>
      </c>
      <c r="CY42">
        <f t="shared" si="50"/>
        <v>4.4352</v>
      </c>
      <c r="CZ42">
        <f t="shared" si="51"/>
        <v>3.3439999999999999</v>
      </c>
      <c r="DC42" t="s">
        <v>3</v>
      </c>
      <c r="DD42" t="s">
        <v>99</v>
      </c>
      <c r="DE42" t="s">
        <v>100</v>
      </c>
      <c r="DF42" t="s">
        <v>100</v>
      </c>
      <c r="DG42" t="s">
        <v>101</v>
      </c>
      <c r="DH42" t="s">
        <v>3</v>
      </c>
      <c r="DI42" t="s">
        <v>101</v>
      </c>
      <c r="DJ42" t="s">
        <v>100</v>
      </c>
      <c r="DK42" t="s">
        <v>3</v>
      </c>
      <c r="DL42" t="s">
        <v>3</v>
      </c>
      <c r="DM42" t="s">
        <v>3</v>
      </c>
      <c r="DN42">
        <v>0</v>
      </c>
      <c r="DO42">
        <v>0</v>
      </c>
      <c r="DP42">
        <v>1</v>
      </c>
      <c r="DQ42">
        <v>1</v>
      </c>
      <c r="DU42">
        <v>1005</v>
      </c>
      <c r="DV42" t="s">
        <v>79</v>
      </c>
      <c r="DW42" t="s">
        <v>79</v>
      </c>
      <c r="DX42">
        <v>1000</v>
      </c>
      <c r="DZ42" t="s">
        <v>3</v>
      </c>
      <c r="EA42" t="s">
        <v>3</v>
      </c>
      <c r="EB42" t="s">
        <v>3</v>
      </c>
      <c r="EC42" t="s">
        <v>3</v>
      </c>
      <c r="EE42">
        <v>29578057</v>
      </c>
      <c r="EF42">
        <v>2</v>
      </c>
      <c r="EG42" t="s">
        <v>33</v>
      </c>
      <c r="EH42">
        <v>21</v>
      </c>
      <c r="EI42" t="s">
        <v>51</v>
      </c>
      <c r="EJ42">
        <v>1</v>
      </c>
      <c r="EK42">
        <v>27001</v>
      </c>
      <c r="EL42" t="s">
        <v>51</v>
      </c>
      <c r="EM42" t="s">
        <v>52</v>
      </c>
      <c r="EO42" t="s">
        <v>37</v>
      </c>
      <c r="EQ42">
        <v>512</v>
      </c>
      <c r="ER42">
        <v>3.69</v>
      </c>
      <c r="ES42">
        <v>0</v>
      </c>
      <c r="ET42">
        <v>2.92</v>
      </c>
      <c r="EU42">
        <v>0</v>
      </c>
      <c r="EV42">
        <v>0.77</v>
      </c>
      <c r="EW42">
        <v>0.09</v>
      </c>
      <c r="EX42">
        <v>0</v>
      </c>
      <c r="EY42">
        <v>0</v>
      </c>
      <c r="FQ42">
        <v>0</v>
      </c>
      <c r="FR42">
        <f t="shared" si="22"/>
        <v>0</v>
      </c>
      <c r="FS42">
        <v>0</v>
      </c>
      <c r="FX42">
        <v>126</v>
      </c>
      <c r="FY42">
        <v>95</v>
      </c>
      <c r="GA42" t="s">
        <v>3</v>
      </c>
      <c r="GD42">
        <v>1</v>
      </c>
      <c r="GF42">
        <v>1707913679</v>
      </c>
      <c r="GG42">
        <v>2</v>
      </c>
      <c r="GH42">
        <v>1</v>
      </c>
      <c r="GI42">
        <v>4</v>
      </c>
      <c r="GJ42">
        <v>0</v>
      </c>
      <c r="GK42">
        <v>0</v>
      </c>
      <c r="GL42">
        <f t="shared" si="23"/>
        <v>0</v>
      </c>
      <c r="GM42">
        <f t="shared" si="52"/>
        <v>23.62</v>
      </c>
      <c r="GN42">
        <f t="shared" si="53"/>
        <v>23.62</v>
      </c>
      <c r="GO42">
        <f t="shared" si="54"/>
        <v>0</v>
      </c>
      <c r="GP42">
        <f t="shared" si="55"/>
        <v>0</v>
      </c>
      <c r="GR42">
        <v>0</v>
      </c>
      <c r="GS42">
        <v>3</v>
      </c>
      <c r="GT42">
        <v>0</v>
      </c>
      <c r="GU42" t="s">
        <v>3</v>
      </c>
      <c r="GV42">
        <f t="shared" si="56"/>
        <v>0</v>
      </c>
      <c r="GW42">
        <v>1</v>
      </c>
      <c r="GX42">
        <f t="shared" si="57"/>
        <v>0</v>
      </c>
      <c r="HA42">
        <v>0</v>
      </c>
      <c r="HB42">
        <v>0</v>
      </c>
      <c r="HC42">
        <f t="shared" si="58"/>
        <v>0</v>
      </c>
      <c r="HE42" t="s">
        <v>3</v>
      </c>
      <c r="HF42" t="s">
        <v>3</v>
      </c>
      <c r="HI42">
        <f t="shared" si="24"/>
        <v>0</v>
      </c>
      <c r="HJ42">
        <f t="shared" si="25"/>
        <v>126.23</v>
      </c>
      <c r="HK42">
        <f t="shared" si="59"/>
        <v>159.05000000000001</v>
      </c>
      <c r="HL42">
        <f t="shared" si="60"/>
        <v>119.92</v>
      </c>
      <c r="HM42" t="s">
        <v>3</v>
      </c>
      <c r="HN42" t="s">
        <v>3</v>
      </c>
      <c r="HO42" t="s">
        <v>3</v>
      </c>
      <c r="HP42" t="s">
        <v>3</v>
      </c>
      <c r="HQ42" t="s">
        <v>3</v>
      </c>
      <c r="IK42">
        <v>0</v>
      </c>
    </row>
    <row r="43" spans="1:245" x14ac:dyDescent="0.2">
      <c r="A43">
        <v>18</v>
      </c>
      <c r="B43">
        <v>1</v>
      </c>
      <c r="C43">
        <v>42</v>
      </c>
      <c r="E43" t="s">
        <v>102</v>
      </c>
      <c r="F43" t="s">
        <v>82</v>
      </c>
      <c r="G43" t="s">
        <v>83</v>
      </c>
      <c r="H43" t="s">
        <v>84</v>
      </c>
      <c r="I43">
        <f>I42*J43</f>
        <v>4.9280000000000001E-3</v>
      </c>
      <c r="J43">
        <v>2.8E-3</v>
      </c>
      <c r="K43">
        <v>1.4E-3</v>
      </c>
      <c r="O43">
        <f t="shared" si="26"/>
        <v>0</v>
      </c>
      <c r="P43">
        <f t="shared" si="27"/>
        <v>0</v>
      </c>
      <c r="Q43">
        <f t="shared" si="28"/>
        <v>0</v>
      </c>
      <c r="R43">
        <f t="shared" si="29"/>
        <v>0</v>
      </c>
      <c r="S43">
        <f t="shared" si="30"/>
        <v>0</v>
      </c>
      <c r="T43">
        <f t="shared" si="31"/>
        <v>0</v>
      </c>
      <c r="U43">
        <f t="shared" si="32"/>
        <v>0</v>
      </c>
      <c r="V43">
        <f t="shared" si="33"/>
        <v>0</v>
      </c>
      <c r="W43">
        <f t="shared" si="34"/>
        <v>0</v>
      </c>
      <c r="X43">
        <f t="shared" si="35"/>
        <v>0</v>
      </c>
      <c r="Y43">
        <f t="shared" si="36"/>
        <v>0</v>
      </c>
      <c r="AA43">
        <v>29836452</v>
      </c>
      <c r="AB43">
        <f t="shared" si="37"/>
        <v>0</v>
      </c>
      <c r="AC43">
        <f>ROUND((ES43),0)</f>
        <v>0</v>
      </c>
      <c r="AD43">
        <f>ROUND((((ET43)-(EU43))+AE43),0)</f>
        <v>0</v>
      </c>
      <c r="AE43">
        <f>ROUND((EU43),0)</f>
        <v>0</v>
      </c>
      <c r="AF43">
        <f>ROUND((EV43),0)</f>
        <v>0</v>
      </c>
      <c r="AG43">
        <f t="shared" si="39"/>
        <v>0</v>
      </c>
      <c r="AH43">
        <f>(EW43)</f>
        <v>0</v>
      </c>
      <c r="AI43">
        <f>(EX43)</f>
        <v>0</v>
      </c>
      <c r="AJ43">
        <f t="shared" si="40"/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126</v>
      </c>
      <c r="AU43">
        <v>95</v>
      </c>
      <c r="AV43">
        <v>1</v>
      </c>
      <c r="AW43">
        <v>1</v>
      </c>
      <c r="AZ43">
        <v>1</v>
      </c>
      <c r="BA43">
        <v>1</v>
      </c>
      <c r="BB43">
        <v>1</v>
      </c>
      <c r="BC43">
        <v>1</v>
      </c>
      <c r="BD43" t="s">
        <v>3</v>
      </c>
      <c r="BE43" t="s">
        <v>3</v>
      </c>
      <c r="BF43" t="s">
        <v>3</v>
      </c>
      <c r="BG43" t="s">
        <v>3</v>
      </c>
      <c r="BH43">
        <v>3</v>
      </c>
      <c r="BI43">
        <v>1</v>
      </c>
      <c r="BJ43" t="s">
        <v>3</v>
      </c>
      <c r="BM43">
        <v>27001</v>
      </c>
      <c r="BN43">
        <v>0</v>
      </c>
      <c r="BO43" t="s">
        <v>29</v>
      </c>
      <c r="BP43">
        <v>1</v>
      </c>
      <c r="BQ43">
        <v>2</v>
      </c>
      <c r="BR43">
        <v>0</v>
      </c>
      <c r="BS43">
        <v>1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3</v>
      </c>
      <c r="BZ43">
        <v>126</v>
      </c>
      <c r="CA43">
        <v>95</v>
      </c>
      <c r="CB43" t="s">
        <v>3</v>
      </c>
      <c r="CE43">
        <v>0</v>
      </c>
      <c r="CF43">
        <v>0</v>
      </c>
      <c r="CG43">
        <v>0</v>
      </c>
      <c r="CM43">
        <v>0</v>
      </c>
      <c r="CN43" t="s">
        <v>30</v>
      </c>
      <c r="CO43">
        <v>0</v>
      </c>
      <c r="CP43">
        <f t="shared" si="41"/>
        <v>0</v>
      </c>
      <c r="CQ43">
        <f t="shared" si="42"/>
        <v>0</v>
      </c>
      <c r="CR43">
        <f t="shared" si="43"/>
        <v>0</v>
      </c>
      <c r="CS43">
        <f t="shared" si="44"/>
        <v>0</v>
      </c>
      <c r="CT43">
        <f t="shared" si="45"/>
        <v>0</v>
      </c>
      <c r="CU43">
        <f t="shared" si="46"/>
        <v>0</v>
      </c>
      <c r="CV43">
        <f t="shared" si="47"/>
        <v>0</v>
      </c>
      <c r="CW43">
        <f t="shared" si="48"/>
        <v>0</v>
      </c>
      <c r="CX43">
        <f t="shared" si="49"/>
        <v>0</v>
      </c>
      <c r="CY43">
        <f t="shared" si="50"/>
        <v>0</v>
      </c>
      <c r="CZ43">
        <f t="shared" si="51"/>
        <v>0</v>
      </c>
      <c r="DC43" t="s">
        <v>3</v>
      </c>
      <c r="DD43" t="s">
        <v>3</v>
      </c>
      <c r="DE43" t="s">
        <v>3</v>
      </c>
      <c r="DF43" t="s">
        <v>3</v>
      </c>
      <c r="DG43" t="s">
        <v>3</v>
      </c>
      <c r="DH43" t="s">
        <v>3</v>
      </c>
      <c r="DI43" t="s">
        <v>3</v>
      </c>
      <c r="DJ43" t="s">
        <v>3</v>
      </c>
      <c r="DK43" t="s">
        <v>3</v>
      </c>
      <c r="DL43" t="s">
        <v>3</v>
      </c>
      <c r="DM43" t="s">
        <v>3</v>
      </c>
      <c r="DN43">
        <v>0</v>
      </c>
      <c r="DO43">
        <v>0</v>
      </c>
      <c r="DP43">
        <v>1</v>
      </c>
      <c r="DQ43">
        <v>1</v>
      </c>
      <c r="DU43">
        <v>1009</v>
      </c>
      <c r="DV43" t="s">
        <v>84</v>
      </c>
      <c r="DW43" t="s">
        <v>84</v>
      </c>
      <c r="DX43">
        <v>1000</v>
      </c>
      <c r="DZ43" t="s">
        <v>3</v>
      </c>
      <c r="EA43" t="s">
        <v>3</v>
      </c>
      <c r="EB43" t="s">
        <v>3</v>
      </c>
      <c r="EC43" t="s">
        <v>3</v>
      </c>
      <c r="EE43">
        <v>29578057</v>
      </c>
      <c r="EF43">
        <v>2</v>
      </c>
      <c r="EG43" t="s">
        <v>33</v>
      </c>
      <c r="EH43">
        <v>21</v>
      </c>
      <c r="EI43" t="s">
        <v>51</v>
      </c>
      <c r="EJ43">
        <v>1</v>
      </c>
      <c r="EK43">
        <v>27001</v>
      </c>
      <c r="EL43" t="s">
        <v>51</v>
      </c>
      <c r="EM43" t="s">
        <v>52</v>
      </c>
      <c r="EO43" t="s">
        <v>37</v>
      </c>
      <c r="EQ43">
        <v>512</v>
      </c>
      <c r="ER43">
        <v>0</v>
      </c>
      <c r="ES43">
        <v>0</v>
      </c>
      <c r="ET43">
        <v>0</v>
      </c>
      <c r="EU43">
        <v>0</v>
      </c>
      <c r="EV43">
        <v>0</v>
      </c>
      <c r="EW43">
        <v>0</v>
      </c>
      <c r="EX43">
        <v>0</v>
      </c>
      <c r="FQ43">
        <v>0</v>
      </c>
      <c r="FR43">
        <f t="shared" si="22"/>
        <v>0</v>
      </c>
      <c r="FS43">
        <v>0</v>
      </c>
      <c r="FX43">
        <v>126</v>
      </c>
      <c r="FY43">
        <v>95</v>
      </c>
      <c r="GA43" t="s">
        <v>3</v>
      </c>
      <c r="GD43">
        <v>1</v>
      </c>
      <c r="GF43">
        <v>-1605379213</v>
      </c>
      <c r="GG43">
        <v>2</v>
      </c>
      <c r="GH43">
        <v>1</v>
      </c>
      <c r="GI43">
        <v>4</v>
      </c>
      <c r="GJ43">
        <v>0</v>
      </c>
      <c r="GK43">
        <v>0</v>
      </c>
      <c r="GL43">
        <f t="shared" si="23"/>
        <v>0</v>
      </c>
      <c r="GM43">
        <f t="shared" si="52"/>
        <v>0</v>
      </c>
      <c r="GN43">
        <f t="shared" si="53"/>
        <v>0</v>
      </c>
      <c r="GO43">
        <f t="shared" si="54"/>
        <v>0</v>
      </c>
      <c r="GP43">
        <f t="shared" si="55"/>
        <v>0</v>
      </c>
      <c r="GR43">
        <v>0</v>
      </c>
      <c r="GS43">
        <v>3</v>
      </c>
      <c r="GT43">
        <v>0</v>
      </c>
      <c r="GU43" t="s">
        <v>3</v>
      </c>
      <c r="GV43">
        <f t="shared" si="56"/>
        <v>0</v>
      </c>
      <c r="GW43">
        <v>1</v>
      </c>
      <c r="GX43">
        <f t="shared" si="57"/>
        <v>0</v>
      </c>
      <c r="HA43">
        <v>0</v>
      </c>
      <c r="HB43">
        <v>0</v>
      </c>
      <c r="HC43">
        <f t="shared" si="58"/>
        <v>0</v>
      </c>
      <c r="HE43" t="s">
        <v>3</v>
      </c>
      <c r="HF43" t="s">
        <v>3</v>
      </c>
      <c r="HI43">
        <f t="shared" si="24"/>
        <v>0</v>
      </c>
      <c r="HJ43">
        <f t="shared" si="25"/>
        <v>0</v>
      </c>
      <c r="HK43">
        <f t="shared" si="59"/>
        <v>0</v>
      </c>
      <c r="HL43">
        <f t="shared" si="60"/>
        <v>0</v>
      </c>
      <c r="HM43" t="s">
        <v>99</v>
      </c>
      <c r="HN43" t="s">
        <v>3</v>
      </c>
      <c r="HO43" t="s">
        <v>3</v>
      </c>
      <c r="HP43" t="s">
        <v>3</v>
      </c>
      <c r="HQ43" t="s">
        <v>3</v>
      </c>
      <c r="IK43">
        <v>0</v>
      </c>
    </row>
    <row r="44" spans="1:245" x14ac:dyDescent="0.2">
      <c r="A44">
        <v>18</v>
      </c>
      <c r="B44">
        <v>1</v>
      </c>
      <c r="C44">
        <v>43</v>
      </c>
      <c r="E44" t="s">
        <v>103</v>
      </c>
      <c r="F44" t="s">
        <v>86</v>
      </c>
      <c r="G44" t="s">
        <v>87</v>
      </c>
      <c r="H44" t="s">
        <v>84</v>
      </c>
      <c r="I44">
        <f>I42*J44</f>
        <v>42.24</v>
      </c>
      <c r="J44">
        <v>24</v>
      </c>
      <c r="K44">
        <v>12</v>
      </c>
      <c r="O44">
        <f t="shared" si="26"/>
        <v>0</v>
      </c>
      <c r="P44">
        <f t="shared" si="27"/>
        <v>0</v>
      </c>
      <c r="Q44">
        <f t="shared" si="28"/>
        <v>0</v>
      </c>
      <c r="R44">
        <f t="shared" si="29"/>
        <v>0</v>
      </c>
      <c r="S44">
        <f t="shared" si="30"/>
        <v>0</v>
      </c>
      <c r="T44">
        <f t="shared" si="31"/>
        <v>0</v>
      </c>
      <c r="U44">
        <f t="shared" si="32"/>
        <v>0</v>
      </c>
      <c r="V44">
        <f t="shared" si="33"/>
        <v>0</v>
      </c>
      <c r="W44">
        <f t="shared" si="34"/>
        <v>0</v>
      </c>
      <c r="X44">
        <f t="shared" si="35"/>
        <v>0</v>
      </c>
      <c r="Y44">
        <f t="shared" si="36"/>
        <v>0</v>
      </c>
      <c r="AA44">
        <v>29836452</v>
      </c>
      <c r="AB44">
        <f t="shared" si="37"/>
        <v>0</v>
      </c>
      <c r="AC44">
        <f>ROUND((ES44),0)</f>
        <v>0</v>
      </c>
      <c r="AD44">
        <f>ROUND((((ET44)-(EU44))+AE44),0)</f>
        <v>0</v>
      </c>
      <c r="AE44">
        <f>ROUND((EU44),0)</f>
        <v>0</v>
      </c>
      <c r="AF44">
        <f>ROUND((EV44),0)</f>
        <v>0</v>
      </c>
      <c r="AG44">
        <f t="shared" si="39"/>
        <v>0</v>
      </c>
      <c r="AH44">
        <f>(EW44)</f>
        <v>0</v>
      </c>
      <c r="AI44">
        <f>(EX44)</f>
        <v>0</v>
      </c>
      <c r="AJ44">
        <f t="shared" si="40"/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126</v>
      </c>
      <c r="AU44">
        <v>95</v>
      </c>
      <c r="AV44">
        <v>1</v>
      </c>
      <c r="AW44">
        <v>1</v>
      </c>
      <c r="AZ44">
        <v>1</v>
      </c>
      <c r="BA44">
        <v>1</v>
      </c>
      <c r="BB44">
        <v>1</v>
      </c>
      <c r="BC44">
        <v>1</v>
      </c>
      <c r="BD44" t="s">
        <v>3</v>
      </c>
      <c r="BE44" t="s">
        <v>3</v>
      </c>
      <c r="BF44" t="s">
        <v>3</v>
      </c>
      <c r="BG44" t="s">
        <v>3</v>
      </c>
      <c r="BH44">
        <v>3</v>
      </c>
      <c r="BI44">
        <v>1</v>
      </c>
      <c r="BJ44" t="s">
        <v>3</v>
      </c>
      <c r="BM44">
        <v>27001</v>
      </c>
      <c r="BN44">
        <v>0</v>
      </c>
      <c r="BO44" t="s">
        <v>29</v>
      </c>
      <c r="BP44">
        <v>1</v>
      </c>
      <c r="BQ44">
        <v>2</v>
      </c>
      <c r="BR44">
        <v>0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 t="s">
        <v>3</v>
      </c>
      <c r="BZ44">
        <v>126</v>
      </c>
      <c r="CA44">
        <v>95</v>
      </c>
      <c r="CB44" t="s">
        <v>3</v>
      </c>
      <c r="CE44">
        <v>0</v>
      </c>
      <c r="CF44">
        <v>0</v>
      </c>
      <c r="CG44">
        <v>0</v>
      </c>
      <c r="CM44">
        <v>0</v>
      </c>
      <c r="CN44" t="s">
        <v>30</v>
      </c>
      <c r="CO44">
        <v>0</v>
      </c>
      <c r="CP44">
        <f t="shared" si="41"/>
        <v>0</v>
      </c>
      <c r="CQ44">
        <f t="shared" si="42"/>
        <v>0</v>
      </c>
      <c r="CR44">
        <f t="shared" si="43"/>
        <v>0</v>
      </c>
      <c r="CS44">
        <f t="shared" si="44"/>
        <v>0</v>
      </c>
      <c r="CT44">
        <f t="shared" si="45"/>
        <v>0</v>
      </c>
      <c r="CU44">
        <f t="shared" si="46"/>
        <v>0</v>
      </c>
      <c r="CV44">
        <f t="shared" si="47"/>
        <v>0</v>
      </c>
      <c r="CW44">
        <f t="shared" si="48"/>
        <v>0</v>
      </c>
      <c r="CX44">
        <f t="shared" si="49"/>
        <v>0</v>
      </c>
      <c r="CY44">
        <f t="shared" si="50"/>
        <v>0</v>
      </c>
      <c r="CZ44">
        <f t="shared" si="51"/>
        <v>0</v>
      </c>
      <c r="DC44" t="s">
        <v>3</v>
      </c>
      <c r="DD44" t="s">
        <v>3</v>
      </c>
      <c r="DE44" t="s">
        <v>3</v>
      </c>
      <c r="DF44" t="s">
        <v>3</v>
      </c>
      <c r="DG44" t="s">
        <v>3</v>
      </c>
      <c r="DH44" t="s">
        <v>3</v>
      </c>
      <c r="DI44" t="s">
        <v>3</v>
      </c>
      <c r="DJ44" t="s">
        <v>3</v>
      </c>
      <c r="DK44" t="s">
        <v>3</v>
      </c>
      <c r="DL44" t="s">
        <v>3</v>
      </c>
      <c r="DM44" t="s">
        <v>3</v>
      </c>
      <c r="DN44">
        <v>0</v>
      </c>
      <c r="DO44">
        <v>0</v>
      </c>
      <c r="DP44">
        <v>1</v>
      </c>
      <c r="DQ44">
        <v>1</v>
      </c>
      <c r="DU44">
        <v>1009</v>
      </c>
      <c r="DV44" t="s">
        <v>84</v>
      </c>
      <c r="DW44" t="s">
        <v>84</v>
      </c>
      <c r="DX44">
        <v>1000</v>
      </c>
      <c r="DZ44" t="s">
        <v>3</v>
      </c>
      <c r="EA44" t="s">
        <v>3</v>
      </c>
      <c r="EB44" t="s">
        <v>3</v>
      </c>
      <c r="EC44" t="s">
        <v>3</v>
      </c>
      <c r="EE44">
        <v>29578057</v>
      </c>
      <c r="EF44">
        <v>2</v>
      </c>
      <c r="EG44" t="s">
        <v>33</v>
      </c>
      <c r="EH44">
        <v>21</v>
      </c>
      <c r="EI44" t="s">
        <v>51</v>
      </c>
      <c r="EJ44">
        <v>1</v>
      </c>
      <c r="EK44">
        <v>27001</v>
      </c>
      <c r="EL44" t="s">
        <v>51</v>
      </c>
      <c r="EM44" t="s">
        <v>52</v>
      </c>
      <c r="EO44" t="s">
        <v>37</v>
      </c>
      <c r="EQ44">
        <v>512</v>
      </c>
      <c r="ER44">
        <v>0</v>
      </c>
      <c r="ES44">
        <v>0</v>
      </c>
      <c r="ET44">
        <v>0</v>
      </c>
      <c r="EU44">
        <v>0</v>
      </c>
      <c r="EV44">
        <v>0</v>
      </c>
      <c r="EW44">
        <v>0</v>
      </c>
      <c r="EX44">
        <v>0</v>
      </c>
      <c r="FQ44">
        <v>0</v>
      </c>
      <c r="FR44">
        <f t="shared" si="22"/>
        <v>0</v>
      </c>
      <c r="FS44">
        <v>0</v>
      </c>
      <c r="FX44">
        <v>126</v>
      </c>
      <c r="FY44">
        <v>95</v>
      </c>
      <c r="GA44" t="s">
        <v>3</v>
      </c>
      <c r="GD44">
        <v>1</v>
      </c>
      <c r="GF44">
        <v>1670663622</v>
      </c>
      <c r="GG44">
        <v>2</v>
      </c>
      <c r="GH44">
        <v>1</v>
      </c>
      <c r="GI44">
        <v>4</v>
      </c>
      <c r="GJ44">
        <v>0</v>
      </c>
      <c r="GK44">
        <v>0</v>
      </c>
      <c r="GL44">
        <f t="shared" si="23"/>
        <v>0</v>
      </c>
      <c r="GM44">
        <f t="shared" si="52"/>
        <v>0</v>
      </c>
      <c r="GN44">
        <f t="shared" si="53"/>
        <v>0</v>
      </c>
      <c r="GO44">
        <f t="shared" si="54"/>
        <v>0</v>
      </c>
      <c r="GP44">
        <f t="shared" si="55"/>
        <v>0</v>
      </c>
      <c r="GR44">
        <v>0</v>
      </c>
      <c r="GS44">
        <v>3</v>
      </c>
      <c r="GT44">
        <v>0</v>
      </c>
      <c r="GU44" t="s">
        <v>3</v>
      </c>
      <c r="GV44">
        <f t="shared" si="56"/>
        <v>0</v>
      </c>
      <c r="GW44">
        <v>1</v>
      </c>
      <c r="GX44">
        <f t="shared" si="57"/>
        <v>0</v>
      </c>
      <c r="HA44">
        <v>0</v>
      </c>
      <c r="HB44">
        <v>0</v>
      </c>
      <c r="HC44">
        <f t="shared" si="58"/>
        <v>0</v>
      </c>
      <c r="HE44" t="s">
        <v>3</v>
      </c>
      <c r="HF44" t="s">
        <v>3</v>
      </c>
      <c r="HI44">
        <f t="shared" si="24"/>
        <v>0</v>
      </c>
      <c r="HJ44">
        <f t="shared" si="25"/>
        <v>0</v>
      </c>
      <c r="HK44">
        <f t="shared" si="59"/>
        <v>0</v>
      </c>
      <c r="HL44">
        <f t="shared" si="60"/>
        <v>0</v>
      </c>
      <c r="HM44" t="s">
        <v>99</v>
      </c>
      <c r="HN44" t="s">
        <v>3</v>
      </c>
      <c r="HO44" t="s">
        <v>3</v>
      </c>
      <c r="HP44" t="s">
        <v>3</v>
      </c>
      <c r="HQ44" t="s">
        <v>3</v>
      </c>
      <c r="IK44">
        <v>0</v>
      </c>
    </row>
    <row r="45" spans="1:245" x14ac:dyDescent="0.2">
      <c r="A45">
        <v>17</v>
      </c>
      <c r="B45">
        <v>1</v>
      </c>
      <c r="C45">
        <f>ROW(SmtRes!A57)</f>
        <v>57</v>
      </c>
      <c r="D45">
        <f>ROW(EtalonRes!A58)</f>
        <v>58</v>
      </c>
      <c r="E45" t="s">
        <v>104</v>
      </c>
      <c r="F45" t="s">
        <v>105</v>
      </c>
      <c r="G45" t="s">
        <v>106</v>
      </c>
      <c r="H45" t="s">
        <v>79</v>
      </c>
      <c r="I45">
        <f>ROUND(ROUND(2000/1000,4),7)</f>
        <v>2</v>
      </c>
      <c r="J45">
        <v>0</v>
      </c>
      <c r="K45">
        <f>ROUND(ROUND(2000/1000,4),7)</f>
        <v>2</v>
      </c>
      <c r="O45">
        <f t="shared" si="26"/>
        <v>7292</v>
      </c>
      <c r="P45">
        <f t="shared" si="27"/>
        <v>566</v>
      </c>
      <c r="Q45">
        <f t="shared" si="28"/>
        <v>5970</v>
      </c>
      <c r="R45">
        <f t="shared" si="29"/>
        <v>576</v>
      </c>
      <c r="S45">
        <f t="shared" si="30"/>
        <v>756</v>
      </c>
      <c r="T45">
        <f t="shared" si="31"/>
        <v>0</v>
      </c>
      <c r="U45">
        <f t="shared" si="32"/>
        <v>88.089999999999989</v>
      </c>
      <c r="V45">
        <f t="shared" si="33"/>
        <v>0</v>
      </c>
      <c r="W45">
        <f t="shared" si="34"/>
        <v>0</v>
      </c>
      <c r="X45">
        <f t="shared" si="35"/>
        <v>1678.32</v>
      </c>
      <c r="Y45">
        <f t="shared" si="36"/>
        <v>1265.4000000000001</v>
      </c>
      <c r="AA45">
        <v>29836452</v>
      </c>
      <c r="AB45">
        <f t="shared" si="37"/>
        <v>3646</v>
      </c>
      <c r="AC45">
        <f>ROUND((ES45),0)</f>
        <v>283</v>
      </c>
      <c r="AD45">
        <f>ROUND(((((ET45*ROUND(1.25,7)))-((EU45*ROUND(1.25,7))))+AE45),0)</f>
        <v>2985</v>
      </c>
      <c r="AE45">
        <f>ROUND(((EU45*ROUND(1.25,7))),0)</f>
        <v>288</v>
      </c>
      <c r="AF45">
        <f>ROUND(((EV45*ROUND(1.15,7))),0)</f>
        <v>378</v>
      </c>
      <c r="AG45">
        <f t="shared" si="39"/>
        <v>0</v>
      </c>
      <c r="AH45">
        <f>((EW45*ROUND(1.15,7)))</f>
        <v>44.044999999999995</v>
      </c>
      <c r="AI45">
        <f>((EX45*ROUND(1.25,7)))</f>
        <v>0</v>
      </c>
      <c r="AJ45">
        <f t="shared" si="40"/>
        <v>0</v>
      </c>
      <c r="AK45">
        <v>2999.98</v>
      </c>
      <c r="AL45">
        <v>282.69</v>
      </c>
      <c r="AM45">
        <v>2388.29</v>
      </c>
      <c r="AN45">
        <v>230.49</v>
      </c>
      <c r="AO45">
        <v>329</v>
      </c>
      <c r="AP45">
        <v>0</v>
      </c>
      <c r="AQ45">
        <v>38.299999999999997</v>
      </c>
      <c r="AR45">
        <v>0</v>
      </c>
      <c r="AS45">
        <v>0</v>
      </c>
      <c r="AT45">
        <v>126</v>
      </c>
      <c r="AU45">
        <v>95</v>
      </c>
      <c r="AV45">
        <v>1</v>
      </c>
      <c r="AW45">
        <v>1</v>
      </c>
      <c r="AZ45">
        <v>1</v>
      </c>
      <c r="BA45">
        <v>35.86</v>
      </c>
      <c r="BB45">
        <v>1</v>
      </c>
      <c r="BC45">
        <v>1</v>
      </c>
      <c r="BD45" t="s">
        <v>3</v>
      </c>
      <c r="BE45" t="s">
        <v>3</v>
      </c>
      <c r="BF45" t="s">
        <v>3</v>
      </c>
      <c r="BG45" t="s">
        <v>3</v>
      </c>
      <c r="BH45">
        <v>0</v>
      </c>
      <c r="BI45">
        <v>1</v>
      </c>
      <c r="BJ45" t="s">
        <v>107</v>
      </c>
      <c r="BM45">
        <v>27001</v>
      </c>
      <c r="BN45">
        <v>0</v>
      </c>
      <c r="BO45" t="s">
        <v>29</v>
      </c>
      <c r="BP45">
        <v>1</v>
      </c>
      <c r="BQ45">
        <v>2</v>
      </c>
      <c r="BR45">
        <v>0</v>
      </c>
      <c r="BS45">
        <v>35.86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3</v>
      </c>
      <c r="BZ45">
        <v>126</v>
      </c>
      <c r="CA45">
        <v>95</v>
      </c>
      <c r="CB45" t="s">
        <v>3</v>
      </c>
      <c r="CE45">
        <v>0</v>
      </c>
      <c r="CF45">
        <v>0</v>
      </c>
      <c r="CG45">
        <v>0</v>
      </c>
      <c r="CM45">
        <v>0</v>
      </c>
      <c r="CN45" t="s">
        <v>30</v>
      </c>
      <c r="CO45">
        <v>0</v>
      </c>
      <c r="CP45">
        <f t="shared" si="41"/>
        <v>7292</v>
      </c>
      <c r="CQ45">
        <f t="shared" si="42"/>
        <v>283</v>
      </c>
      <c r="CR45">
        <f t="shared" si="43"/>
        <v>2985</v>
      </c>
      <c r="CS45">
        <f t="shared" si="44"/>
        <v>288</v>
      </c>
      <c r="CT45">
        <f t="shared" si="45"/>
        <v>378</v>
      </c>
      <c r="CU45">
        <f t="shared" si="46"/>
        <v>0</v>
      </c>
      <c r="CV45">
        <f t="shared" si="47"/>
        <v>44.044999999999995</v>
      </c>
      <c r="CW45">
        <f t="shared" si="48"/>
        <v>0</v>
      </c>
      <c r="CX45">
        <f t="shared" si="49"/>
        <v>0</v>
      </c>
      <c r="CY45">
        <f t="shared" si="50"/>
        <v>1678.32</v>
      </c>
      <c r="CZ45">
        <f t="shared" si="51"/>
        <v>1265.4000000000001</v>
      </c>
      <c r="DC45" t="s">
        <v>3</v>
      </c>
      <c r="DD45" t="s">
        <v>3</v>
      </c>
      <c r="DE45" t="s">
        <v>31</v>
      </c>
      <c r="DF45" t="s">
        <v>31</v>
      </c>
      <c r="DG45" t="s">
        <v>32</v>
      </c>
      <c r="DH45" t="s">
        <v>3</v>
      </c>
      <c r="DI45" t="s">
        <v>32</v>
      </c>
      <c r="DJ45" t="s">
        <v>31</v>
      </c>
      <c r="DK45" t="s">
        <v>3</v>
      </c>
      <c r="DL45" t="s">
        <v>3</v>
      </c>
      <c r="DM45" t="s">
        <v>3</v>
      </c>
      <c r="DN45">
        <v>0</v>
      </c>
      <c r="DO45">
        <v>0</v>
      </c>
      <c r="DP45">
        <v>1</v>
      </c>
      <c r="DQ45">
        <v>1</v>
      </c>
      <c r="DU45">
        <v>1005</v>
      </c>
      <c r="DV45" t="s">
        <v>79</v>
      </c>
      <c r="DW45" t="s">
        <v>79</v>
      </c>
      <c r="DX45">
        <v>1000</v>
      </c>
      <c r="DZ45" t="s">
        <v>3</v>
      </c>
      <c r="EA45" t="s">
        <v>3</v>
      </c>
      <c r="EB45" t="s">
        <v>3</v>
      </c>
      <c r="EC45" t="s">
        <v>3</v>
      </c>
      <c r="EE45">
        <v>29578057</v>
      </c>
      <c r="EF45">
        <v>2</v>
      </c>
      <c r="EG45" t="s">
        <v>33</v>
      </c>
      <c r="EH45">
        <v>21</v>
      </c>
      <c r="EI45" t="s">
        <v>51</v>
      </c>
      <c r="EJ45">
        <v>1</v>
      </c>
      <c r="EK45">
        <v>27001</v>
      </c>
      <c r="EL45" t="s">
        <v>51</v>
      </c>
      <c r="EM45" t="s">
        <v>52</v>
      </c>
      <c r="EO45" t="s">
        <v>37</v>
      </c>
      <c r="EQ45">
        <v>512</v>
      </c>
      <c r="ER45">
        <v>2999.98</v>
      </c>
      <c r="ES45">
        <v>282.69</v>
      </c>
      <c r="ET45">
        <v>2388.29</v>
      </c>
      <c r="EU45">
        <v>230.49</v>
      </c>
      <c r="EV45">
        <v>329</v>
      </c>
      <c r="EW45">
        <v>38.299999999999997</v>
      </c>
      <c r="EX45">
        <v>0</v>
      </c>
      <c r="EY45">
        <v>0</v>
      </c>
      <c r="FQ45">
        <v>0</v>
      </c>
      <c r="FR45">
        <f t="shared" si="22"/>
        <v>0</v>
      </c>
      <c r="FS45">
        <v>0</v>
      </c>
      <c r="FX45">
        <v>126</v>
      </c>
      <c r="FY45">
        <v>95</v>
      </c>
      <c r="GA45" t="s">
        <v>3</v>
      </c>
      <c r="GD45">
        <v>1</v>
      </c>
      <c r="GF45">
        <v>-1084097011</v>
      </c>
      <c r="GG45">
        <v>2</v>
      </c>
      <c r="GH45">
        <v>1</v>
      </c>
      <c r="GI45">
        <v>4</v>
      </c>
      <c r="GJ45">
        <v>0</v>
      </c>
      <c r="GK45">
        <v>0</v>
      </c>
      <c r="GL45">
        <f t="shared" si="23"/>
        <v>0</v>
      </c>
      <c r="GM45">
        <f t="shared" si="52"/>
        <v>10235.719999999999</v>
      </c>
      <c r="GN45">
        <f t="shared" si="53"/>
        <v>10235.719999999999</v>
      </c>
      <c r="GO45">
        <f t="shared" si="54"/>
        <v>0</v>
      </c>
      <c r="GP45">
        <f t="shared" si="55"/>
        <v>0</v>
      </c>
      <c r="GR45">
        <v>0</v>
      </c>
      <c r="GS45">
        <v>3</v>
      </c>
      <c r="GT45">
        <v>0</v>
      </c>
      <c r="GU45" t="s">
        <v>3</v>
      </c>
      <c r="GV45">
        <f t="shared" si="56"/>
        <v>0</v>
      </c>
      <c r="GW45">
        <v>1</v>
      </c>
      <c r="GX45">
        <f t="shared" si="57"/>
        <v>0</v>
      </c>
      <c r="HA45">
        <v>0</v>
      </c>
      <c r="HB45">
        <v>0</v>
      </c>
      <c r="HC45">
        <f t="shared" si="58"/>
        <v>0</v>
      </c>
      <c r="HE45" t="s">
        <v>3</v>
      </c>
      <c r="HF45" t="s">
        <v>3</v>
      </c>
      <c r="HI45">
        <f t="shared" si="24"/>
        <v>20655.36</v>
      </c>
      <c r="HJ45">
        <f t="shared" si="25"/>
        <v>27110.16</v>
      </c>
      <c r="HK45">
        <f t="shared" si="59"/>
        <v>60184.56</v>
      </c>
      <c r="HL45">
        <f t="shared" si="60"/>
        <v>45377.24</v>
      </c>
      <c r="HM45" t="s">
        <v>3</v>
      </c>
      <c r="HN45" t="s">
        <v>3</v>
      </c>
      <c r="HO45" t="s">
        <v>3</v>
      </c>
      <c r="HP45" t="s">
        <v>3</v>
      </c>
      <c r="HQ45" t="s">
        <v>3</v>
      </c>
      <c r="IK45">
        <v>0</v>
      </c>
    </row>
    <row r="46" spans="1:245" x14ac:dyDescent="0.2">
      <c r="A46">
        <v>18</v>
      </c>
      <c r="B46">
        <v>1</v>
      </c>
      <c r="C46">
        <v>53</v>
      </c>
      <c r="E46" t="s">
        <v>108</v>
      </c>
      <c r="F46" t="s">
        <v>82</v>
      </c>
      <c r="G46" t="s">
        <v>83</v>
      </c>
      <c r="H46" t="s">
        <v>84</v>
      </c>
      <c r="I46">
        <f>I45*J46</f>
        <v>2.1600000000000001E-2</v>
      </c>
      <c r="J46">
        <v>1.0800000000000001E-2</v>
      </c>
      <c r="K46">
        <v>1.0800000000000001E-2</v>
      </c>
      <c r="O46">
        <f t="shared" si="26"/>
        <v>0</v>
      </c>
      <c r="P46">
        <f t="shared" si="27"/>
        <v>0</v>
      </c>
      <c r="Q46">
        <f t="shared" si="28"/>
        <v>0</v>
      </c>
      <c r="R46">
        <f t="shared" si="29"/>
        <v>0</v>
      </c>
      <c r="S46">
        <f t="shared" si="30"/>
        <v>0</v>
      </c>
      <c r="T46">
        <f t="shared" si="31"/>
        <v>0</v>
      </c>
      <c r="U46">
        <f t="shared" si="32"/>
        <v>0</v>
      </c>
      <c r="V46">
        <f t="shared" si="33"/>
        <v>0</v>
      </c>
      <c r="W46">
        <f t="shared" si="34"/>
        <v>0</v>
      </c>
      <c r="X46">
        <f t="shared" si="35"/>
        <v>0</v>
      </c>
      <c r="Y46">
        <f t="shared" si="36"/>
        <v>0</v>
      </c>
      <c r="AA46">
        <v>29836452</v>
      </c>
      <c r="AB46">
        <f t="shared" si="37"/>
        <v>0</v>
      </c>
      <c r="AC46">
        <f>ROUND((ES46),0)</f>
        <v>0</v>
      </c>
      <c r="AD46">
        <f>ROUND((((ET46)-(EU46))+AE46),0)</f>
        <v>0</v>
      </c>
      <c r="AE46">
        <f>ROUND((EU46),0)</f>
        <v>0</v>
      </c>
      <c r="AF46">
        <f>ROUND((EV46),0)</f>
        <v>0</v>
      </c>
      <c r="AG46">
        <f t="shared" si="39"/>
        <v>0</v>
      </c>
      <c r="AH46">
        <f>(EW46)</f>
        <v>0</v>
      </c>
      <c r="AI46">
        <f>(EX46)</f>
        <v>0</v>
      </c>
      <c r="AJ46">
        <f t="shared" si="40"/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126</v>
      </c>
      <c r="AU46">
        <v>95</v>
      </c>
      <c r="AV46">
        <v>1</v>
      </c>
      <c r="AW46">
        <v>1</v>
      </c>
      <c r="AZ46">
        <v>1</v>
      </c>
      <c r="BA46">
        <v>1</v>
      </c>
      <c r="BB46">
        <v>1</v>
      </c>
      <c r="BC46">
        <v>1</v>
      </c>
      <c r="BD46" t="s">
        <v>3</v>
      </c>
      <c r="BE46" t="s">
        <v>3</v>
      </c>
      <c r="BF46" t="s">
        <v>3</v>
      </c>
      <c r="BG46" t="s">
        <v>3</v>
      </c>
      <c r="BH46">
        <v>3</v>
      </c>
      <c r="BI46">
        <v>1</v>
      </c>
      <c r="BJ46" t="s">
        <v>3</v>
      </c>
      <c r="BM46">
        <v>27001</v>
      </c>
      <c r="BN46">
        <v>0</v>
      </c>
      <c r="BO46" t="s">
        <v>29</v>
      </c>
      <c r="BP46">
        <v>1</v>
      </c>
      <c r="BQ46">
        <v>2</v>
      </c>
      <c r="BR46">
        <v>0</v>
      </c>
      <c r="BS46">
        <v>1</v>
      </c>
      <c r="BT46">
        <v>1</v>
      </c>
      <c r="BU46">
        <v>1</v>
      </c>
      <c r="BV46">
        <v>1</v>
      </c>
      <c r="BW46">
        <v>1</v>
      </c>
      <c r="BX46">
        <v>1</v>
      </c>
      <c r="BY46" t="s">
        <v>3</v>
      </c>
      <c r="BZ46">
        <v>126</v>
      </c>
      <c r="CA46">
        <v>95</v>
      </c>
      <c r="CB46" t="s">
        <v>3</v>
      </c>
      <c r="CE46">
        <v>0</v>
      </c>
      <c r="CF46">
        <v>0</v>
      </c>
      <c r="CG46">
        <v>0</v>
      </c>
      <c r="CM46">
        <v>0</v>
      </c>
      <c r="CN46" t="s">
        <v>3</v>
      </c>
      <c r="CO46">
        <v>0</v>
      </c>
      <c r="CP46">
        <f t="shared" si="41"/>
        <v>0</v>
      </c>
      <c r="CQ46">
        <f t="shared" si="42"/>
        <v>0</v>
      </c>
      <c r="CR46">
        <f t="shared" si="43"/>
        <v>0</v>
      </c>
      <c r="CS46">
        <f t="shared" si="44"/>
        <v>0</v>
      </c>
      <c r="CT46">
        <f t="shared" si="45"/>
        <v>0</v>
      </c>
      <c r="CU46">
        <f t="shared" si="46"/>
        <v>0</v>
      </c>
      <c r="CV46">
        <f t="shared" si="47"/>
        <v>0</v>
      </c>
      <c r="CW46">
        <f t="shared" si="48"/>
        <v>0</v>
      </c>
      <c r="CX46">
        <f t="shared" si="49"/>
        <v>0</v>
      </c>
      <c r="CY46">
        <f t="shared" si="50"/>
        <v>0</v>
      </c>
      <c r="CZ46">
        <f t="shared" si="51"/>
        <v>0</v>
      </c>
      <c r="DC46" t="s">
        <v>3</v>
      </c>
      <c r="DD46" t="s">
        <v>3</v>
      </c>
      <c r="DE46" t="s">
        <v>3</v>
      </c>
      <c r="DF46" t="s">
        <v>3</v>
      </c>
      <c r="DG46" t="s">
        <v>3</v>
      </c>
      <c r="DH46" t="s">
        <v>3</v>
      </c>
      <c r="DI46" t="s">
        <v>3</v>
      </c>
      <c r="DJ46" t="s">
        <v>3</v>
      </c>
      <c r="DK46" t="s">
        <v>3</v>
      </c>
      <c r="DL46" t="s">
        <v>3</v>
      </c>
      <c r="DM46" t="s">
        <v>3</v>
      </c>
      <c r="DN46">
        <v>0</v>
      </c>
      <c r="DO46">
        <v>0</v>
      </c>
      <c r="DP46">
        <v>1</v>
      </c>
      <c r="DQ46">
        <v>1</v>
      </c>
      <c r="DU46">
        <v>1009</v>
      </c>
      <c r="DV46" t="s">
        <v>84</v>
      </c>
      <c r="DW46" t="s">
        <v>84</v>
      </c>
      <c r="DX46">
        <v>1000</v>
      </c>
      <c r="DZ46" t="s">
        <v>3</v>
      </c>
      <c r="EA46" t="s">
        <v>3</v>
      </c>
      <c r="EB46" t="s">
        <v>3</v>
      </c>
      <c r="EC46" t="s">
        <v>3</v>
      </c>
      <c r="EE46">
        <v>29578057</v>
      </c>
      <c r="EF46">
        <v>2</v>
      </c>
      <c r="EG46" t="s">
        <v>33</v>
      </c>
      <c r="EH46">
        <v>21</v>
      </c>
      <c r="EI46" t="s">
        <v>51</v>
      </c>
      <c r="EJ46">
        <v>1</v>
      </c>
      <c r="EK46">
        <v>27001</v>
      </c>
      <c r="EL46" t="s">
        <v>51</v>
      </c>
      <c r="EM46" t="s">
        <v>52</v>
      </c>
      <c r="EO46" t="s">
        <v>3</v>
      </c>
      <c r="EQ46">
        <v>512</v>
      </c>
      <c r="ER46">
        <v>0</v>
      </c>
      <c r="ES46">
        <v>0</v>
      </c>
      <c r="ET46">
        <v>0</v>
      </c>
      <c r="EU46">
        <v>0</v>
      </c>
      <c r="EV46">
        <v>0</v>
      </c>
      <c r="EW46">
        <v>0</v>
      </c>
      <c r="EX46">
        <v>0</v>
      </c>
      <c r="FQ46">
        <v>0</v>
      </c>
      <c r="FR46">
        <f t="shared" si="22"/>
        <v>0</v>
      </c>
      <c r="FS46">
        <v>0</v>
      </c>
      <c r="FX46">
        <v>126</v>
      </c>
      <c r="FY46">
        <v>95</v>
      </c>
      <c r="GA46" t="s">
        <v>3</v>
      </c>
      <c r="GD46">
        <v>1</v>
      </c>
      <c r="GF46">
        <v>-1605379213</v>
      </c>
      <c r="GG46">
        <v>2</v>
      </c>
      <c r="GH46">
        <v>1</v>
      </c>
      <c r="GI46">
        <v>4</v>
      </c>
      <c r="GJ46">
        <v>0</v>
      </c>
      <c r="GK46">
        <v>0</v>
      </c>
      <c r="GL46">
        <f t="shared" si="23"/>
        <v>0</v>
      </c>
      <c r="GM46">
        <f t="shared" si="52"/>
        <v>0</v>
      </c>
      <c r="GN46">
        <f t="shared" si="53"/>
        <v>0</v>
      </c>
      <c r="GO46">
        <f t="shared" si="54"/>
        <v>0</v>
      </c>
      <c r="GP46">
        <f t="shared" si="55"/>
        <v>0</v>
      </c>
      <c r="GR46">
        <v>0</v>
      </c>
      <c r="GS46">
        <v>3</v>
      </c>
      <c r="GT46">
        <v>0</v>
      </c>
      <c r="GU46" t="s">
        <v>3</v>
      </c>
      <c r="GV46">
        <f t="shared" si="56"/>
        <v>0</v>
      </c>
      <c r="GW46">
        <v>1</v>
      </c>
      <c r="GX46">
        <f t="shared" si="57"/>
        <v>0</v>
      </c>
      <c r="HA46">
        <v>0</v>
      </c>
      <c r="HB46">
        <v>0</v>
      </c>
      <c r="HC46">
        <f t="shared" si="58"/>
        <v>0</v>
      </c>
      <c r="HE46" t="s">
        <v>3</v>
      </c>
      <c r="HF46" t="s">
        <v>3</v>
      </c>
      <c r="HI46">
        <f t="shared" si="24"/>
        <v>0</v>
      </c>
      <c r="HJ46">
        <f t="shared" si="25"/>
        <v>0</v>
      </c>
      <c r="HK46">
        <f t="shared" si="59"/>
        <v>0</v>
      </c>
      <c r="HL46">
        <f t="shared" si="60"/>
        <v>0</v>
      </c>
      <c r="HM46" t="s">
        <v>3</v>
      </c>
      <c r="HN46" t="s">
        <v>3</v>
      </c>
      <c r="HO46" t="s">
        <v>3</v>
      </c>
      <c r="HP46" t="s">
        <v>3</v>
      </c>
      <c r="HQ46" t="s">
        <v>3</v>
      </c>
      <c r="IK46">
        <v>0</v>
      </c>
    </row>
    <row r="47" spans="1:245" x14ac:dyDescent="0.2">
      <c r="A47">
        <v>18</v>
      </c>
      <c r="B47">
        <v>1</v>
      </c>
      <c r="C47">
        <v>55</v>
      </c>
      <c r="E47" t="s">
        <v>109</v>
      </c>
      <c r="F47" t="s">
        <v>86</v>
      </c>
      <c r="G47" t="s">
        <v>87</v>
      </c>
      <c r="H47" t="s">
        <v>84</v>
      </c>
      <c r="I47">
        <f>I45*J47</f>
        <v>193.2</v>
      </c>
      <c r="J47">
        <v>96.6</v>
      </c>
      <c r="K47">
        <v>96.6</v>
      </c>
      <c r="O47">
        <f t="shared" si="26"/>
        <v>0</v>
      </c>
      <c r="P47">
        <f t="shared" si="27"/>
        <v>0</v>
      </c>
      <c r="Q47">
        <f t="shared" si="28"/>
        <v>0</v>
      </c>
      <c r="R47">
        <f t="shared" si="29"/>
        <v>0</v>
      </c>
      <c r="S47">
        <f t="shared" si="30"/>
        <v>0</v>
      </c>
      <c r="T47">
        <f t="shared" si="31"/>
        <v>0</v>
      </c>
      <c r="U47">
        <f t="shared" si="32"/>
        <v>0</v>
      </c>
      <c r="V47">
        <f t="shared" si="33"/>
        <v>0</v>
      </c>
      <c r="W47">
        <f t="shared" si="34"/>
        <v>0</v>
      </c>
      <c r="X47">
        <f t="shared" si="35"/>
        <v>0</v>
      </c>
      <c r="Y47">
        <f t="shared" si="36"/>
        <v>0</v>
      </c>
      <c r="AA47">
        <v>29836452</v>
      </c>
      <c r="AB47">
        <f t="shared" si="37"/>
        <v>0</v>
      </c>
      <c r="AC47">
        <f>ROUND((ES47),0)</f>
        <v>0</v>
      </c>
      <c r="AD47">
        <f>ROUND((((ET47)-(EU47))+AE47),0)</f>
        <v>0</v>
      </c>
      <c r="AE47">
        <f>ROUND((EU47),0)</f>
        <v>0</v>
      </c>
      <c r="AF47">
        <f>ROUND((EV47),0)</f>
        <v>0</v>
      </c>
      <c r="AG47">
        <f t="shared" si="39"/>
        <v>0</v>
      </c>
      <c r="AH47">
        <f>(EW47)</f>
        <v>0</v>
      </c>
      <c r="AI47">
        <f>(EX47)</f>
        <v>0</v>
      </c>
      <c r="AJ47">
        <f t="shared" si="40"/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126</v>
      </c>
      <c r="AU47">
        <v>95</v>
      </c>
      <c r="AV47">
        <v>1</v>
      </c>
      <c r="AW47">
        <v>1</v>
      </c>
      <c r="AZ47">
        <v>1</v>
      </c>
      <c r="BA47">
        <v>1</v>
      </c>
      <c r="BB47">
        <v>1</v>
      </c>
      <c r="BC47">
        <v>1</v>
      </c>
      <c r="BD47" t="s">
        <v>3</v>
      </c>
      <c r="BE47" t="s">
        <v>3</v>
      </c>
      <c r="BF47" t="s">
        <v>3</v>
      </c>
      <c r="BG47" t="s">
        <v>3</v>
      </c>
      <c r="BH47">
        <v>3</v>
      </c>
      <c r="BI47">
        <v>1</v>
      </c>
      <c r="BJ47" t="s">
        <v>3</v>
      </c>
      <c r="BM47">
        <v>27001</v>
      </c>
      <c r="BN47">
        <v>0</v>
      </c>
      <c r="BO47" t="s">
        <v>29</v>
      </c>
      <c r="BP47">
        <v>1</v>
      </c>
      <c r="BQ47">
        <v>2</v>
      </c>
      <c r="BR47">
        <v>0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3</v>
      </c>
      <c r="BZ47">
        <v>126</v>
      </c>
      <c r="CA47">
        <v>95</v>
      </c>
      <c r="CB47" t="s">
        <v>3</v>
      </c>
      <c r="CE47">
        <v>0</v>
      </c>
      <c r="CF47">
        <v>0</v>
      </c>
      <c r="CG47">
        <v>0</v>
      </c>
      <c r="CM47">
        <v>0</v>
      </c>
      <c r="CN47" t="s">
        <v>3</v>
      </c>
      <c r="CO47">
        <v>0</v>
      </c>
      <c r="CP47">
        <f t="shared" si="41"/>
        <v>0</v>
      </c>
      <c r="CQ47">
        <f t="shared" si="42"/>
        <v>0</v>
      </c>
      <c r="CR47">
        <f t="shared" si="43"/>
        <v>0</v>
      </c>
      <c r="CS47">
        <f t="shared" si="44"/>
        <v>0</v>
      </c>
      <c r="CT47">
        <f t="shared" si="45"/>
        <v>0</v>
      </c>
      <c r="CU47">
        <f t="shared" si="46"/>
        <v>0</v>
      </c>
      <c r="CV47">
        <f t="shared" si="47"/>
        <v>0</v>
      </c>
      <c r="CW47">
        <f t="shared" si="48"/>
        <v>0</v>
      </c>
      <c r="CX47">
        <f t="shared" si="49"/>
        <v>0</v>
      </c>
      <c r="CY47">
        <f t="shared" si="50"/>
        <v>0</v>
      </c>
      <c r="CZ47">
        <f t="shared" si="51"/>
        <v>0</v>
      </c>
      <c r="DC47" t="s">
        <v>3</v>
      </c>
      <c r="DD47" t="s">
        <v>3</v>
      </c>
      <c r="DE47" t="s">
        <v>3</v>
      </c>
      <c r="DF47" t="s">
        <v>3</v>
      </c>
      <c r="DG47" t="s">
        <v>3</v>
      </c>
      <c r="DH47" t="s">
        <v>3</v>
      </c>
      <c r="DI47" t="s">
        <v>3</v>
      </c>
      <c r="DJ47" t="s">
        <v>3</v>
      </c>
      <c r="DK47" t="s">
        <v>3</v>
      </c>
      <c r="DL47" t="s">
        <v>3</v>
      </c>
      <c r="DM47" t="s">
        <v>3</v>
      </c>
      <c r="DN47">
        <v>0</v>
      </c>
      <c r="DO47">
        <v>0</v>
      </c>
      <c r="DP47">
        <v>1</v>
      </c>
      <c r="DQ47">
        <v>1</v>
      </c>
      <c r="DU47">
        <v>1009</v>
      </c>
      <c r="DV47" t="s">
        <v>84</v>
      </c>
      <c r="DW47" t="s">
        <v>84</v>
      </c>
      <c r="DX47">
        <v>1000</v>
      </c>
      <c r="DZ47" t="s">
        <v>3</v>
      </c>
      <c r="EA47" t="s">
        <v>3</v>
      </c>
      <c r="EB47" t="s">
        <v>3</v>
      </c>
      <c r="EC47" t="s">
        <v>3</v>
      </c>
      <c r="EE47">
        <v>29578057</v>
      </c>
      <c r="EF47">
        <v>2</v>
      </c>
      <c r="EG47" t="s">
        <v>33</v>
      </c>
      <c r="EH47">
        <v>21</v>
      </c>
      <c r="EI47" t="s">
        <v>51</v>
      </c>
      <c r="EJ47">
        <v>1</v>
      </c>
      <c r="EK47">
        <v>27001</v>
      </c>
      <c r="EL47" t="s">
        <v>51</v>
      </c>
      <c r="EM47" t="s">
        <v>52</v>
      </c>
      <c r="EO47" t="s">
        <v>3</v>
      </c>
      <c r="EQ47">
        <v>512</v>
      </c>
      <c r="ER47">
        <v>0</v>
      </c>
      <c r="ES47">
        <v>0</v>
      </c>
      <c r="ET47">
        <v>0</v>
      </c>
      <c r="EU47">
        <v>0</v>
      </c>
      <c r="EV47">
        <v>0</v>
      </c>
      <c r="EW47">
        <v>0</v>
      </c>
      <c r="EX47">
        <v>0</v>
      </c>
      <c r="FQ47">
        <v>0</v>
      </c>
      <c r="FR47">
        <f t="shared" si="22"/>
        <v>0</v>
      </c>
      <c r="FS47">
        <v>0</v>
      </c>
      <c r="FX47">
        <v>126</v>
      </c>
      <c r="FY47">
        <v>95</v>
      </c>
      <c r="GA47" t="s">
        <v>3</v>
      </c>
      <c r="GD47">
        <v>1</v>
      </c>
      <c r="GF47">
        <v>1670663622</v>
      </c>
      <c r="GG47">
        <v>2</v>
      </c>
      <c r="GH47">
        <v>1</v>
      </c>
      <c r="GI47">
        <v>4</v>
      </c>
      <c r="GJ47">
        <v>0</v>
      </c>
      <c r="GK47">
        <v>0</v>
      </c>
      <c r="GL47">
        <f t="shared" si="23"/>
        <v>0</v>
      </c>
      <c r="GM47">
        <f t="shared" si="52"/>
        <v>0</v>
      </c>
      <c r="GN47">
        <f t="shared" si="53"/>
        <v>0</v>
      </c>
      <c r="GO47">
        <f t="shared" si="54"/>
        <v>0</v>
      </c>
      <c r="GP47">
        <f t="shared" si="55"/>
        <v>0</v>
      </c>
      <c r="GR47">
        <v>0</v>
      </c>
      <c r="GS47">
        <v>3</v>
      </c>
      <c r="GT47">
        <v>0</v>
      </c>
      <c r="GU47" t="s">
        <v>3</v>
      </c>
      <c r="GV47">
        <f t="shared" si="56"/>
        <v>0</v>
      </c>
      <c r="GW47">
        <v>1</v>
      </c>
      <c r="GX47">
        <f t="shared" si="57"/>
        <v>0</v>
      </c>
      <c r="HA47">
        <v>0</v>
      </c>
      <c r="HB47">
        <v>0</v>
      </c>
      <c r="HC47">
        <f t="shared" si="58"/>
        <v>0</v>
      </c>
      <c r="HE47" t="s">
        <v>3</v>
      </c>
      <c r="HF47" t="s">
        <v>3</v>
      </c>
      <c r="HI47">
        <f t="shared" si="24"/>
        <v>0</v>
      </c>
      <c r="HJ47">
        <f t="shared" si="25"/>
        <v>0</v>
      </c>
      <c r="HK47">
        <f t="shared" si="59"/>
        <v>0</v>
      </c>
      <c r="HL47">
        <f t="shared" si="60"/>
        <v>0</v>
      </c>
      <c r="HM47" t="s">
        <v>3</v>
      </c>
      <c r="HN47" t="s">
        <v>3</v>
      </c>
      <c r="HO47" t="s">
        <v>3</v>
      </c>
      <c r="HP47" t="s">
        <v>3</v>
      </c>
      <c r="HQ47" t="s">
        <v>3</v>
      </c>
      <c r="IK47">
        <v>0</v>
      </c>
    </row>
    <row r="48" spans="1:245" x14ac:dyDescent="0.2">
      <c r="A48">
        <v>17</v>
      </c>
      <c r="B48">
        <v>1</v>
      </c>
      <c r="C48">
        <f>ROW(SmtRes!A61)</f>
        <v>61</v>
      </c>
      <c r="D48">
        <f>ROW(EtalonRes!A62)</f>
        <v>62</v>
      </c>
      <c r="E48" t="s">
        <v>110</v>
      </c>
      <c r="F48" t="s">
        <v>111</v>
      </c>
      <c r="G48" t="s">
        <v>112</v>
      </c>
      <c r="H48" t="s">
        <v>79</v>
      </c>
      <c r="I48">
        <f>ROUND(ROUND(240/1000,4),7)</f>
        <v>0.24</v>
      </c>
      <c r="J48">
        <v>0</v>
      </c>
      <c r="K48">
        <f>ROUND(ROUND(240/1000,4),7)</f>
        <v>0.24</v>
      </c>
      <c r="O48">
        <f t="shared" si="26"/>
        <v>2.4</v>
      </c>
      <c r="P48">
        <f t="shared" si="27"/>
        <v>0</v>
      </c>
      <c r="Q48">
        <f t="shared" si="28"/>
        <v>1.92</v>
      </c>
      <c r="R48">
        <f t="shared" si="29"/>
        <v>0</v>
      </c>
      <c r="S48">
        <f t="shared" si="30"/>
        <v>0.48</v>
      </c>
      <c r="T48">
        <f t="shared" si="31"/>
        <v>0</v>
      </c>
      <c r="U48">
        <f t="shared" si="32"/>
        <v>4.9679999999999995E-2</v>
      </c>
      <c r="V48">
        <f t="shared" si="33"/>
        <v>0</v>
      </c>
      <c r="W48">
        <f t="shared" si="34"/>
        <v>0</v>
      </c>
      <c r="X48">
        <f t="shared" si="35"/>
        <v>0.6</v>
      </c>
      <c r="Y48">
        <f t="shared" si="36"/>
        <v>0.46</v>
      </c>
      <c r="AA48">
        <v>29836452</v>
      </c>
      <c r="AB48">
        <f t="shared" si="37"/>
        <v>10</v>
      </c>
      <c r="AC48">
        <f>ROUND(((ES48*ROUND(2,7))),0)</f>
        <v>0</v>
      </c>
      <c r="AD48">
        <f>ROUND(((((ET48*ROUND((1.25*2),7)))-((EU48*ROUND((1.25*2),7))))+AE48),0)</f>
        <v>8</v>
      </c>
      <c r="AE48">
        <f>ROUND(((EU48*ROUND((1.25*2),7))),0)</f>
        <v>0</v>
      </c>
      <c r="AF48">
        <f>ROUND(((EV48*ROUND((1.15*2),7))),0)</f>
        <v>2</v>
      </c>
      <c r="AG48">
        <f t="shared" si="39"/>
        <v>0</v>
      </c>
      <c r="AH48">
        <f>((EW48*ROUND((1.15*2),7)))</f>
        <v>0.20699999999999999</v>
      </c>
      <c r="AI48">
        <f>((EX48*ROUND((1.25*2),7)))</f>
        <v>0</v>
      </c>
      <c r="AJ48">
        <f t="shared" si="40"/>
        <v>0</v>
      </c>
      <c r="AK48">
        <v>3.87</v>
      </c>
      <c r="AL48">
        <v>0</v>
      </c>
      <c r="AM48">
        <v>3.1</v>
      </c>
      <c r="AN48">
        <v>0</v>
      </c>
      <c r="AO48">
        <v>0.77</v>
      </c>
      <c r="AP48">
        <v>0</v>
      </c>
      <c r="AQ48">
        <v>0.09</v>
      </c>
      <c r="AR48">
        <v>0</v>
      </c>
      <c r="AS48">
        <v>0</v>
      </c>
      <c r="AT48">
        <v>126</v>
      </c>
      <c r="AU48">
        <v>95</v>
      </c>
      <c r="AV48">
        <v>1</v>
      </c>
      <c r="AW48">
        <v>1</v>
      </c>
      <c r="AZ48">
        <v>1</v>
      </c>
      <c r="BA48">
        <v>35.86</v>
      </c>
      <c r="BB48">
        <v>1</v>
      </c>
      <c r="BC48">
        <v>1</v>
      </c>
      <c r="BD48" t="s">
        <v>3</v>
      </c>
      <c r="BE48" t="s">
        <v>3</v>
      </c>
      <c r="BF48" t="s">
        <v>3</v>
      </c>
      <c r="BG48" t="s">
        <v>3</v>
      </c>
      <c r="BH48">
        <v>0</v>
      </c>
      <c r="BI48">
        <v>1</v>
      </c>
      <c r="BJ48" t="s">
        <v>113</v>
      </c>
      <c r="BM48">
        <v>27001</v>
      </c>
      <c r="BN48">
        <v>0</v>
      </c>
      <c r="BO48" t="s">
        <v>29</v>
      </c>
      <c r="BP48">
        <v>1</v>
      </c>
      <c r="BQ48">
        <v>2</v>
      </c>
      <c r="BR48">
        <v>0</v>
      </c>
      <c r="BS48">
        <v>35.86</v>
      </c>
      <c r="BT48">
        <v>1</v>
      </c>
      <c r="BU48">
        <v>1</v>
      </c>
      <c r="BV48">
        <v>1</v>
      </c>
      <c r="BW48">
        <v>1</v>
      </c>
      <c r="BX48">
        <v>1</v>
      </c>
      <c r="BY48" t="s">
        <v>3</v>
      </c>
      <c r="BZ48">
        <v>126</v>
      </c>
      <c r="CA48">
        <v>95</v>
      </c>
      <c r="CB48" t="s">
        <v>3</v>
      </c>
      <c r="CE48">
        <v>0</v>
      </c>
      <c r="CF48">
        <v>0</v>
      </c>
      <c r="CG48">
        <v>0</v>
      </c>
      <c r="CM48">
        <v>0</v>
      </c>
      <c r="CN48" t="s">
        <v>30</v>
      </c>
      <c r="CO48">
        <v>0</v>
      </c>
      <c r="CP48">
        <f t="shared" si="41"/>
        <v>2.4</v>
      </c>
      <c r="CQ48">
        <f t="shared" si="42"/>
        <v>0</v>
      </c>
      <c r="CR48">
        <f t="shared" si="43"/>
        <v>8</v>
      </c>
      <c r="CS48">
        <f t="shared" si="44"/>
        <v>0</v>
      </c>
      <c r="CT48">
        <f t="shared" si="45"/>
        <v>2</v>
      </c>
      <c r="CU48">
        <f t="shared" si="46"/>
        <v>0</v>
      </c>
      <c r="CV48">
        <f t="shared" si="47"/>
        <v>0.20699999999999999</v>
      </c>
      <c r="CW48">
        <f t="shared" si="48"/>
        <v>0</v>
      </c>
      <c r="CX48">
        <f t="shared" si="49"/>
        <v>0</v>
      </c>
      <c r="CY48">
        <f t="shared" si="50"/>
        <v>0.6048</v>
      </c>
      <c r="CZ48">
        <f t="shared" si="51"/>
        <v>0.45600000000000002</v>
      </c>
      <c r="DC48" t="s">
        <v>3</v>
      </c>
      <c r="DD48" t="s">
        <v>99</v>
      </c>
      <c r="DE48" t="s">
        <v>100</v>
      </c>
      <c r="DF48" t="s">
        <v>100</v>
      </c>
      <c r="DG48" t="s">
        <v>101</v>
      </c>
      <c r="DH48" t="s">
        <v>3</v>
      </c>
      <c r="DI48" t="s">
        <v>101</v>
      </c>
      <c r="DJ48" t="s">
        <v>100</v>
      </c>
      <c r="DK48" t="s">
        <v>3</v>
      </c>
      <c r="DL48" t="s">
        <v>3</v>
      </c>
      <c r="DM48" t="s">
        <v>3</v>
      </c>
      <c r="DN48">
        <v>0</v>
      </c>
      <c r="DO48">
        <v>0</v>
      </c>
      <c r="DP48">
        <v>1</v>
      </c>
      <c r="DQ48">
        <v>1</v>
      </c>
      <c r="DU48">
        <v>1005</v>
      </c>
      <c r="DV48" t="s">
        <v>79</v>
      </c>
      <c r="DW48" t="s">
        <v>79</v>
      </c>
      <c r="DX48">
        <v>1000</v>
      </c>
      <c r="DZ48" t="s">
        <v>3</v>
      </c>
      <c r="EA48" t="s">
        <v>3</v>
      </c>
      <c r="EB48" t="s">
        <v>3</v>
      </c>
      <c r="EC48" t="s">
        <v>3</v>
      </c>
      <c r="EE48">
        <v>29578057</v>
      </c>
      <c r="EF48">
        <v>2</v>
      </c>
      <c r="EG48" t="s">
        <v>33</v>
      </c>
      <c r="EH48">
        <v>21</v>
      </c>
      <c r="EI48" t="s">
        <v>51</v>
      </c>
      <c r="EJ48">
        <v>1</v>
      </c>
      <c r="EK48">
        <v>27001</v>
      </c>
      <c r="EL48" t="s">
        <v>51</v>
      </c>
      <c r="EM48" t="s">
        <v>52</v>
      </c>
      <c r="EO48" t="s">
        <v>37</v>
      </c>
      <c r="EQ48">
        <v>512</v>
      </c>
      <c r="ER48">
        <v>3.87</v>
      </c>
      <c r="ES48">
        <v>0</v>
      </c>
      <c r="ET48">
        <v>3.1</v>
      </c>
      <c r="EU48">
        <v>0</v>
      </c>
      <c r="EV48">
        <v>0.77</v>
      </c>
      <c r="EW48">
        <v>0.09</v>
      </c>
      <c r="EX48">
        <v>0</v>
      </c>
      <c r="EY48">
        <v>0</v>
      </c>
      <c r="FQ48">
        <v>0</v>
      </c>
      <c r="FR48">
        <f t="shared" si="22"/>
        <v>0</v>
      </c>
      <c r="FS48">
        <v>0</v>
      </c>
      <c r="FX48">
        <v>126</v>
      </c>
      <c r="FY48">
        <v>95</v>
      </c>
      <c r="GA48" t="s">
        <v>3</v>
      </c>
      <c r="GD48">
        <v>1</v>
      </c>
      <c r="GF48">
        <v>-1053988563</v>
      </c>
      <c r="GG48">
        <v>2</v>
      </c>
      <c r="GH48">
        <v>1</v>
      </c>
      <c r="GI48">
        <v>4</v>
      </c>
      <c r="GJ48">
        <v>0</v>
      </c>
      <c r="GK48">
        <v>0</v>
      </c>
      <c r="GL48">
        <f t="shared" si="23"/>
        <v>0</v>
      </c>
      <c r="GM48">
        <f t="shared" si="52"/>
        <v>3.46</v>
      </c>
      <c r="GN48">
        <f t="shared" si="53"/>
        <v>3.46</v>
      </c>
      <c r="GO48">
        <f t="shared" si="54"/>
        <v>0</v>
      </c>
      <c r="GP48">
        <f t="shared" si="55"/>
        <v>0</v>
      </c>
      <c r="GR48">
        <v>0</v>
      </c>
      <c r="GS48">
        <v>3</v>
      </c>
      <c r="GT48">
        <v>0</v>
      </c>
      <c r="GU48" t="s">
        <v>3</v>
      </c>
      <c r="GV48">
        <f t="shared" si="56"/>
        <v>0</v>
      </c>
      <c r="GW48">
        <v>1</v>
      </c>
      <c r="GX48">
        <f t="shared" si="57"/>
        <v>0</v>
      </c>
      <c r="HA48">
        <v>0</v>
      </c>
      <c r="HB48">
        <v>0</v>
      </c>
      <c r="HC48">
        <f t="shared" si="58"/>
        <v>0</v>
      </c>
      <c r="HE48" t="s">
        <v>3</v>
      </c>
      <c r="HF48" t="s">
        <v>3</v>
      </c>
      <c r="HI48">
        <f t="shared" si="24"/>
        <v>0</v>
      </c>
      <c r="HJ48">
        <f t="shared" si="25"/>
        <v>17.21</v>
      </c>
      <c r="HK48">
        <f t="shared" si="59"/>
        <v>21.68</v>
      </c>
      <c r="HL48">
        <f t="shared" si="60"/>
        <v>16.350000000000001</v>
      </c>
      <c r="HM48" t="s">
        <v>3</v>
      </c>
      <c r="HN48" t="s">
        <v>3</v>
      </c>
      <c r="HO48" t="s">
        <v>3</v>
      </c>
      <c r="HP48" t="s">
        <v>3</v>
      </c>
      <c r="HQ48" t="s">
        <v>3</v>
      </c>
      <c r="IK48">
        <v>0</v>
      </c>
    </row>
    <row r="49" spans="1:245" x14ac:dyDescent="0.2">
      <c r="A49">
        <v>18</v>
      </c>
      <c r="B49">
        <v>1</v>
      </c>
      <c r="C49">
        <v>60</v>
      </c>
      <c r="E49" t="s">
        <v>114</v>
      </c>
      <c r="F49" t="s">
        <v>82</v>
      </c>
      <c r="G49" t="s">
        <v>83</v>
      </c>
      <c r="H49" t="s">
        <v>84</v>
      </c>
      <c r="I49">
        <f>I48*J49</f>
        <v>6.7199999999999996E-4</v>
      </c>
      <c r="J49">
        <v>2.8E-3</v>
      </c>
      <c r="K49">
        <v>1.4E-3</v>
      </c>
      <c r="O49">
        <f t="shared" si="26"/>
        <v>0</v>
      </c>
      <c r="P49">
        <f t="shared" si="27"/>
        <v>0</v>
      </c>
      <c r="Q49">
        <f t="shared" si="28"/>
        <v>0</v>
      </c>
      <c r="R49">
        <f t="shared" si="29"/>
        <v>0</v>
      </c>
      <c r="S49">
        <f t="shared" si="30"/>
        <v>0</v>
      </c>
      <c r="T49">
        <f t="shared" si="31"/>
        <v>0</v>
      </c>
      <c r="U49">
        <f t="shared" si="32"/>
        <v>0</v>
      </c>
      <c r="V49">
        <f t="shared" si="33"/>
        <v>0</v>
      </c>
      <c r="W49">
        <f t="shared" si="34"/>
        <v>0</v>
      </c>
      <c r="X49">
        <f t="shared" si="35"/>
        <v>0</v>
      </c>
      <c r="Y49">
        <f t="shared" si="36"/>
        <v>0</v>
      </c>
      <c r="AA49">
        <v>29836452</v>
      </c>
      <c r="AB49">
        <f t="shared" si="37"/>
        <v>0</v>
      </c>
      <c r="AC49">
        <f t="shared" ref="AC49:AC58" si="63">ROUND((ES49),0)</f>
        <v>0</v>
      </c>
      <c r="AD49">
        <f>ROUND((((ET49)-(EU49))+AE49),0)</f>
        <v>0</v>
      </c>
      <c r="AE49">
        <f t="shared" ref="AE49:AF52" si="64">ROUND((EU49),0)</f>
        <v>0</v>
      </c>
      <c r="AF49">
        <f t="shared" si="64"/>
        <v>0</v>
      </c>
      <c r="AG49">
        <f t="shared" si="39"/>
        <v>0</v>
      </c>
      <c r="AH49">
        <f t="shared" ref="AH49:AI52" si="65">(EW49)</f>
        <v>0</v>
      </c>
      <c r="AI49">
        <f t="shared" si="65"/>
        <v>0</v>
      </c>
      <c r="AJ49">
        <f t="shared" si="40"/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126</v>
      </c>
      <c r="AU49">
        <v>95</v>
      </c>
      <c r="AV49">
        <v>1</v>
      </c>
      <c r="AW49">
        <v>1</v>
      </c>
      <c r="AZ49">
        <v>1</v>
      </c>
      <c r="BA49">
        <v>1</v>
      </c>
      <c r="BB49">
        <v>1</v>
      </c>
      <c r="BC49">
        <v>1</v>
      </c>
      <c r="BD49" t="s">
        <v>3</v>
      </c>
      <c r="BE49" t="s">
        <v>3</v>
      </c>
      <c r="BF49" t="s">
        <v>3</v>
      </c>
      <c r="BG49" t="s">
        <v>3</v>
      </c>
      <c r="BH49">
        <v>3</v>
      </c>
      <c r="BI49">
        <v>1</v>
      </c>
      <c r="BJ49" t="s">
        <v>3</v>
      </c>
      <c r="BM49">
        <v>27001</v>
      </c>
      <c r="BN49">
        <v>0</v>
      </c>
      <c r="BO49" t="s">
        <v>29</v>
      </c>
      <c r="BP49">
        <v>1</v>
      </c>
      <c r="BQ49">
        <v>2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3</v>
      </c>
      <c r="BZ49">
        <v>126</v>
      </c>
      <c r="CA49">
        <v>95</v>
      </c>
      <c r="CB49" t="s">
        <v>3</v>
      </c>
      <c r="CE49">
        <v>0</v>
      </c>
      <c r="CF49">
        <v>0</v>
      </c>
      <c r="CG49">
        <v>0</v>
      </c>
      <c r="CM49">
        <v>0</v>
      </c>
      <c r="CN49" t="s">
        <v>30</v>
      </c>
      <c r="CO49">
        <v>0</v>
      </c>
      <c r="CP49">
        <f t="shared" si="41"/>
        <v>0</v>
      </c>
      <c r="CQ49">
        <f t="shared" si="42"/>
        <v>0</v>
      </c>
      <c r="CR49">
        <f t="shared" si="43"/>
        <v>0</v>
      </c>
      <c r="CS49">
        <f t="shared" si="44"/>
        <v>0</v>
      </c>
      <c r="CT49">
        <f t="shared" si="45"/>
        <v>0</v>
      </c>
      <c r="CU49">
        <f t="shared" si="46"/>
        <v>0</v>
      </c>
      <c r="CV49">
        <f t="shared" si="47"/>
        <v>0</v>
      </c>
      <c r="CW49">
        <f t="shared" si="48"/>
        <v>0</v>
      </c>
      <c r="CX49">
        <f t="shared" si="49"/>
        <v>0</v>
      </c>
      <c r="CY49">
        <f t="shared" si="50"/>
        <v>0</v>
      </c>
      <c r="CZ49">
        <f t="shared" si="51"/>
        <v>0</v>
      </c>
      <c r="DC49" t="s">
        <v>3</v>
      </c>
      <c r="DD49" t="s">
        <v>3</v>
      </c>
      <c r="DE49" t="s">
        <v>3</v>
      </c>
      <c r="DF49" t="s">
        <v>3</v>
      </c>
      <c r="DG49" t="s">
        <v>3</v>
      </c>
      <c r="DH49" t="s">
        <v>3</v>
      </c>
      <c r="DI49" t="s">
        <v>3</v>
      </c>
      <c r="DJ49" t="s">
        <v>3</v>
      </c>
      <c r="DK49" t="s">
        <v>3</v>
      </c>
      <c r="DL49" t="s">
        <v>3</v>
      </c>
      <c r="DM49" t="s">
        <v>3</v>
      </c>
      <c r="DN49">
        <v>0</v>
      </c>
      <c r="DO49">
        <v>0</v>
      </c>
      <c r="DP49">
        <v>1</v>
      </c>
      <c r="DQ49">
        <v>1</v>
      </c>
      <c r="DU49">
        <v>1009</v>
      </c>
      <c r="DV49" t="s">
        <v>84</v>
      </c>
      <c r="DW49" t="s">
        <v>84</v>
      </c>
      <c r="DX49">
        <v>1000</v>
      </c>
      <c r="DZ49" t="s">
        <v>3</v>
      </c>
      <c r="EA49" t="s">
        <v>3</v>
      </c>
      <c r="EB49" t="s">
        <v>3</v>
      </c>
      <c r="EC49" t="s">
        <v>3</v>
      </c>
      <c r="EE49">
        <v>29578057</v>
      </c>
      <c r="EF49">
        <v>2</v>
      </c>
      <c r="EG49" t="s">
        <v>33</v>
      </c>
      <c r="EH49">
        <v>21</v>
      </c>
      <c r="EI49" t="s">
        <v>51</v>
      </c>
      <c r="EJ49">
        <v>1</v>
      </c>
      <c r="EK49">
        <v>27001</v>
      </c>
      <c r="EL49" t="s">
        <v>51</v>
      </c>
      <c r="EM49" t="s">
        <v>52</v>
      </c>
      <c r="EO49" t="s">
        <v>37</v>
      </c>
      <c r="EQ49">
        <v>512</v>
      </c>
      <c r="ER49">
        <v>0</v>
      </c>
      <c r="ES49">
        <v>0</v>
      </c>
      <c r="ET49">
        <v>0</v>
      </c>
      <c r="EU49">
        <v>0</v>
      </c>
      <c r="EV49">
        <v>0</v>
      </c>
      <c r="EW49">
        <v>0</v>
      </c>
      <c r="EX49">
        <v>0</v>
      </c>
      <c r="FQ49">
        <v>0</v>
      </c>
      <c r="FR49">
        <f t="shared" si="22"/>
        <v>0</v>
      </c>
      <c r="FS49">
        <v>0</v>
      </c>
      <c r="FX49">
        <v>126</v>
      </c>
      <c r="FY49">
        <v>95</v>
      </c>
      <c r="GA49" t="s">
        <v>3</v>
      </c>
      <c r="GD49">
        <v>1</v>
      </c>
      <c r="GF49">
        <v>-1605379213</v>
      </c>
      <c r="GG49">
        <v>2</v>
      </c>
      <c r="GH49">
        <v>1</v>
      </c>
      <c r="GI49">
        <v>4</v>
      </c>
      <c r="GJ49">
        <v>0</v>
      </c>
      <c r="GK49">
        <v>0</v>
      </c>
      <c r="GL49">
        <f t="shared" si="23"/>
        <v>0</v>
      </c>
      <c r="GM49">
        <f t="shared" si="52"/>
        <v>0</v>
      </c>
      <c r="GN49">
        <f t="shared" si="53"/>
        <v>0</v>
      </c>
      <c r="GO49">
        <f t="shared" si="54"/>
        <v>0</v>
      </c>
      <c r="GP49">
        <f t="shared" si="55"/>
        <v>0</v>
      </c>
      <c r="GR49">
        <v>0</v>
      </c>
      <c r="GS49">
        <v>3</v>
      </c>
      <c r="GT49">
        <v>0</v>
      </c>
      <c r="GU49" t="s">
        <v>3</v>
      </c>
      <c r="GV49">
        <f t="shared" si="56"/>
        <v>0</v>
      </c>
      <c r="GW49">
        <v>1</v>
      </c>
      <c r="GX49">
        <f t="shared" si="57"/>
        <v>0</v>
      </c>
      <c r="HA49">
        <v>0</v>
      </c>
      <c r="HB49">
        <v>0</v>
      </c>
      <c r="HC49">
        <f t="shared" si="58"/>
        <v>0</v>
      </c>
      <c r="HE49" t="s">
        <v>3</v>
      </c>
      <c r="HF49" t="s">
        <v>3</v>
      </c>
      <c r="HI49">
        <f t="shared" si="24"/>
        <v>0</v>
      </c>
      <c r="HJ49">
        <f t="shared" si="25"/>
        <v>0</v>
      </c>
      <c r="HK49">
        <f t="shared" si="59"/>
        <v>0</v>
      </c>
      <c r="HL49">
        <f t="shared" si="60"/>
        <v>0</v>
      </c>
      <c r="HM49" t="s">
        <v>99</v>
      </c>
      <c r="HN49" t="s">
        <v>3</v>
      </c>
      <c r="HO49" t="s">
        <v>3</v>
      </c>
      <c r="HP49" t="s">
        <v>3</v>
      </c>
      <c r="HQ49" t="s">
        <v>3</v>
      </c>
      <c r="IK49">
        <v>0</v>
      </c>
    </row>
    <row r="50" spans="1:245" x14ac:dyDescent="0.2">
      <c r="A50">
        <v>18</v>
      </c>
      <c r="B50">
        <v>1</v>
      </c>
      <c r="C50">
        <v>61</v>
      </c>
      <c r="E50" t="s">
        <v>115</v>
      </c>
      <c r="F50" t="s">
        <v>86</v>
      </c>
      <c r="G50" t="s">
        <v>87</v>
      </c>
      <c r="H50" t="s">
        <v>84</v>
      </c>
      <c r="I50">
        <f>I48*J50</f>
        <v>5.8079999999999998</v>
      </c>
      <c r="J50">
        <v>24.2</v>
      </c>
      <c r="K50">
        <v>12.1</v>
      </c>
      <c r="O50">
        <f t="shared" si="26"/>
        <v>0</v>
      </c>
      <c r="P50">
        <f t="shared" si="27"/>
        <v>0</v>
      </c>
      <c r="Q50">
        <f t="shared" si="28"/>
        <v>0</v>
      </c>
      <c r="R50">
        <f t="shared" si="29"/>
        <v>0</v>
      </c>
      <c r="S50">
        <f t="shared" si="30"/>
        <v>0</v>
      </c>
      <c r="T50">
        <f t="shared" si="31"/>
        <v>0</v>
      </c>
      <c r="U50">
        <f t="shared" si="32"/>
        <v>0</v>
      </c>
      <c r="V50">
        <f t="shared" si="33"/>
        <v>0</v>
      </c>
      <c r="W50">
        <f t="shared" si="34"/>
        <v>0</v>
      </c>
      <c r="X50">
        <f t="shared" si="35"/>
        <v>0</v>
      </c>
      <c r="Y50">
        <f t="shared" si="36"/>
        <v>0</v>
      </c>
      <c r="AA50">
        <v>29836452</v>
      </c>
      <c r="AB50">
        <f t="shared" si="37"/>
        <v>0</v>
      </c>
      <c r="AC50">
        <f t="shared" si="63"/>
        <v>0</v>
      </c>
      <c r="AD50">
        <f>ROUND((((ET50)-(EU50))+AE50),0)</f>
        <v>0</v>
      </c>
      <c r="AE50">
        <f t="shared" si="64"/>
        <v>0</v>
      </c>
      <c r="AF50">
        <f t="shared" si="64"/>
        <v>0</v>
      </c>
      <c r="AG50">
        <f t="shared" si="39"/>
        <v>0</v>
      </c>
      <c r="AH50">
        <f t="shared" si="65"/>
        <v>0</v>
      </c>
      <c r="AI50">
        <f t="shared" si="65"/>
        <v>0</v>
      </c>
      <c r="AJ50">
        <f t="shared" si="40"/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126</v>
      </c>
      <c r="AU50">
        <v>95</v>
      </c>
      <c r="AV50">
        <v>1</v>
      </c>
      <c r="AW50">
        <v>1</v>
      </c>
      <c r="AZ50">
        <v>1</v>
      </c>
      <c r="BA50">
        <v>1</v>
      </c>
      <c r="BB50">
        <v>1</v>
      </c>
      <c r="BC50">
        <v>1</v>
      </c>
      <c r="BD50" t="s">
        <v>3</v>
      </c>
      <c r="BE50" t="s">
        <v>3</v>
      </c>
      <c r="BF50" t="s">
        <v>3</v>
      </c>
      <c r="BG50" t="s">
        <v>3</v>
      </c>
      <c r="BH50">
        <v>3</v>
      </c>
      <c r="BI50">
        <v>1</v>
      </c>
      <c r="BJ50" t="s">
        <v>3</v>
      </c>
      <c r="BM50">
        <v>27001</v>
      </c>
      <c r="BN50">
        <v>0</v>
      </c>
      <c r="BO50" t="s">
        <v>29</v>
      </c>
      <c r="BP50">
        <v>1</v>
      </c>
      <c r="BQ50">
        <v>2</v>
      </c>
      <c r="BR50">
        <v>0</v>
      </c>
      <c r="BS50">
        <v>1</v>
      </c>
      <c r="BT50">
        <v>1</v>
      </c>
      <c r="BU50">
        <v>1</v>
      </c>
      <c r="BV50">
        <v>1</v>
      </c>
      <c r="BW50">
        <v>1</v>
      </c>
      <c r="BX50">
        <v>1</v>
      </c>
      <c r="BY50" t="s">
        <v>3</v>
      </c>
      <c r="BZ50">
        <v>126</v>
      </c>
      <c r="CA50">
        <v>95</v>
      </c>
      <c r="CB50" t="s">
        <v>3</v>
      </c>
      <c r="CE50">
        <v>0</v>
      </c>
      <c r="CF50">
        <v>0</v>
      </c>
      <c r="CG50">
        <v>0</v>
      </c>
      <c r="CM50">
        <v>0</v>
      </c>
      <c r="CN50" t="s">
        <v>30</v>
      </c>
      <c r="CO50">
        <v>0</v>
      </c>
      <c r="CP50">
        <f t="shared" si="41"/>
        <v>0</v>
      </c>
      <c r="CQ50">
        <f t="shared" si="42"/>
        <v>0</v>
      </c>
      <c r="CR50">
        <f t="shared" si="43"/>
        <v>0</v>
      </c>
      <c r="CS50">
        <f t="shared" si="44"/>
        <v>0</v>
      </c>
      <c r="CT50">
        <f t="shared" si="45"/>
        <v>0</v>
      </c>
      <c r="CU50">
        <f t="shared" si="46"/>
        <v>0</v>
      </c>
      <c r="CV50">
        <f t="shared" si="47"/>
        <v>0</v>
      </c>
      <c r="CW50">
        <f t="shared" si="48"/>
        <v>0</v>
      </c>
      <c r="CX50">
        <f t="shared" si="49"/>
        <v>0</v>
      </c>
      <c r="CY50">
        <f t="shared" si="50"/>
        <v>0</v>
      </c>
      <c r="CZ50">
        <f t="shared" si="51"/>
        <v>0</v>
      </c>
      <c r="DC50" t="s">
        <v>3</v>
      </c>
      <c r="DD50" t="s">
        <v>3</v>
      </c>
      <c r="DE50" t="s">
        <v>3</v>
      </c>
      <c r="DF50" t="s">
        <v>3</v>
      </c>
      <c r="DG50" t="s">
        <v>3</v>
      </c>
      <c r="DH50" t="s">
        <v>3</v>
      </c>
      <c r="DI50" t="s">
        <v>3</v>
      </c>
      <c r="DJ50" t="s">
        <v>3</v>
      </c>
      <c r="DK50" t="s">
        <v>3</v>
      </c>
      <c r="DL50" t="s">
        <v>3</v>
      </c>
      <c r="DM50" t="s">
        <v>3</v>
      </c>
      <c r="DN50">
        <v>0</v>
      </c>
      <c r="DO50">
        <v>0</v>
      </c>
      <c r="DP50">
        <v>1</v>
      </c>
      <c r="DQ50">
        <v>1</v>
      </c>
      <c r="DU50">
        <v>1009</v>
      </c>
      <c r="DV50" t="s">
        <v>84</v>
      </c>
      <c r="DW50" t="s">
        <v>84</v>
      </c>
      <c r="DX50">
        <v>1000</v>
      </c>
      <c r="DZ50" t="s">
        <v>3</v>
      </c>
      <c r="EA50" t="s">
        <v>3</v>
      </c>
      <c r="EB50" t="s">
        <v>3</v>
      </c>
      <c r="EC50" t="s">
        <v>3</v>
      </c>
      <c r="EE50">
        <v>29578057</v>
      </c>
      <c r="EF50">
        <v>2</v>
      </c>
      <c r="EG50" t="s">
        <v>33</v>
      </c>
      <c r="EH50">
        <v>21</v>
      </c>
      <c r="EI50" t="s">
        <v>51</v>
      </c>
      <c r="EJ50">
        <v>1</v>
      </c>
      <c r="EK50">
        <v>27001</v>
      </c>
      <c r="EL50" t="s">
        <v>51</v>
      </c>
      <c r="EM50" t="s">
        <v>52</v>
      </c>
      <c r="EO50" t="s">
        <v>37</v>
      </c>
      <c r="EQ50">
        <v>512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FQ50">
        <v>0</v>
      </c>
      <c r="FR50">
        <f t="shared" si="22"/>
        <v>0</v>
      </c>
      <c r="FS50">
        <v>0</v>
      </c>
      <c r="FX50">
        <v>126</v>
      </c>
      <c r="FY50">
        <v>95</v>
      </c>
      <c r="GA50" t="s">
        <v>3</v>
      </c>
      <c r="GD50">
        <v>1</v>
      </c>
      <c r="GF50">
        <v>1670663622</v>
      </c>
      <c r="GG50">
        <v>2</v>
      </c>
      <c r="GH50">
        <v>1</v>
      </c>
      <c r="GI50">
        <v>4</v>
      </c>
      <c r="GJ50">
        <v>0</v>
      </c>
      <c r="GK50">
        <v>0</v>
      </c>
      <c r="GL50">
        <f t="shared" si="23"/>
        <v>0</v>
      </c>
      <c r="GM50">
        <f t="shared" si="52"/>
        <v>0</v>
      </c>
      <c r="GN50">
        <f t="shared" si="53"/>
        <v>0</v>
      </c>
      <c r="GO50">
        <f t="shared" si="54"/>
        <v>0</v>
      </c>
      <c r="GP50">
        <f t="shared" si="55"/>
        <v>0</v>
      </c>
      <c r="GR50">
        <v>0</v>
      </c>
      <c r="GS50">
        <v>3</v>
      </c>
      <c r="GT50">
        <v>0</v>
      </c>
      <c r="GU50" t="s">
        <v>3</v>
      </c>
      <c r="GV50">
        <f t="shared" si="56"/>
        <v>0</v>
      </c>
      <c r="GW50">
        <v>1</v>
      </c>
      <c r="GX50">
        <f t="shared" si="57"/>
        <v>0</v>
      </c>
      <c r="HA50">
        <v>0</v>
      </c>
      <c r="HB50">
        <v>0</v>
      </c>
      <c r="HC50">
        <f t="shared" si="58"/>
        <v>0</v>
      </c>
      <c r="HE50" t="s">
        <v>3</v>
      </c>
      <c r="HF50" t="s">
        <v>3</v>
      </c>
      <c r="HI50">
        <f t="shared" si="24"/>
        <v>0</v>
      </c>
      <c r="HJ50">
        <f t="shared" si="25"/>
        <v>0</v>
      </c>
      <c r="HK50">
        <f t="shared" si="59"/>
        <v>0</v>
      </c>
      <c r="HL50">
        <f t="shared" si="60"/>
        <v>0</v>
      </c>
      <c r="HM50" t="s">
        <v>99</v>
      </c>
      <c r="HN50" t="s">
        <v>3</v>
      </c>
      <c r="HO50" t="s">
        <v>3</v>
      </c>
      <c r="HP50" t="s">
        <v>3</v>
      </c>
      <c r="HQ50" t="s">
        <v>3</v>
      </c>
      <c r="IK50">
        <v>0</v>
      </c>
    </row>
    <row r="51" spans="1:245" x14ac:dyDescent="0.2">
      <c r="A51">
        <v>17</v>
      </c>
      <c r="B51">
        <v>1</v>
      </c>
      <c r="E51" t="s">
        <v>116</v>
      </c>
      <c r="F51" t="s">
        <v>117</v>
      </c>
      <c r="G51" t="s">
        <v>118</v>
      </c>
      <c r="H51" t="s">
        <v>84</v>
      </c>
      <c r="I51">
        <f>ROUND(ROUND(0.05,4),7)</f>
        <v>0.05</v>
      </c>
      <c r="J51">
        <v>0</v>
      </c>
      <c r="K51">
        <f>ROUND(ROUND(0.05,4),7)</f>
        <v>0.05</v>
      </c>
      <c r="O51">
        <f t="shared" si="26"/>
        <v>134.85</v>
      </c>
      <c r="P51">
        <f t="shared" si="27"/>
        <v>134.85</v>
      </c>
      <c r="Q51">
        <f t="shared" si="28"/>
        <v>0</v>
      </c>
      <c r="R51">
        <f t="shared" si="29"/>
        <v>0</v>
      </c>
      <c r="S51">
        <f t="shared" si="30"/>
        <v>0</v>
      </c>
      <c r="T51">
        <f t="shared" si="31"/>
        <v>0</v>
      </c>
      <c r="U51">
        <f t="shared" si="32"/>
        <v>0</v>
      </c>
      <c r="V51">
        <f t="shared" si="33"/>
        <v>0</v>
      </c>
      <c r="W51">
        <f t="shared" si="34"/>
        <v>0</v>
      </c>
      <c r="X51">
        <f t="shared" si="35"/>
        <v>0</v>
      </c>
      <c r="Y51">
        <f t="shared" si="36"/>
        <v>0</v>
      </c>
      <c r="AA51">
        <v>29836452</v>
      </c>
      <c r="AB51">
        <f t="shared" si="37"/>
        <v>2697</v>
      </c>
      <c r="AC51">
        <f t="shared" si="63"/>
        <v>2697</v>
      </c>
      <c r="AD51">
        <f>ROUND((((ET51)-(EU51))+AE51),0)</f>
        <v>0</v>
      </c>
      <c r="AE51">
        <f t="shared" si="64"/>
        <v>0</v>
      </c>
      <c r="AF51">
        <f t="shared" si="64"/>
        <v>0</v>
      </c>
      <c r="AG51">
        <f t="shared" si="39"/>
        <v>0</v>
      </c>
      <c r="AH51">
        <f t="shared" si="65"/>
        <v>0</v>
      </c>
      <c r="AI51">
        <f t="shared" si="65"/>
        <v>0</v>
      </c>
      <c r="AJ51">
        <f t="shared" si="40"/>
        <v>0</v>
      </c>
      <c r="AK51">
        <v>2696.76</v>
      </c>
      <c r="AL51">
        <v>2696.76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1</v>
      </c>
      <c r="AW51">
        <v>1</v>
      </c>
      <c r="AZ51">
        <v>1</v>
      </c>
      <c r="BA51">
        <v>1</v>
      </c>
      <c r="BB51">
        <v>1</v>
      </c>
      <c r="BC51">
        <v>1</v>
      </c>
      <c r="BD51" t="s">
        <v>3</v>
      </c>
      <c r="BE51" t="s">
        <v>3</v>
      </c>
      <c r="BF51" t="s">
        <v>3</v>
      </c>
      <c r="BG51" t="s">
        <v>3</v>
      </c>
      <c r="BH51">
        <v>3</v>
      </c>
      <c r="BI51">
        <v>1</v>
      </c>
      <c r="BJ51" t="s">
        <v>119</v>
      </c>
      <c r="BM51">
        <v>500001</v>
      </c>
      <c r="BN51">
        <v>0</v>
      </c>
      <c r="BO51" t="s">
        <v>29</v>
      </c>
      <c r="BP51">
        <v>1</v>
      </c>
      <c r="BQ51">
        <v>8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3</v>
      </c>
      <c r="BZ51">
        <v>0</v>
      </c>
      <c r="CA51">
        <v>0</v>
      </c>
      <c r="CB51" t="s">
        <v>3</v>
      </c>
      <c r="CE51">
        <v>0</v>
      </c>
      <c r="CF51">
        <v>0</v>
      </c>
      <c r="CG51">
        <v>0</v>
      </c>
      <c r="CM51">
        <v>0</v>
      </c>
      <c r="CN51" t="s">
        <v>3</v>
      </c>
      <c r="CO51">
        <v>0</v>
      </c>
      <c r="CP51">
        <f t="shared" si="41"/>
        <v>134.85</v>
      </c>
      <c r="CQ51">
        <f t="shared" si="42"/>
        <v>2697</v>
      </c>
      <c r="CR51">
        <f t="shared" si="43"/>
        <v>0</v>
      </c>
      <c r="CS51">
        <f t="shared" si="44"/>
        <v>0</v>
      </c>
      <c r="CT51">
        <f t="shared" si="45"/>
        <v>0</v>
      </c>
      <c r="CU51">
        <f t="shared" si="46"/>
        <v>0</v>
      </c>
      <c r="CV51">
        <f t="shared" si="47"/>
        <v>0</v>
      </c>
      <c r="CW51">
        <f t="shared" si="48"/>
        <v>0</v>
      </c>
      <c r="CX51">
        <f t="shared" si="49"/>
        <v>0</v>
      </c>
      <c r="CY51">
        <f t="shared" si="50"/>
        <v>0</v>
      </c>
      <c r="CZ51">
        <f t="shared" si="51"/>
        <v>0</v>
      </c>
      <c r="DC51" t="s">
        <v>3</v>
      </c>
      <c r="DD51" t="s">
        <v>3</v>
      </c>
      <c r="DE51" t="s">
        <v>3</v>
      </c>
      <c r="DF51" t="s">
        <v>3</v>
      </c>
      <c r="DG51" t="s">
        <v>3</v>
      </c>
      <c r="DH51" t="s">
        <v>3</v>
      </c>
      <c r="DI51" t="s">
        <v>3</v>
      </c>
      <c r="DJ51" t="s">
        <v>3</v>
      </c>
      <c r="DK51" t="s">
        <v>3</v>
      </c>
      <c r="DL51" t="s">
        <v>3</v>
      </c>
      <c r="DM51" t="s">
        <v>3</v>
      </c>
      <c r="DN51">
        <v>0</v>
      </c>
      <c r="DO51">
        <v>0</v>
      </c>
      <c r="DP51">
        <v>1</v>
      </c>
      <c r="DQ51">
        <v>1</v>
      </c>
      <c r="DU51">
        <v>1009</v>
      </c>
      <c r="DV51" t="s">
        <v>84</v>
      </c>
      <c r="DW51" t="s">
        <v>84</v>
      </c>
      <c r="DX51">
        <v>1000</v>
      </c>
      <c r="DZ51" t="s">
        <v>3</v>
      </c>
      <c r="EA51" t="s">
        <v>3</v>
      </c>
      <c r="EB51" t="s">
        <v>3</v>
      </c>
      <c r="EC51" t="s">
        <v>3</v>
      </c>
      <c r="EE51">
        <v>29577929</v>
      </c>
      <c r="EF51">
        <v>8</v>
      </c>
      <c r="EG51" t="s">
        <v>58</v>
      </c>
      <c r="EH51">
        <v>0</v>
      </c>
      <c r="EI51" t="s">
        <v>3</v>
      </c>
      <c r="EJ51">
        <v>1</v>
      </c>
      <c r="EK51">
        <v>500001</v>
      </c>
      <c r="EL51" t="s">
        <v>59</v>
      </c>
      <c r="EM51" t="s">
        <v>60</v>
      </c>
      <c r="EO51" t="s">
        <v>3</v>
      </c>
      <c r="EQ51">
        <v>0</v>
      </c>
      <c r="ER51">
        <v>2696.76</v>
      </c>
      <c r="ES51">
        <v>2696.76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FQ51">
        <v>0</v>
      </c>
      <c r="FR51">
        <f t="shared" si="22"/>
        <v>0</v>
      </c>
      <c r="FS51">
        <v>0</v>
      </c>
      <c r="FX51">
        <v>0</v>
      </c>
      <c r="FY51">
        <v>0</v>
      </c>
      <c r="GA51" t="s">
        <v>3</v>
      </c>
      <c r="GD51">
        <v>1</v>
      </c>
      <c r="GF51">
        <v>-521417318</v>
      </c>
      <c r="GG51">
        <v>2</v>
      </c>
      <c r="GH51">
        <v>1</v>
      </c>
      <c r="GI51">
        <v>4</v>
      </c>
      <c r="GJ51">
        <v>0</v>
      </c>
      <c r="GK51">
        <v>0</v>
      </c>
      <c r="GL51">
        <f t="shared" si="23"/>
        <v>0</v>
      </c>
      <c r="GM51">
        <f t="shared" si="52"/>
        <v>134.85</v>
      </c>
      <c r="GN51">
        <f t="shared" si="53"/>
        <v>134.85</v>
      </c>
      <c r="GO51">
        <f t="shared" si="54"/>
        <v>0</v>
      </c>
      <c r="GP51">
        <f t="shared" si="55"/>
        <v>0</v>
      </c>
      <c r="GR51">
        <v>0</v>
      </c>
      <c r="GS51">
        <v>3</v>
      </c>
      <c r="GT51">
        <v>0</v>
      </c>
      <c r="GU51" t="s">
        <v>3</v>
      </c>
      <c r="GV51">
        <f t="shared" si="56"/>
        <v>0</v>
      </c>
      <c r="GW51">
        <v>1</v>
      </c>
      <c r="GX51">
        <f t="shared" si="57"/>
        <v>0</v>
      </c>
      <c r="HA51">
        <v>0</v>
      </c>
      <c r="HB51">
        <v>0</v>
      </c>
      <c r="HC51">
        <f t="shared" si="58"/>
        <v>0</v>
      </c>
      <c r="HE51" t="s">
        <v>3</v>
      </c>
      <c r="HF51" t="s">
        <v>3</v>
      </c>
      <c r="HI51">
        <f t="shared" si="24"/>
        <v>0</v>
      </c>
      <c r="HJ51">
        <f t="shared" si="25"/>
        <v>0</v>
      </c>
      <c r="HK51">
        <f t="shared" si="59"/>
        <v>0</v>
      </c>
      <c r="HL51">
        <f t="shared" si="60"/>
        <v>0</v>
      </c>
      <c r="HM51" t="s">
        <v>3</v>
      </c>
      <c r="HN51" t="s">
        <v>3</v>
      </c>
      <c r="HO51" t="s">
        <v>3</v>
      </c>
      <c r="HP51" t="s">
        <v>3</v>
      </c>
      <c r="HQ51" t="s">
        <v>3</v>
      </c>
      <c r="IK51">
        <v>0</v>
      </c>
    </row>
    <row r="52" spans="1:245" x14ac:dyDescent="0.2">
      <c r="A52">
        <v>17</v>
      </c>
      <c r="B52">
        <v>1</v>
      </c>
      <c r="E52" t="s">
        <v>120</v>
      </c>
      <c r="F52" t="s">
        <v>121</v>
      </c>
      <c r="G52" t="s">
        <v>122</v>
      </c>
      <c r="H52" t="s">
        <v>84</v>
      </c>
      <c r="I52">
        <f>ROUND(ROUND(444.8,4),7)</f>
        <v>444.8</v>
      </c>
      <c r="J52">
        <v>0</v>
      </c>
      <c r="K52">
        <f>ROUND(ROUND(444.8,4),7)</f>
        <v>444.8</v>
      </c>
      <c r="O52">
        <f t="shared" si="26"/>
        <v>258873.60000000001</v>
      </c>
      <c r="P52">
        <f t="shared" si="27"/>
        <v>258873.60000000001</v>
      </c>
      <c r="Q52">
        <f t="shared" si="28"/>
        <v>0</v>
      </c>
      <c r="R52">
        <f t="shared" si="29"/>
        <v>0</v>
      </c>
      <c r="S52">
        <f t="shared" si="30"/>
        <v>0</v>
      </c>
      <c r="T52">
        <f t="shared" si="31"/>
        <v>0</v>
      </c>
      <c r="U52">
        <f t="shared" si="32"/>
        <v>0</v>
      </c>
      <c r="V52">
        <f t="shared" si="33"/>
        <v>0</v>
      </c>
      <c r="W52">
        <f t="shared" si="34"/>
        <v>0</v>
      </c>
      <c r="X52">
        <f t="shared" si="35"/>
        <v>0</v>
      </c>
      <c r="Y52">
        <f t="shared" si="36"/>
        <v>0</v>
      </c>
      <c r="AA52">
        <v>29836452</v>
      </c>
      <c r="AB52">
        <f t="shared" si="37"/>
        <v>582</v>
      </c>
      <c r="AC52">
        <f t="shared" si="63"/>
        <v>582</v>
      </c>
      <c r="AD52">
        <f>ROUND((((ET52)-(EU52))+AE52),0)</f>
        <v>0</v>
      </c>
      <c r="AE52">
        <f t="shared" si="64"/>
        <v>0</v>
      </c>
      <c r="AF52">
        <f t="shared" si="64"/>
        <v>0</v>
      </c>
      <c r="AG52">
        <f t="shared" si="39"/>
        <v>0</v>
      </c>
      <c r="AH52">
        <f t="shared" si="65"/>
        <v>0</v>
      </c>
      <c r="AI52">
        <f t="shared" si="65"/>
        <v>0</v>
      </c>
      <c r="AJ52">
        <f t="shared" si="40"/>
        <v>0</v>
      </c>
      <c r="AK52">
        <v>581.92999999999995</v>
      </c>
      <c r="AL52">
        <v>581.92999999999995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1</v>
      </c>
      <c r="AW52">
        <v>1</v>
      </c>
      <c r="AZ52">
        <v>1</v>
      </c>
      <c r="BA52">
        <v>1</v>
      </c>
      <c r="BB52">
        <v>1</v>
      </c>
      <c r="BC52">
        <v>1</v>
      </c>
      <c r="BD52" t="s">
        <v>3</v>
      </c>
      <c r="BE52" t="s">
        <v>3</v>
      </c>
      <c r="BF52" t="s">
        <v>3</v>
      </c>
      <c r="BG52" t="s">
        <v>3</v>
      </c>
      <c r="BH52">
        <v>3</v>
      </c>
      <c r="BI52">
        <v>1</v>
      </c>
      <c r="BJ52" t="s">
        <v>123</v>
      </c>
      <c r="BM52">
        <v>500001</v>
      </c>
      <c r="BN52">
        <v>0</v>
      </c>
      <c r="BO52" t="s">
        <v>29</v>
      </c>
      <c r="BP52">
        <v>1</v>
      </c>
      <c r="BQ52">
        <v>8</v>
      </c>
      <c r="BR52">
        <v>0</v>
      </c>
      <c r="BS52">
        <v>1</v>
      </c>
      <c r="BT52">
        <v>1</v>
      </c>
      <c r="BU52">
        <v>1</v>
      </c>
      <c r="BV52">
        <v>1</v>
      </c>
      <c r="BW52">
        <v>1</v>
      </c>
      <c r="BX52">
        <v>1</v>
      </c>
      <c r="BY52" t="s">
        <v>3</v>
      </c>
      <c r="BZ52">
        <v>0</v>
      </c>
      <c r="CA52">
        <v>0</v>
      </c>
      <c r="CB52" t="s">
        <v>3</v>
      </c>
      <c r="CE52">
        <v>0</v>
      </c>
      <c r="CF52">
        <v>0</v>
      </c>
      <c r="CG52">
        <v>0</v>
      </c>
      <c r="CM52">
        <v>0</v>
      </c>
      <c r="CN52" t="s">
        <v>3</v>
      </c>
      <c r="CO52">
        <v>0</v>
      </c>
      <c r="CP52">
        <f t="shared" si="41"/>
        <v>258873.60000000001</v>
      </c>
      <c r="CQ52">
        <f t="shared" si="42"/>
        <v>582</v>
      </c>
      <c r="CR52">
        <f t="shared" si="43"/>
        <v>0</v>
      </c>
      <c r="CS52">
        <f t="shared" si="44"/>
        <v>0</v>
      </c>
      <c r="CT52">
        <f t="shared" si="45"/>
        <v>0</v>
      </c>
      <c r="CU52">
        <f t="shared" si="46"/>
        <v>0</v>
      </c>
      <c r="CV52">
        <f t="shared" si="47"/>
        <v>0</v>
      </c>
      <c r="CW52">
        <f t="shared" si="48"/>
        <v>0</v>
      </c>
      <c r="CX52">
        <f t="shared" si="49"/>
        <v>0</v>
      </c>
      <c r="CY52">
        <f t="shared" si="50"/>
        <v>0</v>
      </c>
      <c r="CZ52">
        <f t="shared" si="51"/>
        <v>0</v>
      </c>
      <c r="DC52" t="s">
        <v>3</v>
      </c>
      <c r="DD52" t="s">
        <v>3</v>
      </c>
      <c r="DE52" t="s">
        <v>3</v>
      </c>
      <c r="DF52" t="s">
        <v>3</v>
      </c>
      <c r="DG52" t="s">
        <v>3</v>
      </c>
      <c r="DH52" t="s">
        <v>3</v>
      </c>
      <c r="DI52" t="s">
        <v>3</v>
      </c>
      <c r="DJ52" t="s">
        <v>3</v>
      </c>
      <c r="DK52" t="s">
        <v>3</v>
      </c>
      <c r="DL52" t="s">
        <v>3</v>
      </c>
      <c r="DM52" t="s">
        <v>3</v>
      </c>
      <c r="DN52">
        <v>0</v>
      </c>
      <c r="DO52">
        <v>0</v>
      </c>
      <c r="DP52">
        <v>1</v>
      </c>
      <c r="DQ52">
        <v>1</v>
      </c>
      <c r="DU52">
        <v>1009</v>
      </c>
      <c r="DV52" t="s">
        <v>84</v>
      </c>
      <c r="DW52" t="s">
        <v>84</v>
      </c>
      <c r="DX52">
        <v>1000</v>
      </c>
      <c r="DZ52" t="s">
        <v>3</v>
      </c>
      <c r="EA52" t="s">
        <v>3</v>
      </c>
      <c r="EB52" t="s">
        <v>3</v>
      </c>
      <c r="EC52" t="s">
        <v>3</v>
      </c>
      <c r="EE52">
        <v>29577929</v>
      </c>
      <c r="EF52">
        <v>8</v>
      </c>
      <c r="EG52" t="s">
        <v>58</v>
      </c>
      <c r="EH52">
        <v>0</v>
      </c>
      <c r="EI52" t="s">
        <v>3</v>
      </c>
      <c r="EJ52">
        <v>1</v>
      </c>
      <c r="EK52">
        <v>500001</v>
      </c>
      <c r="EL52" t="s">
        <v>59</v>
      </c>
      <c r="EM52" t="s">
        <v>60</v>
      </c>
      <c r="EO52" t="s">
        <v>3</v>
      </c>
      <c r="EQ52">
        <v>0</v>
      </c>
      <c r="ER52">
        <v>581.92999999999995</v>
      </c>
      <c r="ES52">
        <v>581.92999999999995</v>
      </c>
      <c r="ET52">
        <v>0</v>
      </c>
      <c r="EU52">
        <v>0</v>
      </c>
      <c r="EV52">
        <v>0</v>
      </c>
      <c r="EW52">
        <v>0</v>
      </c>
      <c r="EX52">
        <v>0</v>
      </c>
      <c r="EY52">
        <v>0</v>
      </c>
      <c r="FQ52">
        <v>0</v>
      </c>
      <c r="FR52">
        <f t="shared" si="22"/>
        <v>0</v>
      </c>
      <c r="FS52">
        <v>0</v>
      </c>
      <c r="FX52">
        <v>0</v>
      </c>
      <c r="FY52">
        <v>0</v>
      </c>
      <c r="GA52" t="s">
        <v>3</v>
      </c>
      <c r="GD52">
        <v>1</v>
      </c>
      <c r="GF52">
        <v>-908390262</v>
      </c>
      <c r="GG52">
        <v>2</v>
      </c>
      <c r="GH52">
        <v>1</v>
      </c>
      <c r="GI52">
        <v>4</v>
      </c>
      <c r="GJ52">
        <v>0</v>
      </c>
      <c r="GK52">
        <v>0</v>
      </c>
      <c r="GL52">
        <f t="shared" si="23"/>
        <v>0</v>
      </c>
      <c r="GM52">
        <f t="shared" si="52"/>
        <v>258873.60000000001</v>
      </c>
      <c r="GN52">
        <f t="shared" si="53"/>
        <v>258873.60000000001</v>
      </c>
      <c r="GO52">
        <f t="shared" si="54"/>
        <v>0</v>
      </c>
      <c r="GP52">
        <f t="shared" si="55"/>
        <v>0</v>
      </c>
      <c r="GR52">
        <v>0</v>
      </c>
      <c r="GS52">
        <v>3</v>
      </c>
      <c r="GT52">
        <v>0</v>
      </c>
      <c r="GU52" t="s">
        <v>3</v>
      </c>
      <c r="GV52">
        <f t="shared" si="56"/>
        <v>0</v>
      </c>
      <c r="GW52">
        <v>1</v>
      </c>
      <c r="GX52">
        <f t="shared" si="57"/>
        <v>0</v>
      </c>
      <c r="HA52">
        <v>0</v>
      </c>
      <c r="HB52">
        <v>0</v>
      </c>
      <c r="HC52">
        <f t="shared" si="58"/>
        <v>0</v>
      </c>
      <c r="HE52" t="s">
        <v>3</v>
      </c>
      <c r="HF52" t="s">
        <v>3</v>
      </c>
      <c r="HI52">
        <f t="shared" si="24"/>
        <v>0</v>
      </c>
      <c r="HJ52">
        <f t="shared" si="25"/>
        <v>0</v>
      </c>
      <c r="HK52">
        <f t="shared" si="59"/>
        <v>0</v>
      </c>
      <c r="HL52">
        <f t="shared" si="60"/>
        <v>0</v>
      </c>
      <c r="HM52" t="s">
        <v>3</v>
      </c>
      <c r="HN52" t="s">
        <v>3</v>
      </c>
      <c r="HO52" t="s">
        <v>3</v>
      </c>
      <c r="HP52" t="s">
        <v>3</v>
      </c>
      <c r="HQ52" t="s">
        <v>3</v>
      </c>
      <c r="IK52">
        <v>0</v>
      </c>
    </row>
    <row r="53" spans="1:245" x14ac:dyDescent="0.2">
      <c r="A53">
        <v>17</v>
      </c>
      <c r="B53">
        <v>1</v>
      </c>
      <c r="C53">
        <f>ROW(SmtRes!A69)</f>
        <v>69</v>
      </c>
      <c r="D53">
        <f>ROW(EtalonRes!A71)</f>
        <v>71</v>
      </c>
      <c r="E53" t="s">
        <v>124</v>
      </c>
      <c r="F53" t="s">
        <v>125</v>
      </c>
      <c r="G53" t="s">
        <v>126</v>
      </c>
      <c r="H53" t="s">
        <v>127</v>
      </c>
      <c r="I53">
        <f>ROUND(ROUND(18/100,4),7)</f>
        <v>0.18</v>
      </c>
      <c r="J53">
        <v>0</v>
      </c>
      <c r="K53">
        <f>ROUND(ROUND(18/100,4),7)</f>
        <v>0.18</v>
      </c>
      <c r="O53">
        <f t="shared" si="26"/>
        <v>903.6</v>
      </c>
      <c r="P53">
        <f t="shared" si="27"/>
        <v>766.44</v>
      </c>
      <c r="Q53">
        <f t="shared" si="28"/>
        <v>18.18</v>
      </c>
      <c r="R53">
        <f t="shared" si="29"/>
        <v>1.98</v>
      </c>
      <c r="S53">
        <f t="shared" si="30"/>
        <v>118.98</v>
      </c>
      <c r="T53">
        <f t="shared" si="31"/>
        <v>0</v>
      </c>
      <c r="U53">
        <f t="shared" si="32"/>
        <v>15.748559999999998</v>
      </c>
      <c r="V53">
        <f t="shared" si="33"/>
        <v>0</v>
      </c>
      <c r="W53">
        <f t="shared" si="34"/>
        <v>0</v>
      </c>
      <c r="X53">
        <f t="shared" si="35"/>
        <v>152.41</v>
      </c>
      <c r="Y53">
        <f t="shared" si="36"/>
        <v>114.91</v>
      </c>
      <c r="AA53">
        <v>29836452</v>
      </c>
      <c r="AB53">
        <f t="shared" si="37"/>
        <v>5020</v>
      </c>
      <c r="AC53">
        <f t="shared" si="63"/>
        <v>4258</v>
      </c>
      <c r="AD53">
        <f>ROUND(((((ET53*ROUND(1.25,7)))-((EU53*ROUND(1.25,7))))+AE53),0)</f>
        <v>101</v>
      </c>
      <c r="AE53">
        <f>ROUND(((EU53*ROUND(1.25,7))),0)</f>
        <v>11</v>
      </c>
      <c r="AF53">
        <f>ROUND(((EV53*ROUND(1.15,7))),0)</f>
        <v>661</v>
      </c>
      <c r="AG53">
        <f t="shared" si="39"/>
        <v>0</v>
      </c>
      <c r="AH53">
        <f>((EW53*ROUND(1.15,7)))</f>
        <v>87.49199999999999</v>
      </c>
      <c r="AI53">
        <f>((EX53*ROUND(1.25,7)))</f>
        <v>0</v>
      </c>
      <c r="AJ53">
        <f t="shared" si="40"/>
        <v>0</v>
      </c>
      <c r="AK53">
        <v>4912.6400000000003</v>
      </c>
      <c r="AL53">
        <v>4258.09</v>
      </c>
      <c r="AM53">
        <v>80.150000000000006</v>
      </c>
      <c r="AN53">
        <v>8.4600000000000009</v>
      </c>
      <c r="AO53">
        <v>574.4</v>
      </c>
      <c r="AP53">
        <v>0</v>
      </c>
      <c r="AQ53">
        <v>76.08</v>
      </c>
      <c r="AR53">
        <v>0</v>
      </c>
      <c r="AS53">
        <v>0</v>
      </c>
      <c r="AT53">
        <v>126</v>
      </c>
      <c r="AU53">
        <v>95</v>
      </c>
      <c r="AV53">
        <v>1</v>
      </c>
      <c r="AW53">
        <v>1</v>
      </c>
      <c r="AZ53">
        <v>1</v>
      </c>
      <c r="BA53">
        <v>35.86</v>
      </c>
      <c r="BB53">
        <v>1</v>
      </c>
      <c r="BC53">
        <v>1</v>
      </c>
      <c r="BD53" t="s">
        <v>3</v>
      </c>
      <c r="BE53" t="s">
        <v>3</v>
      </c>
      <c r="BF53" t="s">
        <v>3</v>
      </c>
      <c r="BG53" t="s">
        <v>3</v>
      </c>
      <c r="BH53">
        <v>0</v>
      </c>
      <c r="BI53">
        <v>1</v>
      </c>
      <c r="BJ53" t="s">
        <v>128</v>
      </c>
      <c r="BM53">
        <v>27001</v>
      </c>
      <c r="BN53">
        <v>0</v>
      </c>
      <c r="BO53" t="s">
        <v>29</v>
      </c>
      <c r="BP53">
        <v>1</v>
      </c>
      <c r="BQ53">
        <v>2</v>
      </c>
      <c r="BR53">
        <v>0</v>
      </c>
      <c r="BS53">
        <v>35.86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3</v>
      </c>
      <c r="BZ53">
        <v>126</v>
      </c>
      <c r="CA53">
        <v>95</v>
      </c>
      <c r="CB53" t="s">
        <v>3</v>
      </c>
      <c r="CE53">
        <v>0</v>
      </c>
      <c r="CF53">
        <v>0</v>
      </c>
      <c r="CG53">
        <v>0</v>
      </c>
      <c r="CM53">
        <v>0</v>
      </c>
      <c r="CN53" t="s">
        <v>30</v>
      </c>
      <c r="CO53">
        <v>0</v>
      </c>
      <c r="CP53">
        <f t="shared" si="41"/>
        <v>903.6</v>
      </c>
      <c r="CQ53">
        <f t="shared" si="42"/>
        <v>4258</v>
      </c>
      <c r="CR53">
        <f t="shared" si="43"/>
        <v>101</v>
      </c>
      <c r="CS53">
        <f t="shared" si="44"/>
        <v>11</v>
      </c>
      <c r="CT53">
        <f t="shared" si="45"/>
        <v>661</v>
      </c>
      <c r="CU53">
        <f t="shared" si="46"/>
        <v>0</v>
      </c>
      <c r="CV53">
        <f t="shared" si="47"/>
        <v>87.49199999999999</v>
      </c>
      <c r="CW53">
        <f t="shared" si="48"/>
        <v>0</v>
      </c>
      <c r="CX53">
        <f t="shared" si="49"/>
        <v>0</v>
      </c>
      <c r="CY53">
        <f t="shared" si="50"/>
        <v>152.40960000000001</v>
      </c>
      <c r="CZ53">
        <f t="shared" si="51"/>
        <v>114.91200000000001</v>
      </c>
      <c r="DC53" t="s">
        <v>3</v>
      </c>
      <c r="DD53" t="s">
        <v>3</v>
      </c>
      <c r="DE53" t="s">
        <v>31</v>
      </c>
      <c r="DF53" t="s">
        <v>31</v>
      </c>
      <c r="DG53" t="s">
        <v>32</v>
      </c>
      <c r="DH53" t="s">
        <v>3</v>
      </c>
      <c r="DI53" t="s">
        <v>32</v>
      </c>
      <c r="DJ53" t="s">
        <v>31</v>
      </c>
      <c r="DK53" t="s">
        <v>3</v>
      </c>
      <c r="DL53" t="s">
        <v>3</v>
      </c>
      <c r="DM53" t="s">
        <v>3</v>
      </c>
      <c r="DN53">
        <v>0</v>
      </c>
      <c r="DO53">
        <v>0</v>
      </c>
      <c r="DP53">
        <v>1</v>
      </c>
      <c r="DQ53">
        <v>1</v>
      </c>
      <c r="DU53">
        <v>1003</v>
      </c>
      <c r="DV53" t="s">
        <v>127</v>
      </c>
      <c r="DW53" t="s">
        <v>127</v>
      </c>
      <c r="DX53">
        <v>100</v>
      </c>
      <c r="DZ53" t="s">
        <v>3</v>
      </c>
      <c r="EA53" t="s">
        <v>3</v>
      </c>
      <c r="EB53" t="s">
        <v>3</v>
      </c>
      <c r="EC53" t="s">
        <v>3</v>
      </c>
      <c r="EE53">
        <v>29578057</v>
      </c>
      <c r="EF53">
        <v>2</v>
      </c>
      <c r="EG53" t="s">
        <v>33</v>
      </c>
      <c r="EH53">
        <v>21</v>
      </c>
      <c r="EI53" t="s">
        <v>51</v>
      </c>
      <c r="EJ53">
        <v>1</v>
      </c>
      <c r="EK53">
        <v>27001</v>
      </c>
      <c r="EL53" t="s">
        <v>51</v>
      </c>
      <c r="EM53" t="s">
        <v>52</v>
      </c>
      <c r="EO53" t="s">
        <v>37</v>
      </c>
      <c r="EQ53">
        <v>512</v>
      </c>
      <c r="ER53">
        <v>4912.6400000000003</v>
      </c>
      <c r="ES53">
        <v>4258.09</v>
      </c>
      <c r="ET53">
        <v>80.150000000000006</v>
      </c>
      <c r="EU53">
        <v>8.4600000000000009</v>
      </c>
      <c r="EV53">
        <v>574.4</v>
      </c>
      <c r="EW53">
        <v>76.08</v>
      </c>
      <c r="EX53">
        <v>0</v>
      </c>
      <c r="EY53">
        <v>0</v>
      </c>
      <c r="FQ53">
        <v>0</v>
      </c>
      <c r="FR53">
        <f t="shared" si="22"/>
        <v>0</v>
      </c>
      <c r="FS53">
        <v>0</v>
      </c>
      <c r="FX53">
        <v>126</v>
      </c>
      <c r="FY53">
        <v>95</v>
      </c>
      <c r="GA53" t="s">
        <v>3</v>
      </c>
      <c r="GD53">
        <v>1</v>
      </c>
      <c r="GF53">
        <v>-1872542013</v>
      </c>
      <c r="GG53">
        <v>2</v>
      </c>
      <c r="GH53">
        <v>1</v>
      </c>
      <c r="GI53">
        <v>4</v>
      </c>
      <c r="GJ53">
        <v>0</v>
      </c>
      <c r="GK53">
        <v>0</v>
      </c>
      <c r="GL53">
        <f t="shared" si="23"/>
        <v>0</v>
      </c>
      <c r="GM53">
        <f t="shared" si="52"/>
        <v>1170.92</v>
      </c>
      <c r="GN53">
        <f t="shared" si="53"/>
        <v>1170.92</v>
      </c>
      <c r="GO53">
        <f t="shared" si="54"/>
        <v>0</v>
      </c>
      <c r="GP53">
        <f t="shared" si="55"/>
        <v>0</v>
      </c>
      <c r="GR53">
        <v>0</v>
      </c>
      <c r="GS53">
        <v>3</v>
      </c>
      <c r="GT53">
        <v>0</v>
      </c>
      <c r="GU53" t="s">
        <v>3</v>
      </c>
      <c r="GV53">
        <f t="shared" si="56"/>
        <v>0</v>
      </c>
      <c r="GW53">
        <v>1</v>
      </c>
      <c r="GX53">
        <f t="shared" si="57"/>
        <v>0</v>
      </c>
      <c r="HA53">
        <v>0</v>
      </c>
      <c r="HB53">
        <v>0</v>
      </c>
      <c r="HC53">
        <f t="shared" si="58"/>
        <v>0</v>
      </c>
      <c r="HE53" t="s">
        <v>3</v>
      </c>
      <c r="HF53" t="s">
        <v>3</v>
      </c>
      <c r="HI53">
        <f t="shared" si="24"/>
        <v>71</v>
      </c>
      <c r="HJ53">
        <f t="shared" si="25"/>
        <v>4266.62</v>
      </c>
      <c r="HK53">
        <f t="shared" si="59"/>
        <v>5465.4</v>
      </c>
      <c r="HL53">
        <f t="shared" si="60"/>
        <v>4120.74</v>
      </c>
      <c r="HM53" t="s">
        <v>3</v>
      </c>
      <c r="HN53" t="s">
        <v>3</v>
      </c>
      <c r="HO53" t="s">
        <v>3</v>
      </c>
      <c r="HP53" t="s">
        <v>3</v>
      </c>
      <c r="HQ53" t="s">
        <v>3</v>
      </c>
      <c r="IK53">
        <v>0</v>
      </c>
    </row>
    <row r="54" spans="1:245" x14ac:dyDescent="0.2">
      <c r="A54">
        <v>17</v>
      </c>
      <c r="B54">
        <v>1</v>
      </c>
      <c r="E54" t="s">
        <v>129</v>
      </c>
      <c r="F54" t="s">
        <v>130</v>
      </c>
      <c r="G54" t="s">
        <v>131</v>
      </c>
      <c r="H54" t="s">
        <v>132</v>
      </c>
      <c r="I54">
        <f>ROUND(ROUND(8,4),7)</f>
        <v>8</v>
      </c>
      <c r="J54">
        <v>0</v>
      </c>
      <c r="K54">
        <f>ROUND(ROUND(8,4),7)</f>
        <v>8</v>
      </c>
      <c r="O54">
        <f t="shared" si="26"/>
        <v>504</v>
      </c>
      <c r="P54">
        <f t="shared" si="27"/>
        <v>504</v>
      </c>
      <c r="Q54">
        <f t="shared" si="28"/>
        <v>0</v>
      </c>
      <c r="R54">
        <f t="shared" si="29"/>
        <v>0</v>
      </c>
      <c r="S54">
        <f t="shared" si="30"/>
        <v>0</v>
      </c>
      <c r="T54">
        <f t="shared" si="31"/>
        <v>0</v>
      </c>
      <c r="U54">
        <f t="shared" si="32"/>
        <v>0</v>
      </c>
      <c r="V54">
        <f t="shared" si="33"/>
        <v>0</v>
      </c>
      <c r="W54">
        <f t="shared" si="34"/>
        <v>0</v>
      </c>
      <c r="X54">
        <f t="shared" si="35"/>
        <v>0</v>
      </c>
      <c r="Y54">
        <f t="shared" si="36"/>
        <v>0</v>
      </c>
      <c r="AA54">
        <v>29836452</v>
      </c>
      <c r="AB54">
        <f t="shared" si="37"/>
        <v>63</v>
      </c>
      <c r="AC54">
        <f t="shared" si="63"/>
        <v>63</v>
      </c>
      <c r="AD54">
        <f>ROUND((((ET54)-(EU54))+AE54),0)</f>
        <v>0</v>
      </c>
      <c r="AE54">
        <f>ROUND((EU54),0)</f>
        <v>0</v>
      </c>
      <c r="AF54">
        <f>ROUND((EV54),0)</f>
        <v>0</v>
      </c>
      <c r="AG54">
        <f t="shared" si="39"/>
        <v>0</v>
      </c>
      <c r="AH54">
        <f>(EW54)</f>
        <v>0</v>
      </c>
      <c r="AI54">
        <f>(EX54)</f>
        <v>0</v>
      </c>
      <c r="AJ54">
        <f t="shared" si="40"/>
        <v>0</v>
      </c>
      <c r="AK54">
        <v>63.12</v>
      </c>
      <c r="AL54">
        <v>63.12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1</v>
      </c>
      <c r="AW54">
        <v>1</v>
      </c>
      <c r="AZ54">
        <v>1</v>
      </c>
      <c r="BA54">
        <v>1</v>
      </c>
      <c r="BB54">
        <v>1</v>
      </c>
      <c r="BC54">
        <v>1</v>
      </c>
      <c r="BD54" t="s">
        <v>3</v>
      </c>
      <c r="BE54" t="s">
        <v>3</v>
      </c>
      <c r="BF54" t="s">
        <v>3</v>
      </c>
      <c r="BG54" t="s">
        <v>3</v>
      </c>
      <c r="BH54">
        <v>3</v>
      </c>
      <c r="BI54">
        <v>1</v>
      </c>
      <c r="BJ54" t="s">
        <v>133</v>
      </c>
      <c r="BM54">
        <v>500001</v>
      </c>
      <c r="BN54">
        <v>0</v>
      </c>
      <c r="BO54" t="s">
        <v>29</v>
      </c>
      <c r="BP54">
        <v>1</v>
      </c>
      <c r="BQ54">
        <v>8</v>
      </c>
      <c r="BR54">
        <v>0</v>
      </c>
      <c r="BS54">
        <v>1</v>
      </c>
      <c r="BT54">
        <v>1</v>
      </c>
      <c r="BU54">
        <v>1</v>
      </c>
      <c r="BV54">
        <v>1</v>
      </c>
      <c r="BW54">
        <v>1</v>
      </c>
      <c r="BX54">
        <v>1</v>
      </c>
      <c r="BY54" t="s">
        <v>3</v>
      </c>
      <c r="BZ54">
        <v>0</v>
      </c>
      <c r="CA54">
        <v>0</v>
      </c>
      <c r="CB54" t="s">
        <v>3</v>
      </c>
      <c r="CE54">
        <v>0</v>
      </c>
      <c r="CF54">
        <v>0</v>
      </c>
      <c r="CG54">
        <v>0</v>
      </c>
      <c r="CM54">
        <v>0</v>
      </c>
      <c r="CN54" t="s">
        <v>3</v>
      </c>
      <c r="CO54">
        <v>0</v>
      </c>
      <c r="CP54">
        <f t="shared" si="41"/>
        <v>504</v>
      </c>
      <c r="CQ54">
        <f t="shared" si="42"/>
        <v>63</v>
      </c>
      <c r="CR54">
        <f t="shared" si="43"/>
        <v>0</v>
      </c>
      <c r="CS54">
        <f t="shared" si="44"/>
        <v>0</v>
      </c>
      <c r="CT54">
        <f t="shared" si="45"/>
        <v>0</v>
      </c>
      <c r="CU54">
        <f t="shared" si="46"/>
        <v>0</v>
      </c>
      <c r="CV54">
        <f t="shared" si="47"/>
        <v>0</v>
      </c>
      <c r="CW54">
        <f t="shared" si="48"/>
        <v>0</v>
      </c>
      <c r="CX54">
        <f t="shared" si="49"/>
        <v>0</v>
      </c>
      <c r="CY54">
        <f t="shared" si="50"/>
        <v>0</v>
      </c>
      <c r="CZ54">
        <f t="shared" si="51"/>
        <v>0</v>
      </c>
      <c r="DC54" t="s">
        <v>3</v>
      </c>
      <c r="DD54" t="s">
        <v>3</v>
      </c>
      <c r="DE54" t="s">
        <v>3</v>
      </c>
      <c r="DF54" t="s">
        <v>3</v>
      </c>
      <c r="DG54" t="s">
        <v>3</v>
      </c>
      <c r="DH54" t="s">
        <v>3</v>
      </c>
      <c r="DI54" t="s">
        <v>3</v>
      </c>
      <c r="DJ54" t="s">
        <v>3</v>
      </c>
      <c r="DK54" t="s">
        <v>3</v>
      </c>
      <c r="DL54" t="s">
        <v>3</v>
      </c>
      <c r="DM54" t="s">
        <v>3</v>
      </c>
      <c r="DN54">
        <v>0</v>
      </c>
      <c r="DO54">
        <v>0</v>
      </c>
      <c r="DP54">
        <v>1</v>
      </c>
      <c r="DQ54">
        <v>1</v>
      </c>
      <c r="DU54">
        <v>1010</v>
      </c>
      <c r="DV54" t="s">
        <v>132</v>
      </c>
      <c r="DW54" t="s">
        <v>132</v>
      </c>
      <c r="DX54">
        <v>1</v>
      </c>
      <c r="DZ54" t="s">
        <v>3</v>
      </c>
      <c r="EA54" t="s">
        <v>3</v>
      </c>
      <c r="EB54" t="s">
        <v>3</v>
      </c>
      <c r="EC54" t="s">
        <v>3</v>
      </c>
      <c r="EE54">
        <v>29577929</v>
      </c>
      <c r="EF54">
        <v>8</v>
      </c>
      <c r="EG54" t="s">
        <v>58</v>
      </c>
      <c r="EH54">
        <v>0</v>
      </c>
      <c r="EI54" t="s">
        <v>3</v>
      </c>
      <c r="EJ54">
        <v>1</v>
      </c>
      <c r="EK54">
        <v>500001</v>
      </c>
      <c r="EL54" t="s">
        <v>59</v>
      </c>
      <c r="EM54" t="s">
        <v>60</v>
      </c>
      <c r="EO54" t="s">
        <v>3</v>
      </c>
      <c r="EQ54">
        <v>0</v>
      </c>
      <c r="ER54">
        <v>63.12</v>
      </c>
      <c r="ES54">
        <v>63.12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FQ54">
        <v>0</v>
      </c>
      <c r="FR54">
        <f t="shared" si="22"/>
        <v>0</v>
      </c>
      <c r="FS54">
        <v>0</v>
      </c>
      <c r="FX54">
        <v>0</v>
      </c>
      <c r="FY54">
        <v>0</v>
      </c>
      <c r="GA54" t="s">
        <v>3</v>
      </c>
      <c r="GD54">
        <v>1</v>
      </c>
      <c r="GF54">
        <v>-187421674</v>
      </c>
      <c r="GG54">
        <v>2</v>
      </c>
      <c r="GH54">
        <v>1</v>
      </c>
      <c r="GI54">
        <v>4</v>
      </c>
      <c r="GJ54">
        <v>0</v>
      </c>
      <c r="GK54">
        <v>0</v>
      </c>
      <c r="GL54">
        <f t="shared" si="23"/>
        <v>0</v>
      </c>
      <c r="GM54">
        <f t="shared" si="52"/>
        <v>504</v>
      </c>
      <c r="GN54">
        <f t="shared" si="53"/>
        <v>504</v>
      </c>
      <c r="GO54">
        <f t="shared" si="54"/>
        <v>0</v>
      </c>
      <c r="GP54">
        <f t="shared" si="55"/>
        <v>0</v>
      </c>
      <c r="GR54">
        <v>0</v>
      </c>
      <c r="GS54">
        <v>3</v>
      </c>
      <c r="GT54">
        <v>0</v>
      </c>
      <c r="GU54" t="s">
        <v>3</v>
      </c>
      <c r="GV54">
        <f t="shared" si="56"/>
        <v>0</v>
      </c>
      <c r="GW54">
        <v>1</v>
      </c>
      <c r="GX54">
        <f t="shared" si="57"/>
        <v>0</v>
      </c>
      <c r="HA54">
        <v>0</v>
      </c>
      <c r="HB54">
        <v>0</v>
      </c>
      <c r="HC54">
        <f t="shared" si="58"/>
        <v>0</v>
      </c>
      <c r="HE54" t="s">
        <v>3</v>
      </c>
      <c r="HF54" t="s">
        <v>3</v>
      </c>
      <c r="HI54">
        <f t="shared" si="24"/>
        <v>0</v>
      </c>
      <c r="HJ54">
        <f t="shared" si="25"/>
        <v>0</v>
      </c>
      <c r="HK54">
        <f t="shared" si="59"/>
        <v>0</v>
      </c>
      <c r="HL54">
        <f t="shared" si="60"/>
        <v>0</v>
      </c>
      <c r="HM54" t="s">
        <v>3</v>
      </c>
      <c r="HN54" t="s">
        <v>3</v>
      </c>
      <c r="HO54" t="s">
        <v>3</v>
      </c>
      <c r="HP54" t="s">
        <v>3</v>
      </c>
      <c r="HQ54" t="s">
        <v>3</v>
      </c>
      <c r="IK54">
        <v>0</v>
      </c>
    </row>
    <row r="55" spans="1:245" x14ac:dyDescent="0.2">
      <c r="A55">
        <v>17</v>
      </c>
      <c r="B55">
        <v>1</v>
      </c>
      <c r="C55">
        <f>ROW(SmtRes!A72)</f>
        <v>72</v>
      </c>
      <c r="D55">
        <f>ROW(EtalonRes!A74)</f>
        <v>74</v>
      </c>
      <c r="E55" t="s">
        <v>134</v>
      </c>
      <c r="F55" t="s">
        <v>135</v>
      </c>
      <c r="G55" t="s">
        <v>136</v>
      </c>
      <c r="H55" t="s">
        <v>84</v>
      </c>
      <c r="I55">
        <f>ROUND(ROUND(1.6,4),7)</f>
        <v>1.6</v>
      </c>
      <c r="J55">
        <v>0</v>
      </c>
      <c r="K55">
        <f>ROUND(ROUND(1.6,4),7)</f>
        <v>1.6</v>
      </c>
      <c r="O55">
        <f t="shared" si="26"/>
        <v>240</v>
      </c>
      <c r="P55">
        <f t="shared" si="27"/>
        <v>0</v>
      </c>
      <c r="Q55">
        <f t="shared" si="28"/>
        <v>240</v>
      </c>
      <c r="R55">
        <f t="shared" si="29"/>
        <v>12.8</v>
      </c>
      <c r="S55">
        <f t="shared" si="30"/>
        <v>0</v>
      </c>
      <c r="T55">
        <f t="shared" si="31"/>
        <v>0</v>
      </c>
      <c r="U55">
        <f t="shared" si="32"/>
        <v>0</v>
      </c>
      <c r="V55">
        <f t="shared" si="33"/>
        <v>0</v>
      </c>
      <c r="W55">
        <f t="shared" si="34"/>
        <v>0</v>
      </c>
      <c r="X55">
        <f t="shared" si="35"/>
        <v>16.13</v>
      </c>
      <c r="Y55">
        <f t="shared" si="36"/>
        <v>12.16</v>
      </c>
      <c r="AA55">
        <v>29836452</v>
      </c>
      <c r="AB55">
        <f t="shared" si="37"/>
        <v>150</v>
      </c>
      <c r="AC55">
        <f t="shared" si="63"/>
        <v>0</v>
      </c>
      <c r="AD55">
        <f>ROUND(((((ET55*ROUND((1.25+2.76),7)))-((EU55*ROUND((1.25+2.76),7))))+AE55),0)</f>
        <v>150</v>
      </c>
      <c r="AE55">
        <f>ROUND(((EU55*ROUND(1.25,7))),0)</f>
        <v>8</v>
      </c>
      <c r="AF55">
        <f>ROUND(((EV55*ROUND(1.15,7))),0)</f>
        <v>0</v>
      </c>
      <c r="AG55">
        <f t="shared" si="39"/>
        <v>0</v>
      </c>
      <c r="AH55">
        <f>((EW55*ROUND(1.15,7)))</f>
        <v>0</v>
      </c>
      <c r="AI55">
        <f>((EX55*ROUND(1.25,7)))</f>
        <v>0</v>
      </c>
      <c r="AJ55">
        <f t="shared" si="40"/>
        <v>0</v>
      </c>
      <c r="AK55">
        <v>41.68</v>
      </c>
      <c r="AL55">
        <v>0</v>
      </c>
      <c r="AM55">
        <v>41.68</v>
      </c>
      <c r="AN55">
        <v>6.25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126</v>
      </c>
      <c r="AU55">
        <v>95</v>
      </c>
      <c r="AV55">
        <v>1</v>
      </c>
      <c r="AW55">
        <v>1</v>
      </c>
      <c r="AZ55">
        <v>1</v>
      </c>
      <c r="BA55">
        <v>35.86</v>
      </c>
      <c r="BB55">
        <v>1</v>
      </c>
      <c r="BC55">
        <v>1</v>
      </c>
      <c r="BD55" t="s">
        <v>3</v>
      </c>
      <c r="BE55" t="s">
        <v>3</v>
      </c>
      <c r="BF55" t="s">
        <v>3</v>
      </c>
      <c r="BG55" t="s">
        <v>3</v>
      </c>
      <c r="BH55">
        <v>0</v>
      </c>
      <c r="BI55">
        <v>1</v>
      </c>
      <c r="BJ55" t="s">
        <v>137</v>
      </c>
      <c r="BM55">
        <v>27001</v>
      </c>
      <c r="BN55">
        <v>0</v>
      </c>
      <c r="BO55" t="s">
        <v>29</v>
      </c>
      <c r="BP55">
        <v>1</v>
      </c>
      <c r="BQ55">
        <v>2</v>
      </c>
      <c r="BR55">
        <v>0</v>
      </c>
      <c r="BS55">
        <v>35.86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3</v>
      </c>
      <c r="BZ55">
        <v>126</v>
      </c>
      <c r="CA55">
        <v>95</v>
      </c>
      <c r="CB55" t="s">
        <v>3</v>
      </c>
      <c r="CE55">
        <v>0</v>
      </c>
      <c r="CF55">
        <v>0</v>
      </c>
      <c r="CG55">
        <v>0</v>
      </c>
      <c r="CM55">
        <v>0</v>
      </c>
      <c r="CN55" t="s">
        <v>419</v>
      </c>
      <c r="CO55">
        <v>0</v>
      </c>
      <c r="CP55">
        <f t="shared" si="41"/>
        <v>240</v>
      </c>
      <c r="CQ55">
        <f t="shared" si="42"/>
        <v>0</v>
      </c>
      <c r="CR55">
        <f t="shared" si="43"/>
        <v>150</v>
      </c>
      <c r="CS55">
        <f t="shared" si="44"/>
        <v>8</v>
      </c>
      <c r="CT55">
        <f t="shared" si="45"/>
        <v>0</v>
      </c>
      <c r="CU55">
        <f t="shared" si="46"/>
        <v>0</v>
      </c>
      <c r="CV55">
        <f t="shared" si="47"/>
        <v>0</v>
      </c>
      <c r="CW55">
        <f t="shared" si="48"/>
        <v>0</v>
      </c>
      <c r="CX55">
        <f t="shared" si="49"/>
        <v>0</v>
      </c>
      <c r="CY55">
        <f t="shared" si="50"/>
        <v>16.128</v>
      </c>
      <c r="CZ55">
        <f t="shared" si="51"/>
        <v>12.16</v>
      </c>
      <c r="DC55" t="s">
        <v>3</v>
      </c>
      <c r="DD55" t="s">
        <v>3</v>
      </c>
      <c r="DE55" t="s">
        <v>138</v>
      </c>
      <c r="DF55" t="s">
        <v>31</v>
      </c>
      <c r="DG55" t="s">
        <v>32</v>
      </c>
      <c r="DH55" t="s">
        <v>3</v>
      </c>
      <c r="DI55" t="s">
        <v>32</v>
      </c>
      <c r="DJ55" t="s">
        <v>31</v>
      </c>
      <c r="DK55" t="s">
        <v>3</v>
      </c>
      <c r="DL55" t="s">
        <v>3</v>
      </c>
      <c r="DM55" t="s">
        <v>3</v>
      </c>
      <c r="DN55">
        <v>0</v>
      </c>
      <c r="DO55">
        <v>0</v>
      </c>
      <c r="DP55">
        <v>1</v>
      </c>
      <c r="DQ55">
        <v>1</v>
      </c>
      <c r="DU55">
        <v>1009</v>
      </c>
      <c r="DV55" t="s">
        <v>84</v>
      </c>
      <c r="DW55" t="s">
        <v>84</v>
      </c>
      <c r="DX55">
        <v>1000</v>
      </c>
      <c r="DZ55" t="s">
        <v>3</v>
      </c>
      <c r="EA55" t="s">
        <v>3</v>
      </c>
      <c r="EB55" t="s">
        <v>3</v>
      </c>
      <c r="EC55" t="s">
        <v>3</v>
      </c>
      <c r="EE55">
        <v>29578057</v>
      </c>
      <c r="EF55">
        <v>2</v>
      </c>
      <c r="EG55" t="s">
        <v>33</v>
      </c>
      <c r="EH55">
        <v>21</v>
      </c>
      <c r="EI55" t="s">
        <v>51</v>
      </c>
      <c r="EJ55">
        <v>1</v>
      </c>
      <c r="EK55">
        <v>27001</v>
      </c>
      <c r="EL55" t="s">
        <v>51</v>
      </c>
      <c r="EM55" t="s">
        <v>52</v>
      </c>
      <c r="EO55" t="s">
        <v>139</v>
      </c>
      <c r="EQ55">
        <v>512</v>
      </c>
      <c r="ER55">
        <v>41.68</v>
      </c>
      <c r="ES55">
        <v>0</v>
      </c>
      <c r="ET55">
        <v>41.68</v>
      </c>
      <c r="EU55">
        <v>6.25</v>
      </c>
      <c r="EV55">
        <v>0</v>
      </c>
      <c r="EW55">
        <v>0</v>
      </c>
      <c r="EX55">
        <v>0</v>
      </c>
      <c r="EY55">
        <v>0</v>
      </c>
      <c r="FQ55">
        <v>0</v>
      </c>
      <c r="FR55">
        <f t="shared" si="22"/>
        <v>0</v>
      </c>
      <c r="FS55">
        <v>0</v>
      </c>
      <c r="FX55">
        <v>126</v>
      </c>
      <c r="FY55">
        <v>95</v>
      </c>
      <c r="GA55" t="s">
        <v>3</v>
      </c>
      <c r="GD55">
        <v>1</v>
      </c>
      <c r="GF55">
        <v>886558893</v>
      </c>
      <c r="GG55">
        <v>2</v>
      </c>
      <c r="GH55">
        <v>1</v>
      </c>
      <c r="GI55">
        <v>4</v>
      </c>
      <c r="GJ55">
        <v>0</v>
      </c>
      <c r="GK55">
        <v>0</v>
      </c>
      <c r="GL55">
        <f t="shared" si="23"/>
        <v>0</v>
      </c>
      <c r="GM55">
        <f t="shared" si="52"/>
        <v>268.29000000000002</v>
      </c>
      <c r="GN55">
        <f t="shared" si="53"/>
        <v>268.29000000000002</v>
      </c>
      <c r="GO55">
        <f t="shared" si="54"/>
        <v>0</v>
      </c>
      <c r="GP55">
        <f t="shared" si="55"/>
        <v>0</v>
      </c>
      <c r="GR55">
        <v>0</v>
      </c>
      <c r="GS55">
        <v>3</v>
      </c>
      <c r="GT55">
        <v>0</v>
      </c>
      <c r="GU55" t="s">
        <v>3</v>
      </c>
      <c r="GV55">
        <f t="shared" si="56"/>
        <v>0</v>
      </c>
      <c r="GW55">
        <v>1</v>
      </c>
      <c r="GX55">
        <f t="shared" si="57"/>
        <v>0</v>
      </c>
      <c r="HA55">
        <v>0</v>
      </c>
      <c r="HB55">
        <v>0</v>
      </c>
      <c r="HC55">
        <f t="shared" si="58"/>
        <v>0</v>
      </c>
      <c r="HE55" t="s">
        <v>3</v>
      </c>
      <c r="HF55" t="s">
        <v>3</v>
      </c>
      <c r="HI55">
        <f t="shared" si="24"/>
        <v>459.01</v>
      </c>
      <c r="HJ55">
        <f t="shared" si="25"/>
        <v>0</v>
      </c>
      <c r="HK55">
        <f t="shared" si="59"/>
        <v>578.35</v>
      </c>
      <c r="HL55">
        <f t="shared" si="60"/>
        <v>436.06</v>
      </c>
      <c r="HM55" t="s">
        <v>3</v>
      </c>
      <c r="HN55" t="s">
        <v>3</v>
      </c>
      <c r="HO55" t="s">
        <v>3</v>
      </c>
      <c r="HP55" t="s">
        <v>3</v>
      </c>
      <c r="HQ55" t="s">
        <v>3</v>
      </c>
      <c r="IK55">
        <v>0</v>
      </c>
    </row>
    <row r="56" spans="1:245" x14ac:dyDescent="0.2">
      <c r="A56">
        <v>18</v>
      </c>
      <c r="B56">
        <v>1</v>
      </c>
      <c r="C56">
        <v>72</v>
      </c>
      <c r="E56" t="s">
        <v>140</v>
      </c>
      <c r="F56" t="s">
        <v>82</v>
      </c>
      <c r="G56" t="s">
        <v>83</v>
      </c>
      <c r="H56" t="s">
        <v>84</v>
      </c>
      <c r="I56">
        <f>I55*J56</f>
        <v>1.6479999999999997</v>
      </c>
      <c r="J56">
        <v>1.0299999999999998</v>
      </c>
      <c r="K56">
        <v>1.03</v>
      </c>
      <c r="O56">
        <f t="shared" si="26"/>
        <v>0</v>
      </c>
      <c r="P56">
        <f t="shared" si="27"/>
        <v>0</v>
      </c>
      <c r="Q56">
        <f t="shared" si="28"/>
        <v>0</v>
      </c>
      <c r="R56">
        <f t="shared" si="29"/>
        <v>0</v>
      </c>
      <c r="S56">
        <f t="shared" si="30"/>
        <v>0</v>
      </c>
      <c r="T56">
        <f t="shared" si="31"/>
        <v>0</v>
      </c>
      <c r="U56">
        <f t="shared" si="32"/>
        <v>0</v>
      </c>
      <c r="V56">
        <f t="shared" si="33"/>
        <v>0</v>
      </c>
      <c r="W56">
        <f t="shared" si="34"/>
        <v>0</v>
      </c>
      <c r="X56">
        <f t="shared" si="35"/>
        <v>0</v>
      </c>
      <c r="Y56">
        <f t="shared" si="36"/>
        <v>0</v>
      </c>
      <c r="AA56">
        <v>29836452</v>
      </c>
      <c r="AB56">
        <f t="shared" si="37"/>
        <v>0</v>
      </c>
      <c r="AC56">
        <f t="shared" si="63"/>
        <v>0</v>
      </c>
      <c r="AD56">
        <f>ROUND((((ET56)-(EU56))+AE56),0)</f>
        <v>0</v>
      </c>
      <c r="AE56">
        <f>ROUND((EU56),0)</f>
        <v>0</v>
      </c>
      <c r="AF56">
        <f>ROUND((EV56),0)</f>
        <v>0</v>
      </c>
      <c r="AG56">
        <f t="shared" si="39"/>
        <v>0</v>
      </c>
      <c r="AH56">
        <f>(EW56)</f>
        <v>0</v>
      </c>
      <c r="AI56">
        <f>(EX56)</f>
        <v>0</v>
      </c>
      <c r="AJ56">
        <f t="shared" si="40"/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126</v>
      </c>
      <c r="AU56">
        <v>95</v>
      </c>
      <c r="AV56">
        <v>1</v>
      </c>
      <c r="AW56">
        <v>1</v>
      </c>
      <c r="AZ56">
        <v>1</v>
      </c>
      <c r="BA56">
        <v>1</v>
      </c>
      <c r="BB56">
        <v>1</v>
      </c>
      <c r="BC56">
        <v>1</v>
      </c>
      <c r="BD56" t="s">
        <v>3</v>
      </c>
      <c r="BE56" t="s">
        <v>3</v>
      </c>
      <c r="BF56" t="s">
        <v>3</v>
      </c>
      <c r="BG56" t="s">
        <v>3</v>
      </c>
      <c r="BH56">
        <v>3</v>
      </c>
      <c r="BI56">
        <v>1</v>
      </c>
      <c r="BJ56" t="s">
        <v>3</v>
      </c>
      <c r="BM56">
        <v>27001</v>
      </c>
      <c r="BN56">
        <v>0</v>
      </c>
      <c r="BO56" t="s">
        <v>29</v>
      </c>
      <c r="BP56">
        <v>1</v>
      </c>
      <c r="BQ56">
        <v>2</v>
      </c>
      <c r="BR56">
        <v>0</v>
      </c>
      <c r="BS56">
        <v>1</v>
      </c>
      <c r="BT56">
        <v>1</v>
      </c>
      <c r="BU56">
        <v>1</v>
      </c>
      <c r="BV56">
        <v>1</v>
      </c>
      <c r="BW56">
        <v>1</v>
      </c>
      <c r="BX56">
        <v>1</v>
      </c>
      <c r="BY56" t="s">
        <v>3</v>
      </c>
      <c r="BZ56">
        <v>126</v>
      </c>
      <c r="CA56">
        <v>95</v>
      </c>
      <c r="CB56" t="s">
        <v>3</v>
      </c>
      <c r="CE56">
        <v>0</v>
      </c>
      <c r="CF56">
        <v>0</v>
      </c>
      <c r="CG56">
        <v>0</v>
      </c>
      <c r="CM56">
        <v>0</v>
      </c>
      <c r="CN56" t="s">
        <v>3</v>
      </c>
      <c r="CO56">
        <v>0</v>
      </c>
      <c r="CP56">
        <f t="shared" si="41"/>
        <v>0</v>
      </c>
      <c r="CQ56">
        <f t="shared" si="42"/>
        <v>0</v>
      </c>
      <c r="CR56">
        <f t="shared" si="43"/>
        <v>0</v>
      </c>
      <c r="CS56">
        <f t="shared" si="44"/>
        <v>0</v>
      </c>
      <c r="CT56">
        <f t="shared" si="45"/>
        <v>0</v>
      </c>
      <c r="CU56">
        <f t="shared" si="46"/>
        <v>0</v>
      </c>
      <c r="CV56">
        <f t="shared" si="47"/>
        <v>0</v>
      </c>
      <c r="CW56">
        <f t="shared" si="48"/>
        <v>0</v>
      </c>
      <c r="CX56">
        <f t="shared" si="49"/>
        <v>0</v>
      </c>
      <c r="CY56">
        <f t="shared" si="50"/>
        <v>0</v>
      </c>
      <c r="CZ56">
        <f t="shared" si="51"/>
        <v>0</v>
      </c>
      <c r="DC56" t="s">
        <v>3</v>
      </c>
      <c r="DD56" t="s">
        <v>3</v>
      </c>
      <c r="DE56" t="s">
        <v>3</v>
      </c>
      <c r="DF56" t="s">
        <v>3</v>
      </c>
      <c r="DG56" t="s">
        <v>3</v>
      </c>
      <c r="DH56" t="s">
        <v>3</v>
      </c>
      <c r="DI56" t="s">
        <v>3</v>
      </c>
      <c r="DJ56" t="s">
        <v>3</v>
      </c>
      <c r="DK56" t="s">
        <v>3</v>
      </c>
      <c r="DL56" t="s">
        <v>3</v>
      </c>
      <c r="DM56" t="s">
        <v>3</v>
      </c>
      <c r="DN56">
        <v>0</v>
      </c>
      <c r="DO56">
        <v>0</v>
      </c>
      <c r="DP56">
        <v>1</v>
      </c>
      <c r="DQ56">
        <v>1</v>
      </c>
      <c r="DU56">
        <v>1009</v>
      </c>
      <c r="DV56" t="s">
        <v>84</v>
      </c>
      <c r="DW56" t="s">
        <v>84</v>
      </c>
      <c r="DX56">
        <v>1000</v>
      </c>
      <c r="DZ56" t="s">
        <v>3</v>
      </c>
      <c r="EA56" t="s">
        <v>3</v>
      </c>
      <c r="EB56" t="s">
        <v>3</v>
      </c>
      <c r="EC56" t="s">
        <v>3</v>
      </c>
      <c r="EE56">
        <v>29578057</v>
      </c>
      <c r="EF56">
        <v>2</v>
      </c>
      <c r="EG56" t="s">
        <v>33</v>
      </c>
      <c r="EH56">
        <v>21</v>
      </c>
      <c r="EI56" t="s">
        <v>51</v>
      </c>
      <c r="EJ56">
        <v>1</v>
      </c>
      <c r="EK56">
        <v>27001</v>
      </c>
      <c r="EL56" t="s">
        <v>51</v>
      </c>
      <c r="EM56" t="s">
        <v>52</v>
      </c>
      <c r="EO56" t="s">
        <v>3</v>
      </c>
      <c r="EQ56">
        <v>512</v>
      </c>
      <c r="ER56">
        <v>0</v>
      </c>
      <c r="ES56">
        <v>0</v>
      </c>
      <c r="ET56">
        <v>0</v>
      </c>
      <c r="EU56">
        <v>0</v>
      </c>
      <c r="EV56">
        <v>0</v>
      </c>
      <c r="EW56">
        <v>0</v>
      </c>
      <c r="EX56">
        <v>0</v>
      </c>
      <c r="FQ56">
        <v>0</v>
      </c>
      <c r="FR56">
        <f t="shared" si="22"/>
        <v>0</v>
      </c>
      <c r="FS56">
        <v>0</v>
      </c>
      <c r="FX56">
        <v>126</v>
      </c>
      <c r="FY56">
        <v>95</v>
      </c>
      <c r="GA56" t="s">
        <v>3</v>
      </c>
      <c r="GD56">
        <v>1</v>
      </c>
      <c r="GF56">
        <v>-1605379213</v>
      </c>
      <c r="GG56">
        <v>2</v>
      </c>
      <c r="GH56">
        <v>1</v>
      </c>
      <c r="GI56">
        <v>4</v>
      </c>
      <c r="GJ56">
        <v>0</v>
      </c>
      <c r="GK56">
        <v>0</v>
      </c>
      <c r="GL56">
        <f t="shared" si="23"/>
        <v>0</v>
      </c>
      <c r="GM56">
        <f t="shared" si="52"/>
        <v>0</v>
      </c>
      <c r="GN56">
        <f t="shared" si="53"/>
        <v>0</v>
      </c>
      <c r="GO56">
        <f t="shared" si="54"/>
        <v>0</v>
      </c>
      <c r="GP56">
        <f t="shared" si="55"/>
        <v>0</v>
      </c>
      <c r="GR56">
        <v>0</v>
      </c>
      <c r="GS56">
        <v>3</v>
      </c>
      <c r="GT56">
        <v>0</v>
      </c>
      <c r="GU56" t="s">
        <v>3</v>
      </c>
      <c r="GV56">
        <f t="shared" si="56"/>
        <v>0</v>
      </c>
      <c r="GW56">
        <v>1</v>
      </c>
      <c r="GX56">
        <f t="shared" si="57"/>
        <v>0</v>
      </c>
      <c r="HA56">
        <v>0</v>
      </c>
      <c r="HB56">
        <v>0</v>
      </c>
      <c r="HC56">
        <f t="shared" si="58"/>
        <v>0</v>
      </c>
      <c r="HE56" t="s">
        <v>3</v>
      </c>
      <c r="HF56" t="s">
        <v>3</v>
      </c>
      <c r="HI56">
        <f t="shared" si="24"/>
        <v>0</v>
      </c>
      <c r="HJ56">
        <f t="shared" si="25"/>
        <v>0</v>
      </c>
      <c r="HK56">
        <f t="shared" si="59"/>
        <v>0</v>
      </c>
      <c r="HL56">
        <f t="shared" si="60"/>
        <v>0</v>
      </c>
      <c r="HM56" t="s">
        <v>3</v>
      </c>
      <c r="HN56" t="s">
        <v>3</v>
      </c>
      <c r="HO56" t="s">
        <v>3</v>
      </c>
      <c r="HP56" t="s">
        <v>3</v>
      </c>
      <c r="HQ56" t="s">
        <v>3</v>
      </c>
      <c r="IK56">
        <v>0</v>
      </c>
    </row>
    <row r="57" spans="1:245" x14ac:dyDescent="0.2">
      <c r="A57">
        <v>17</v>
      </c>
      <c r="B57">
        <v>1</v>
      </c>
      <c r="E57" t="s">
        <v>141</v>
      </c>
      <c r="F57" t="s">
        <v>117</v>
      </c>
      <c r="G57" t="s">
        <v>118</v>
      </c>
      <c r="H57" t="s">
        <v>84</v>
      </c>
      <c r="I57">
        <f>ROUND(ROUND(1.648,4),7)</f>
        <v>1.6479999999999999</v>
      </c>
      <c r="J57">
        <v>0</v>
      </c>
      <c r="K57">
        <f>ROUND(ROUND(1.648,4),7)</f>
        <v>1.6479999999999999</v>
      </c>
      <c r="O57">
        <f t="shared" si="26"/>
        <v>4444.66</v>
      </c>
      <c r="P57">
        <f t="shared" si="27"/>
        <v>4444.66</v>
      </c>
      <c r="Q57">
        <f t="shared" si="28"/>
        <v>0</v>
      </c>
      <c r="R57">
        <f t="shared" si="29"/>
        <v>0</v>
      </c>
      <c r="S57">
        <f t="shared" si="30"/>
        <v>0</v>
      </c>
      <c r="T57">
        <f t="shared" si="31"/>
        <v>0</v>
      </c>
      <c r="U57">
        <f t="shared" si="32"/>
        <v>0</v>
      </c>
      <c r="V57">
        <f t="shared" si="33"/>
        <v>0</v>
      </c>
      <c r="W57">
        <f t="shared" si="34"/>
        <v>0</v>
      </c>
      <c r="X57">
        <f t="shared" si="35"/>
        <v>0</v>
      </c>
      <c r="Y57">
        <f t="shared" si="36"/>
        <v>0</v>
      </c>
      <c r="AA57">
        <v>29836452</v>
      </c>
      <c r="AB57">
        <f t="shared" si="37"/>
        <v>2697</v>
      </c>
      <c r="AC57">
        <f t="shared" si="63"/>
        <v>2697</v>
      </c>
      <c r="AD57">
        <f>ROUND((((ET57)-(EU57))+AE57),0)</f>
        <v>0</v>
      </c>
      <c r="AE57">
        <f>ROUND((EU57),0)</f>
        <v>0</v>
      </c>
      <c r="AF57">
        <f>ROUND((EV57),0)</f>
        <v>0</v>
      </c>
      <c r="AG57">
        <f t="shared" si="39"/>
        <v>0</v>
      </c>
      <c r="AH57">
        <f>(EW57)</f>
        <v>0</v>
      </c>
      <c r="AI57">
        <f>(EX57)</f>
        <v>0</v>
      </c>
      <c r="AJ57">
        <f t="shared" si="40"/>
        <v>0</v>
      </c>
      <c r="AK57">
        <v>2696.76</v>
      </c>
      <c r="AL57">
        <v>2696.76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1</v>
      </c>
      <c r="AW57">
        <v>1</v>
      </c>
      <c r="AZ57">
        <v>1</v>
      </c>
      <c r="BA57">
        <v>1</v>
      </c>
      <c r="BB57">
        <v>1</v>
      </c>
      <c r="BC57">
        <v>1</v>
      </c>
      <c r="BD57" t="s">
        <v>3</v>
      </c>
      <c r="BE57" t="s">
        <v>3</v>
      </c>
      <c r="BF57" t="s">
        <v>3</v>
      </c>
      <c r="BG57" t="s">
        <v>3</v>
      </c>
      <c r="BH57">
        <v>3</v>
      </c>
      <c r="BI57">
        <v>1</v>
      </c>
      <c r="BJ57" t="s">
        <v>119</v>
      </c>
      <c r="BM57">
        <v>500001</v>
      </c>
      <c r="BN57">
        <v>0</v>
      </c>
      <c r="BO57" t="s">
        <v>29</v>
      </c>
      <c r="BP57">
        <v>1</v>
      </c>
      <c r="BQ57">
        <v>8</v>
      </c>
      <c r="BR57">
        <v>0</v>
      </c>
      <c r="BS57">
        <v>1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3</v>
      </c>
      <c r="BZ57">
        <v>0</v>
      </c>
      <c r="CA57">
        <v>0</v>
      </c>
      <c r="CB57" t="s">
        <v>3</v>
      </c>
      <c r="CE57">
        <v>0</v>
      </c>
      <c r="CF57">
        <v>0</v>
      </c>
      <c r="CG57">
        <v>0</v>
      </c>
      <c r="CM57">
        <v>0</v>
      </c>
      <c r="CN57" t="s">
        <v>3</v>
      </c>
      <c r="CO57">
        <v>0</v>
      </c>
      <c r="CP57">
        <f t="shared" si="41"/>
        <v>4444.66</v>
      </c>
      <c r="CQ57">
        <f t="shared" si="42"/>
        <v>2697</v>
      </c>
      <c r="CR57">
        <f t="shared" si="43"/>
        <v>0</v>
      </c>
      <c r="CS57">
        <f t="shared" si="44"/>
        <v>0</v>
      </c>
      <c r="CT57">
        <f t="shared" si="45"/>
        <v>0</v>
      </c>
      <c r="CU57">
        <f t="shared" si="46"/>
        <v>0</v>
      </c>
      <c r="CV57">
        <f t="shared" si="47"/>
        <v>0</v>
      </c>
      <c r="CW57">
        <f t="shared" si="48"/>
        <v>0</v>
      </c>
      <c r="CX57">
        <f t="shared" si="49"/>
        <v>0</v>
      </c>
      <c r="CY57">
        <f t="shared" si="50"/>
        <v>0</v>
      </c>
      <c r="CZ57">
        <f t="shared" si="51"/>
        <v>0</v>
      </c>
      <c r="DC57" t="s">
        <v>3</v>
      </c>
      <c r="DD57" t="s">
        <v>3</v>
      </c>
      <c r="DE57" t="s">
        <v>3</v>
      </c>
      <c r="DF57" t="s">
        <v>3</v>
      </c>
      <c r="DG57" t="s">
        <v>3</v>
      </c>
      <c r="DH57" t="s">
        <v>3</v>
      </c>
      <c r="DI57" t="s">
        <v>3</v>
      </c>
      <c r="DJ57" t="s">
        <v>3</v>
      </c>
      <c r="DK57" t="s">
        <v>3</v>
      </c>
      <c r="DL57" t="s">
        <v>3</v>
      </c>
      <c r="DM57" t="s">
        <v>3</v>
      </c>
      <c r="DN57">
        <v>0</v>
      </c>
      <c r="DO57">
        <v>0</v>
      </c>
      <c r="DP57">
        <v>1</v>
      </c>
      <c r="DQ57">
        <v>1</v>
      </c>
      <c r="DU57">
        <v>1009</v>
      </c>
      <c r="DV57" t="s">
        <v>84</v>
      </c>
      <c r="DW57" t="s">
        <v>84</v>
      </c>
      <c r="DX57">
        <v>1000</v>
      </c>
      <c r="DZ57" t="s">
        <v>3</v>
      </c>
      <c r="EA57" t="s">
        <v>3</v>
      </c>
      <c r="EB57" t="s">
        <v>3</v>
      </c>
      <c r="EC57" t="s">
        <v>3</v>
      </c>
      <c r="EE57">
        <v>29577929</v>
      </c>
      <c r="EF57">
        <v>8</v>
      </c>
      <c r="EG57" t="s">
        <v>58</v>
      </c>
      <c r="EH57">
        <v>0</v>
      </c>
      <c r="EI57" t="s">
        <v>3</v>
      </c>
      <c r="EJ57">
        <v>1</v>
      </c>
      <c r="EK57">
        <v>500001</v>
      </c>
      <c r="EL57" t="s">
        <v>59</v>
      </c>
      <c r="EM57" t="s">
        <v>60</v>
      </c>
      <c r="EO57" t="s">
        <v>3</v>
      </c>
      <c r="EQ57">
        <v>0</v>
      </c>
      <c r="ER57">
        <v>2696.76</v>
      </c>
      <c r="ES57">
        <v>2696.76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FQ57">
        <v>0</v>
      </c>
      <c r="FR57">
        <f t="shared" si="22"/>
        <v>0</v>
      </c>
      <c r="FS57">
        <v>0</v>
      </c>
      <c r="FX57">
        <v>0</v>
      </c>
      <c r="FY57">
        <v>0</v>
      </c>
      <c r="GA57" t="s">
        <v>3</v>
      </c>
      <c r="GD57">
        <v>1</v>
      </c>
      <c r="GF57">
        <v>-521417318</v>
      </c>
      <c r="GG57">
        <v>2</v>
      </c>
      <c r="GH57">
        <v>1</v>
      </c>
      <c r="GI57">
        <v>4</v>
      </c>
      <c r="GJ57">
        <v>0</v>
      </c>
      <c r="GK57">
        <v>0</v>
      </c>
      <c r="GL57">
        <f t="shared" si="23"/>
        <v>0</v>
      </c>
      <c r="GM57">
        <f t="shared" si="52"/>
        <v>4444.66</v>
      </c>
      <c r="GN57">
        <f t="shared" si="53"/>
        <v>4444.66</v>
      </c>
      <c r="GO57">
        <f t="shared" si="54"/>
        <v>0</v>
      </c>
      <c r="GP57">
        <f t="shared" si="55"/>
        <v>0</v>
      </c>
      <c r="GR57">
        <v>0</v>
      </c>
      <c r="GS57">
        <v>3</v>
      </c>
      <c r="GT57">
        <v>0</v>
      </c>
      <c r="GU57" t="s">
        <v>3</v>
      </c>
      <c r="GV57">
        <f t="shared" si="56"/>
        <v>0</v>
      </c>
      <c r="GW57">
        <v>1</v>
      </c>
      <c r="GX57">
        <f t="shared" si="57"/>
        <v>0</v>
      </c>
      <c r="HA57">
        <v>0</v>
      </c>
      <c r="HB57">
        <v>0</v>
      </c>
      <c r="HC57">
        <f t="shared" si="58"/>
        <v>0</v>
      </c>
      <c r="HE57" t="s">
        <v>3</v>
      </c>
      <c r="HF57" t="s">
        <v>3</v>
      </c>
      <c r="HI57">
        <f t="shared" si="24"/>
        <v>0</v>
      </c>
      <c r="HJ57">
        <f t="shared" si="25"/>
        <v>0</v>
      </c>
      <c r="HK57">
        <f t="shared" si="59"/>
        <v>0</v>
      </c>
      <c r="HL57">
        <f t="shared" si="60"/>
        <v>0</v>
      </c>
      <c r="HM57" t="s">
        <v>3</v>
      </c>
      <c r="HN57" t="s">
        <v>3</v>
      </c>
      <c r="HO57" t="s">
        <v>3</v>
      </c>
      <c r="HP57" t="s">
        <v>3</v>
      </c>
      <c r="HQ57" t="s">
        <v>3</v>
      </c>
      <c r="IK57">
        <v>0</v>
      </c>
    </row>
    <row r="58" spans="1:245" x14ac:dyDescent="0.2">
      <c r="A58">
        <v>17</v>
      </c>
      <c r="B58">
        <v>1</v>
      </c>
      <c r="C58">
        <f>ROW(SmtRes!A84)</f>
        <v>84</v>
      </c>
      <c r="D58">
        <f>ROW(EtalonRes!A88)</f>
        <v>88</v>
      </c>
      <c r="E58" t="s">
        <v>142</v>
      </c>
      <c r="F58" t="s">
        <v>143</v>
      </c>
      <c r="G58" t="s">
        <v>144</v>
      </c>
      <c r="H58" t="s">
        <v>127</v>
      </c>
      <c r="I58">
        <f>ROUND(ROUND(1200/100,4),7)</f>
        <v>12</v>
      </c>
      <c r="J58">
        <v>0</v>
      </c>
      <c r="K58">
        <f>ROUND(ROUND(1200/100,4),7)</f>
        <v>12</v>
      </c>
      <c r="O58">
        <f t="shared" si="26"/>
        <v>32304</v>
      </c>
      <c r="P58">
        <f t="shared" si="27"/>
        <v>10272</v>
      </c>
      <c r="Q58">
        <f t="shared" si="28"/>
        <v>19824</v>
      </c>
      <c r="R58">
        <f t="shared" si="29"/>
        <v>684</v>
      </c>
      <c r="S58">
        <f t="shared" si="30"/>
        <v>2208</v>
      </c>
      <c r="T58">
        <f t="shared" si="31"/>
        <v>0</v>
      </c>
      <c r="U58">
        <f t="shared" si="32"/>
        <v>302.08199999999999</v>
      </c>
      <c r="V58">
        <f t="shared" si="33"/>
        <v>0</v>
      </c>
      <c r="W58">
        <f t="shared" si="34"/>
        <v>0</v>
      </c>
      <c r="X58">
        <f t="shared" si="35"/>
        <v>3643.92</v>
      </c>
      <c r="Y58">
        <f t="shared" si="36"/>
        <v>2747.4</v>
      </c>
      <c r="AA58">
        <v>29836452</v>
      </c>
      <c r="AB58">
        <f t="shared" si="37"/>
        <v>2692</v>
      </c>
      <c r="AC58">
        <f t="shared" si="63"/>
        <v>856</v>
      </c>
      <c r="AD58">
        <f>ROUND(((((ET58*ROUND(1.25,7)))-((EU58*ROUND(1.25,7))))+AE58),0)</f>
        <v>1652</v>
      </c>
      <c r="AE58">
        <f>ROUND(((EU58*ROUND(1.25,7))),0)</f>
        <v>57</v>
      </c>
      <c r="AF58">
        <f>ROUND(((EV58*ROUND(1.15,7))),0)</f>
        <v>184</v>
      </c>
      <c r="AG58">
        <f t="shared" si="39"/>
        <v>0</v>
      </c>
      <c r="AH58">
        <f>((EW58*ROUND(1.15,7)))</f>
        <v>25.173499999999997</v>
      </c>
      <c r="AI58">
        <f>((EX58*ROUND(1.25,7)))</f>
        <v>0</v>
      </c>
      <c r="AJ58">
        <f t="shared" si="40"/>
        <v>0</v>
      </c>
      <c r="AK58">
        <v>2337.61</v>
      </c>
      <c r="AL58">
        <v>856.3</v>
      </c>
      <c r="AM58">
        <v>1321.73</v>
      </c>
      <c r="AN58">
        <v>45.37</v>
      </c>
      <c r="AO58">
        <v>159.58000000000001</v>
      </c>
      <c r="AP58">
        <v>0</v>
      </c>
      <c r="AQ58">
        <v>21.89</v>
      </c>
      <c r="AR58">
        <v>0</v>
      </c>
      <c r="AS58">
        <v>0</v>
      </c>
      <c r="AT58">
        <v>126</v>
      </c>
      <c r="AU58">
        <v>95</v>
      </c>
      <c r="AV58">
        <v>1</v>
      </c>
      <c r="AW58">
        <v>1</v>
      </c>
      <c r="AZ58">
        <v>1</v>
      </c>
      <c r="BA58">
        <v>35.86</v>
      </c>
      <c r="BB58">
        <v>1</v>
      </c>
      <c r="BC58">
        <v>1</v>
      </c>
      <c r="BD58" t="s">
        <v>3</v>
      </c>
      <c r="BE58" t="s">
        <v>3</v>
      </c>
      <c r="BF58" t="s">
        <v>3</v>
      </c>
      <c r="BG58" t="s">
        <v>3</v>
      </c>
      <c r="BH58">
        <v>0</v>
      </c>
      <c r="BI58">
        <v>1</v>
      </c>
      <c r="BJ58" t="s">
        <v>145</v>
      </c>
      <c r="BM58">
        <v>27001</v>
      </c>
      <c r="BN58">
        <v>0</v>
      </c>
      <c r="BO58" t="s">
        <v>29</v>
      </c>
      <c r="BP58">
        <v>1</v>
      </c>
      <c r="BQ58">
        <v>2</v>
      </c>
      <c r="BR58">
        <v>0</v>
      </c>
      <c r="BS58">
        <v>35.86</v>
      </c>
      <c r="BT58">
        <v>1</v>
      </c>
      <c r="BU58">
        <v>1</v>
      </c>
      <c r="BV58">
        <v>1</v>
      </c>
      <c r="BW58">
        <v>1</v>
      </c>
      <c r="BX58">
        <v>1</v>
      </c>
      <c r="BY58" t="s">
        <v>3</v>
      </c>
      <c r="BZ58">
        <v>126</v>
      </c>
      <c r="CA58">
        <v>95</v>
      </c>
      <c r="CB58" t="s">
        <v>3</v>
      </c>
      <c r="CE58">
        <v>0</v>
      </c>
      <c r="CF58">
        <v>0</v>
      </c>
      <c r="CG58">
        <v>0</v>
      </c>
      <c r="CM58">
        <v>0</v>
      </c>
      <c r="CN58" t="s">
        <v>30</v>
      </c>
      <c r="CO58">
        <v>0</v>
      </c>
      <c r="CP58">
        <f t="shared" si="41"/>
        <v>32304</v>
      </c>
      <c r="CQ58">
        <f t="shared" si="42"/>
        <v>856</v>
      </c>
      <c r="CR58">
        <f t="shared" si="43"/>
        <v>1652</v>
      </c>
      <c r="CS58">
        <f t="shared" si="44"/>
        <v>57</v>
      </c>
      <c r="CT58">
        <f t="shared" si="45"/>
        <v>184</v>
      </c>
      <c r="CU58">
        <f t="shared" si="46"/>
        <v>0</v>
      </c>
      <c r="CV58">
        <f t="shared" si="47"/>
        <v>25.173499999999997</v>
      </c>
      <c r="CW58">
        <f t="shared" si="48"/>
        <v>0</v>
      </c>
      <c r="CX58">
        <f t="shared" si="49"/>
        <v>0</v>
      </c>
      <c r="CY58">
        <f t="shared" si="50"/>
        <v>3643.92</v>
      </c>
      <c r="CZ58">
        <f t="shared" si="51"/>
        <v>2747.4</v>
      </c>
      <c r="DC58" t="s">
        <v>3</v>
      </c>
      <c r="DD58" t="s">
        <v>3</v>
      </c>
      <c r="DE58" t="s">
        <v>31</v>
      </c>
      <c r="DF58" t="s">
        <v>31</v>
      </c>
      <c r="DG58" t="s">
        <v>32</v>
      </c>
      <c r="DH58" t="s">
        <v>3</v>
      </c>
      <c r="DI58" t="s">
        <v>32</v>
      </c>
      <c r="DJ58" t="s">
        <v>31</v>
      </c>
      <c r="DK58" t="s">
        <v>3</v>
      </c>
      <c r="DL58" t="s">
        <v>3</v>
      </c>
      <c r="DM58" t="s">
        <v>3</v>
      </c>
      <c r="DN58">
        <v>0</v>
      </c>
      <c r="DO58">
        <v>0</v>
      </c>
      <c r="DP58">
        <v>1</v>
      </c>
      <c r="DQ58">
        <v>1</v>
      </c>
      <c r="DU58">
        <v>1003</v>
      </c>
      <c r="DV58" t="s">
        <v>127</v>
      </c>
      <c r="DW58" t="s">
        <v>127</v>
      </c>
      <c r="DX58">
        <v>100</v>
      </c>
      <c r="DZ58" t="s">
        <v>3</v>
      </c>
      <c r="EA58" t="s">
        <v>3</v>
      </c>
      <c r="EB58" t="s">
        <v>3</v>
      </c>
      <c r="EC58" t="s">
        <v>3</v>
      </c>
      <c r="EE58">
        <v>29578057</v>
      </c>
      <c r="EF58">
        <v>2</v>
      </c>
      <c r="EG58" t="s">
        <v>33</v>
      </c>
      <c r="EH58">
        <v>21</v>
      </c>
      <c r="EI58" t="s">
        <v>51</v>
      </c>
      <c r="EJ58">
        <v>1</v>
      </c>
      <c r="EK58">
        <v>27001</v>
      </c>
      <c r="EL58" t="s">
        <v>51</v>
      </c>
      <c r="EM58" t="s">
        <v>52</v>
      </c>
      <c r="EO58" t="s">
        <v>37</v>
      </c>
      <c r="EQ58">
        <v>512</v>
      </c>
      <c r="ER58">
        <v>2337.61</v>
      </c>
      <c r="ES58">
        <v>856.3</v>
      </c>
      <c r="ET58">
        <v>1321.73</v>
      </c>
      <c r="EU58">
        <v>45.37</v>
      </c>
      <c r="EV58">
        <v>159.58000000000001</v>
      </c>
      <c r="EW58">
        <v>21.89</v>
      </c>
      <c r="EX58">
        <v>0</v>
      </c>
      <c r="EY58">
        <v>0</v>
      </c>
      <c r="FQ58">
        <v>0</v>
      </c>
      <c r="FR58">
        <f t="shared" si="22"/>
        <v>0</v>
      </c>
      <c r="FS58">
        <v>0</v>
      </c>
      <c r="FX58">
        <v>126</v>
      </c>
      <c r="FY58">
        <v>95</v>
      </c>
      <c r="GA58" t="s">
        <v>3</v>
      </c>
      <c r="GD58">
        <v>1</v>
      </c>
      <c r="GF58">
        <v>-1241422226</v>
      </c>
      <c r="GG58">
        <v>2</v>
      </c>
      <c r="GH58">
        <v>1</v>
      </c>
      <c r="GI58">
        <v>4</v>
      </c>
      <c r="GJ58">
        <v>0</v>
      </c>
      <c r="GK58">
        <v>0</v>
      </c>
      <c r="GL58">
        <f t="shared" si="23"/>
        <v>0</v>
      </c>
      <c r="GM58">
        <f t="shared" si="52"/>
        <v>38695.32</v>
      </c>
      <c r="GN58">
        <f t="shared" si="53"/>
        <v>38695.32</v>
      </c>
      <c r="GO58">
        <f t="shared" si="54"/>
        <v>0</v>
      </c>
      <c r="GP58">
        <f t="shared" si="55"/>
        <v>0</v>
      </c>
      <c r="GR58">
        <v>0</v>
      </c>
      <c r="GS58">
        <v>3</v>
      </c>
      <c r="GT58">
        <v>0</v>
      </c>
      <c r="GU58" t="s">
        <v>3</v>
      </c>
      <c r="GV58">
        <f t="shared" si="56"/>
        <v>0</v>
      </c>
      <c r="GW58">
        <v>1</v>
      </c>
      <c r="GX58">
        <f t="shared" si="57"/>
        <v>0</v>
      </c>
      <c r="HA58">
        <v>0</v>
      </c>
      <c r="HB58">
        <v>0</v>
      </c>
      <c r="HC58">
        <f t="shared" si="58"/>
        <v>0</v>
      </c>
      <c r="HE58" t="s">
        <v>3</v>
      </c>
      <c r="HF58" t="s">
        <v>3</v>
      </c>
      <c r="HI58">
        <f t="shared" si="24"/>
        <v>24528.240000000002</v>
      </c>
      <c r="HJ58">
        <f t="shared" si="25"/>
        <v>79178.880000000005</v>
      </c>
      <c r="HK58">
        <f t="shared" si="59"/>
        <v>130670.97</v>
      </c>
      <c r="HL58">
        <f t="shared" si="60"/>
        <v>98521.76</v>
      </c>
      <c r="HM58" t="s">
        <v>3</v>
      </c>
      <c r="HN58" t="s">
        <v>3</v>
      </c>
      <c r="HO58" t="s">
        <v>3</v>
      </c>
      <c r="HP58" t="s">
        <v>3</v>
      </c>
      <c r="HQ58" t="s">
        <v>3</v>
      </c>
      <c r="IK58">
        <v>0</v>
      </c>
    </row>
    <row r="60" spans="1:245" x14ac:dyDescent="0.2">
      <c r="A60" s="2">
        <v>51</v>
      </c>
      <c r="B60" s="2">
        <f>B24</f>
        <v>1</v>
      </c>
      <c r="C60" s="2">
        <f>A24</f>
        <v>4</v>
      </c>
      <c r="D60" s="2">
        <f>ROW(A24)</f>
        <v>24</v>
      </c>
      <c r="E60" s="2"/>
      <c r="F60" s="2" t="str">
        <f>IF(F24&lt;&gt;"",F24,"")</f>
        <v>01</v>
      </c>
      <c r="G60" s="2" t="str">
        <f>IF(G24&lt;&gt;"",G24,"")</f>
        <v>асфальтобетонное покрытие городских дорог (щебень-22см, а/б - 11 см)</v>
      </c>
      <c r="H60" s="2">
        <v>0</v>
      </c>
      <c r="I60" s="2"/>
      <c r="J60" s="2"/>
      <c r="K60" s="2"/>
      <c r="L60" s="2"/>
      <c r="M60" s="2"/>
      <c r="N60" s="2"/>
      <c r="O60" s="2">
        <f t="shared" ref="O60:T60" si="66">ROUND(AB60,2)</f>
        <v>414400.27</v>
      </c>
      <c r="P60" s="2">
        <f t="shared" si="66"/>
        <v>357500.95</v>
      </c>
      <c r="Q60" s="2">
        <f t="shared" si="66"/>
        <v>52165.31</v>
      </c>
      <c r="R60" s="2">
        <f t="shared" si="66"/>
        <v>3676.38</v>
      </c>
      <c r="S60" s="2">
        <f t="shared" si="66"/>
        <v>4734.01</v>
      </c>
      <c r="T60" s="2">
        <f t="shared" si="66"/>
        <v>0</v>
      </c>
      <c r="U60" s="2">
        <f>AH60</f>
        <v>618.67253499999993</v>
      </c>
      <c r="V60" s="2">
        <f>AI60</f>
        <v>26.31737</v>
      </c>
      <c r="W60" s="2">
        <f>ROUND(AJ60,2)</f>
        <v>0</v>
      </c>
      <c r="X60" s="2">
        <f>ROUND(AK60,2)</f>
        <v>10294.19</v>
      </c>
      <c r="Y60" s="2">
        <f>ROUND(AL60,2)</f>
        <v>7553.33</v>
      </c>
      <c r="Z60" s="2"/>
      <c r="AA60" s="2"/>
      <c r="AB60" s="2">
        <f>ROUND(SUMIF(AA28:AA58,"=29836452",O28:O58),2)</f>
        <v>414400.27</v>
      </c>
      <c r="AC60" s="2">
        <f>ROUND(SUMIF(AA28:AA58,"=29836452",P28:P58),2)</f>
        <v>357500.95</v>
      </c>
      <c r="AD60" s="2">
        <f>ROUND(SUMIF(AA28:AA58,"=29836452",Q28:Q58),2)</f>
        <v>52165.31</v>
      </c>
      <c r="AE60" s="2">
        <f>ROUND(SUMIF(AA28:AA58,"=29836452",R28:R58),2)</f>
        <v>3676.38</v>
      </c>
      <c r="AF60" s="2">
        <f>ROUND(SUMIF(AA28:AA58,"=29836452",S28:S58),2)</f>
        <v>4734.01</v>
      </c>
      <c r="AG60" s="2">
        <f>ROUND(SUMIF(AA28:AA58,"=29836452",T28:T58),2)</f>
        <v>0</v>
      </c>
      <c r="AH60" s="2">
        <f>SUMIF(AA28:AA58,"=29836452",U28:U58)</f>
        <v>618.67253499999993</v>
      </c>
      <c r="AI60" s="2">
        <f>SUMIF(AA28:AA58,"=29836452",V28:V58)</f>
        <v>26.31737</v>
      </c>
      <c r="AJ60" s="2">
        <f>ROUND(SUMIF(AA28:AA58,"=29836452",W28:W58),2)</f>
        <v>0</v>
      </c>
      <c r="AK60" s="2">
        <f>ROUND(SUMIF(AA28:AA58,"=29836452",X28:X58),2)</f>
        <v>10294.19</v>
      </c>
      <c r="AL60" s="2">
        <f>ROUND(SUMIF(AA28:AA58,"=29836452",Y28:Y58),2)</f>
        <v>7553.33</v>
      </c>
      <c r="AM60" s="2"/>
      <c r="AN60" s="2"/>
      <c r="AO60" s="2">
        <f t="shared" ref="AO60:BD60" si="67">ROUND(BX60,2)</f>
        <v>0</v>
      </c>
      <c r="AP60" s="2">
        <f t="shared" si="67"/>
        <v>0</v>
      </c>
      <c r="AQ60" s="2">
        <f t="shared" si="67"/>
        <v>0</v>
      </c>
      <c r="AR60" s="2">
        <f t="shared" si="67"/>
        <v>447493.79</v>
      </c>
      <c r="AS60" s="2">
        <f t="shared" si="67"/>
        <v>447493.79</v>
      </c>
      <c r="AT60" s="2">
        <f t="shared" si="67"/>
        <v>0</v>
      </c>
      <c r="AU60" s="2">
        <f t="shared" si="67"/>
        <v>0</v>
      </c>
      <c r="AV60" s="2">
        <f t="shared" si="67"/>
        <v>357500.95</v>
      </c>
      <c r="AW60" s="2">
        <f t="shared" si="67"/>
        <v>357500.95</v>
      </c>
      <c r="AX60" s="2">
        <f t="shared" si="67"/>
        <v>0</v>
      </c>
      <c r="AY60" s="2">
        <f t="shared" si="67"/>
        <v>357500.95</v>
      </c>
      <c r="AZ60" s="2">
        <f t="shared" si="67"/>
        <v>0</v>
      </c>
      <c r="BA60" s="2">
        <f t="shared" si="67"/>
        <v>0</v>
      </c>
      <c r="BB60" s="2">
        <f t="shared" si="67"/>
        <v>0</v>
      </c>
      <c r="BC60" s="2">
        <f t="shared" si="67"/>
        <v>0</v>
      </c>
      <c r="BD60" s="2">
        <f t="shared" si="67"/>
        <v>0</v>
      </c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>
        <f>ROUND(SUMIF(AA28:AA58,"=29836452",FQ28:FQ58),2)</f>
        <v>0</v>
      </c>
      <c r="BY60" s="2">
        <f>ROUND(SUMIF(AA28:AA58,"=29836452",FR28:FR58),2)</f>
        <v>0</v>
      </c>
      <c r="BZ60" s="2">
        <f>ROUND(SUMIF(AA28:AA58,"=29836452",GL28:GL58),2)</f>
        <v>0</v>
      </c>
      <c r="CA60" s="2">
        <f>ROUND(SUMIF(AA28:AA58,"=29836452",GM28:GM58),2)</f>
        <v>447493.79</v>
      </c>
      <c r="CB60" s="2">
        <f>ROUND(SUMIF(AA28:AA58,"=29836452",GN28:GN58),2)</f>
        <v>447493.79</v>
      </c>
      <c r="CC60" s="2">
        <f>ROUND(SUMIF(AA28:AA58,"=29836452",GO28:GO58),2)</f>
        <v>0</v>
      </c>
      <c r="CD60" s="2">
        <f>ROUND(SUMIF(AA28:AA58,"=29836452",GP28:GP58),2)</f>
        <v>0</v>
      </c>
      <c r="CE60" s="2">
        <f>AC60-BX60</f>
        <v>357500.95</v>
      </c>
      <c r="CF60" s="2">
        <f>AC60-BY60</f>
        <v>357500.95</v>
      </c>
      <c r="CG60" s="2">
        <f>BX60-BZ60</f>
        <v>0</v>
      </c>
      <c r="CH60" s="2">
        <f>AC60-BX60-BY60+BZ60</f>
        <v>357500.95</v>
      </c>
      <c r="CI60" s="2">
        <f>BY60-BZ60</f>
        <v>0</v>
      </c>
      <c r="CJ60" s="2">
        <f>ROUND(SUMIF(AA28:AA58,"=29836452",GX28:GX58),2)</f>
        <v>0</v>
      </c>
      <c r="CK60" s="2">
        <f>ROUND(SUMIF(AA28:AA58,"=29836452",GY28:GY58),2)</f>
        <v>0</v>
      </c>
      <c r="CL60" s="2">
        <f>ROUND(SUMIF(AA28:AA58,"=29836452",GZ28:GZ58),2)</f>
        <v>0</v>
      </c>
      <c r="CM60" s="2">
        <f>ROUND(SUMIF(AA28:AA58,"=29836452",HD28:HD58),2)</f>
        <v>0</v>
      </c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>
        <v>0</v>
      </c>
    </row>
    <row r="62" spans="1:245" x14ac:dyDescent="0.2">
      <c r="A62" s="4">
        <v>50</v>
      </c>
      <c r="B62" s="4">
        <v>0</v>
      </c>
      <c r="C62" s="4">
        <v>0</v>
      </c>
      <c r="D62" s="4">
        <v>1</v>
      </c>
      <c r="E62" s="4">
        <v>201</v>
      </c>
      <c r="F62" s="4">
        <f>ROUND(Source!O60,O62)</f>
        <v>414400.27</v>
      </c>
      <c r="G62" s="4" t="s">
        <v>146</v>
      </c>
      <c r="H62" s="4" t="s">
        <v>147</v>
      </c>
      <c r="I62" s="4"/>
      <c r="J62" s="4"/>
      <c r="K62" s="4">
        <v>201</v>
      </c>
      <c r="L62" s="4">
        <v>1</v>
      </c>
      <c r="M62" s="4">
        <v>3</v>
      </c>
      <c r="N62" s="4" t="s">
        <v>3</v>
      </c>
      <c r="O62" s="4">
        <v>2</v>
      </c>
      <c r="P62" s="4"/>
      <c r="Q62" s="4"/>
      <c r="R62" s="4"/>
      <c r="S62" s="4"/>
      <c r="T62" s="4"/>
      <c r="U62" s="4"/>
      <c r="V62" s="4"/>
      <c r="W62" s="4">
        <v>414400.27</v>
      </c>
      <c r="X62" s="4">
        <v>1</v>
      </c>
      <c r="Y62" s="4">
        <v>3319735.75</v>
      </c>
      <c r="Z62" s="4"/>
      <c r="AA62" s="4"/>
      <c r="AB62" s="4"/>
    </row>
    <row r="63" spans="1:245" x14ac:dyDescent="0.2">
      <c r="A63" s="4">
        <v>50</v>
      </c>
      <c r="B63" s="4">
        <v>0</v>
      </c>
      <c r="C63" s="4">
        <v>0</v>
      </c>
      <c r="D63" s="4">
        <v>1</v>
      </c>
      <c r="E63" s="4">
        <v>202</v>
      </c>
      <c r="F63" s="4">
        <f>ROUND(Source!P60,O63)</f>
        <v>357500.95</v>
      </c>
      <c r="G63" s="4" t="s">
        <v>148</v>
      </c>
      <c r="H63" s="4" t="s">
        <v>149</v>
      </c>
      <c r="I63" s="4"/>
      <c r="J63" s="4"/>
      <c r="K63" s="4">
        <v>202</v>
      </c>
      <c r="L63" s="4">
        <v>2</v>
      </c>
      <c r="M63" s="4">
        <v>3</v>
      </c>
      <c r="N63" s="4" t="s">
        <v>3</v>
      </c>
      <c r="O63" s="4">
        <v>2</v>
      </c>
      <c r="P63" s="4"/>
      <c r="Q63" s="4"/>
      <c r="R63" s="4"/>
      <c r="S63" s="4"/>
      <c r="T63" s="4"/>
      <c r="U63" s="4"/>
      <c r="V63" s="4"/>
      <c r="W63" s="4">
        <v>357500.95</v>
      </c>
      <c r="X63" s="4">
        <v>1</v>
      </c>
      <c r="Y63" s="4">
        <v>0</v>
      </c>
      <c r="Z63" s="4"/>
      <c r="AA63" s="4"/>
      <c r="AB63" s="4"/>
    </row>
    <row r="64" spans="1:245" x14ac:dyDescent="0.2">
      <c r="A64" s="4">
        <v>50</v>
      </c>
      <c r="B64" s="4">
        <v>0</v>
      </c>
      <c r="C64" s="4">
        <v>0</v>
      </c>
      <c r="D64" s="4">
        <v>1</v>
      </c>
      <c r="E64" s="4">
        <v>222</v>
      </c>
      <c r="F64" s="4">
        <f>ROUND(Source!AO60,O64)</f>
        <v>0</v>
      </c>
      <c r="G64" s="4" t="s">
        <v>150</v>
      </c>
      <c r="H64" s="4" t="s">
        <v>151</v>
      </c>
      <c r="I64" s="4"/>
      <c r="J64" s="4"/>
      <c r="K64" s="4">
        <v>222</v>
      </c>
      <c r="L64" s="4">
        <v>3</v>
      </c>
      <c r="M64" s="4">
        <v>3</v>
      </c>
      <c r="N64" s="4" t="s">
        <v>3</v>
      </c>
      <c r="O64" s="4">
        <v>2</v>
      </c>
      <c r="P64" s="4"/>
      <c r="Q64" s="4"/>
      <c r="R64" s="4"/>
      <c r="S64" s="4"/>
      <c r="T64" s="4"/>
      <c r="U64" s="4"/>
      <c r="V64" s="4"/>
      <c r="W64" s="4">
        <v>0</v>
      </c>
      <c r="X64" s="4">
        <v>1</v>
      </c>
      <c r="Y64" s="4">
        <v>0</v>
      </c>
      <c r="Z64" s="4"/>
      <c r="AA64" s="4"/>
      <c r="AB64" s="4"/>
    </row>
    <row r="65" spans="1:28" x14ac:dyDescent="0.2">
      <c r="A65" s="4">
        <v>50</v>
      </c>
      <c r="B65" s="4">
        <v>0</v>
      </c>
      <c r="C65" s="4">
        <v>0</v>
      </c>
      <c r="D65" s="4">
        <v>1</v>
      </c>
      <c r="E65" s="4">
        <v>225</v>
      </c>
      <c r="F65" s="4">
        <f>ROUND(Source!AV60,O65)</f>
        <v>357500.95</v>
      </c>
      <c r="G65" s="4" t="s">
        <v>152</v>
      </c>
      <c r="H65" s="4" t="s">
        <v>153</v>
      </c>
      <c r="I65" s="4"/>
      <c r="J65" s="4"/>
      <c r="K65" s="4">
        <v>225</v>
      </c>
      <c r="L65" s="4">
        <v>4</v>
      </c>
      <c r="M65" s="4">
        <v>3</v>
      </c>
      <c r="N65" s="4" t="s">
        <v>3</v>
      </c>
      <c r="O65" s="4">
        <v>2</v>
      </c>
      <c r="P65" s="4"/>
      <c r="Q65" s="4"/>
      <c r="R65" s="4"/>
      <c r="S65" s="4"/>
      <c r="T65" s="4"/>
      <c r="U65" s="4"/>
      <c r="V65" s="4"/>
      <c r="W65" s="4">
        <v>357500.95</v>
      </c>
      <c r="X65" s="4">
        <v>1</v>
      </c>
      <c r="Y65" s="4">
        <v>0</v>
      </c>
      <c r="Z65" s="4"/>
      <c r="AA65" s="4"/>
      <c r="AB65" s="4"/>
    </row>
    <row r="66" spans="1:28" x14ac:dyDescent="0.2">
      <c r="A66" s="4">
        <v>50</v>
      </c>
      <c r="B66" s="4">
        <v>0</v>
      </c>
      <c r="C66" s="4">
        <v>0</v>
      </c>
      <c r="D66" s="4">
        <v>1</v>
      </c>
      <c r="E66" s="4">
        <v>226</v>
      </c>
      <c r="F66" s="4">
        <f>ROUND(Source!AW60,O66)</f>
        <v>357500.95</v>
      </c>
      <c r="G66" s="4" t="s">
        <v>154</v>
      </c>
      <c r="H66" s="4" t="s">
        <v>155</v>
      </c>
      <c r="I66" s="4"/>
      <c r="J66" s="4"/>
      <c r="K66" s="4">
        <v>226</v>
      </c>
      <c r="L66" s="4">
        <v>5</v>
      </c>
      <c r="M66" s="4">
        <v>3</v>
      </c>
      <c r="N66" s="4" t="s">
        <v>3</v>
      </c>
      <c r="O66" s="4">
        <v>2</v>
      </c>
      <c r="P66" s="4"/>
      <c r="Q66" s="4"/>
      <c r="R66" s="4"/>
      <c r="S66" s="4"/>
      <c r="T66" s="4"/>
      <c r="U66" s="4"/>
      <c r="V66" s="4"/>
      <c r="W66" s="4">
        <v>357500.95</v>
      </c>
      <c r="X66" s="4">
        <v>1</v>
      </c>
      <c r="Y66" s="4">
        <v>2595456.9</v>
      </c>
      <c r="Z66" s="4"/>
      <c r="AA66" s="4"/>
      <c r="AB66" s="4"/>
    </row>
    <row r="67" spans="1:28" x14ac:dyDescent="0.2">
      <c r="A67" s="4">
        <v>50</v>
      </c>
      <c r="B67" s="4">
        <v>0</v>
      </c>
      <c r="C67" s="4">
        <v>0</v>
      </c>
      <c r="D67" s="4">
        <v>1</v>
      </c>
      <c r="E67" s="4">
        <v>227</v>
      </c>
      <c r="F67" s="4">
        <f>ROUND(Source!AX60,O67)</f>
        <v>0</v>
      </c>
      <c r="G67" s="4" t="s">
        <v>156</v>
      </c>
      <c r="H67" s="4" t="s">
        <v>157</v>
      </c>
      <c r="I67" s="4"/>
      <c r="J67" s="4"/>
      <c r="K67" s="4">
        <v>227</v>
      </c>
      <c r="L67" s="4">
        <v>6</v>
      </c>
      <c r="M67" s="4">
        <v>3</v>
      </c>
      <c r="N67" s="4" t="s">
        <v>3</v>
      </c>
      <c r="O67" s="4">
        <v>2</v>
      </c>
      <c r="P67" s="4"/>
      <c r="Q67" s="4"/>
      <c r="R67" s="4"/>
      <c r="S67" s="4"/>
      <c r="T67" s="4"/>
      <c r="U67" s="4"/>
      <c r="V67" s="4"/>
      <c r="W67" s="4">
        <v>0</v>
      </c>
      <c r="X67" s="4">
        <v>1</v>
      </c>
      <c r="Y67" s="4">
        <v>0</v>
      </c>
      <c r="Z67" s="4"/>
      <c r="AA67" s="4"/>
      <c r="AB67" s="4"/>
    </row>
    <row r="68" spans="1:28" x14ac:dyDescent="0.2">
      <c r="A68" s="4">
        <v>50</v>
      </c>
      <c r="B68" s="4">
        <v>0</v>
      </c>
      <c r="C68" s="4">
        <v>0</v>
      </c>
      <c r="D68" s="4">
        <v>1</v>
      </c>
      <c r="E68" s="4">
        <v>228</v>
      </c>
      <c r="F68" s="4">
        <f>ROUND(Source!AY60,O68)</f>
        <v>357500.95</v>
      </c>
      <c r="G68" s="4" t="s">
        <v>158</v>
      </c>
      <c r="H68" s="4" t="s">
        <v>159</v>
      </c>
      <c r="I68" s="4"/>
      <c r="J68" s="4"/>
      <c r="K68" s="4">
        <v>228</v>
      </c>
      <c r="L68" s="4">
        <v>7</v>
      </c>
      <c r="M68" s="4">
        <v>3</v>
      </c>
      <c r="N68" s="4" t="s">
        <v>3</v>
      </c>
      <c r="O68" s="4">
        <v>2</v>
      </c>
      <c r="P68" s="4"/>
      <c r="Q68" s="4"/>
      <c r="R68" s="4"/>
      <c r="S68" s="4"/>
      <c r="T68" s="4"/>
      <c r="U68" s="4"/>
      <c r="V68" s="4"/>
      <c r="W68" s="4">
        <v>357500.95</v>
      </c>
      <c r="X68" s="4">
        <v>1</v>
      </c>
      <c r="Y68" s="4">
        <v>2595456.9</v>
      </c>
      <c r="Z68" s="4"/>
      <c r="AA68" s="4"/>
      <c r="AB68" s="4"/>
    </row>
    <row r="69" spans="1:28" x14ac:dyDescent="0.2">
      <c r="A69" s="4">
        <v>50</v>
      </c>
      <c r="B69" s="4">
        <v>0</v>
      </c>
      <c r="C69" s="4">
        <v>0</v>
      </c>
      <c r="D69" s="4">
        <v>1</v>
      </c>
      <c r="E69" s="4">
        <v>216</v>
      </c>
      <c r="F69" s="4">
        <f>ROUND(Source!AP60,O69)</f>
        <v>0</v>
      </c>
      <c r="G69" s="4" t="s">
        <v>160</v>
      </c>
      <c r="H69" s="4" t="s">
        <v>161</v>
      </c>
      <c r="I69" s="4"/>
      <c r="J69" s="4"/>
      <c r="K69" s="4">
        <v>216</v>
      </c>
      <c r="L69" s="4">
        <v>8</v>
      </c>
      <c r="M69" s="4">
        <v>3</v>
      </c>
      <c r="N69" s="4" t="s">
        <v>3</v>
      </c>
      <c r="O69" s="4">
        <v>2</v>
      </c>
      <c r="P69" s="4"/>
      <c r="Q69" s="4"/>
      <c r="R69" s="4"/>
      <c r="S69" s="4"/>
      <c r="T69" s="4"/>
      <c r="U69" s="4"/>
      <c r="V69" s="4"/>
      <c r="W69" s="4">
        <v>0</v>
      </c>
      <c r="X69" s="4">
        <v>1</v>
      </c>
      <c r="Y69" s="4">
        <v>0</v>
      </c>
      <c r="Z69" s="4"/>
      <c r="AA69" s="4"/>
      <c r="AB69" s="4"/>
    </row>
    <row r="70" spans="1:28" x14ac:dyDescent="0.2">
      <c r="A70" s="4">
        <v>50</v>
      </c>
      <c r="B70" s="4">
        <v>0</v>
      </c>
      <c r="C70" s="4">
        <v>0</v>
      </c>
      <c r="D70" s="4">
        <v>1</v>
      </c>
      <c r="E70" s="4">
        <v>223</v>
      </c>
      <c r="F70" s="4">
        <f>ROUND(Source!AQ60,O70)</f>
        <v>0</v>
      </c>
      <c r="G70" s="4" t="s">
        <v>162</v>
      </c>
      <c r="H70" s="4" t="s">
        <v>163</v>
      </c>
      <c r="I70" s="4"/>
      <c r="J70" s="4"/>
      <c r="K70" s="4">
        <v>223</v>
      </c>
      <c r="L70" s="4">
        <v>9</v>
      </c>
      <c r="M70" s="4">
        <v>3</v>
      </c>
      <c r="N70" s="4" t="s">
        <v>3</v>
      </c>
      <c r="O70" s="4">
        <v>2</v>
      </c>
      <c r="P70" s="4"/>
      <c r="Q70" s="4"/>
      <c r="R70" s="4"/>
      <c r="S70" s="4"/>
      <c r="T70" s="4"/>
      <c r="U70" s="4"/>
      <c r="V70" s="4"/>
      <c r="W70" s="4">
        <v>0</v>
      </c>
      <c r="X70" s="4">
        <v>1</v>
      </c>
      <c r="Y70" s="4">
        <v>0</v>
      </c>
      <c r="Z70" s="4"/>
      <c r="AA70" s="4"/>
      <c r="AB70" s="4"/>
    </row>
    <row r="71" spans="1:28" x14ac:dyDescent="0.2">
      <c r="A71" s="4">
        <v>50</v>
      </c>
      <c r="B71" s="4">
        <v>0</v>
      </c>
      <c r="C71" s="4">
        <v>0</v>
      </c>
      <c r="D71" s="4">
        <v>1</v>
      </c>
      <c r="E71" s="4">
        <v>229</v>
      </c>
      <c r="F71" s="4">
        <f>ROUND(Source!AZ60,O71)</f>
        <v>0</v>
      </c>
      <c r="G71" s="4" t="s">
        <v>164</v>
      </c>
      <c r="H71" s="4" t="s">
        <v>165</v>
      </c>
      <c r="I71" s="4"/>
      <c r="J71" s="4"/>
      <c r="K71" s="4">
        <v>229</v>
      </c>
      <c r="L71" s="4">
        <v>10</v>
      </c>
      <c r="M71" s="4">
        <v>3</v>
      </c>
      <c r="N71" s="4" t="s">
        <v>3</v>
      </c>
      <c r="O71" s="4">
        <v>2</v>
      </c>
      <c r="P71" s="4"/>
      <c r="Q71" s="4"/>
      <c r="R71" s="4"/>
      <c r="S71" s="4"/>
      <c r="T71" s="4"/>
      <c r="U71" s="4"/>
      <c r="V71" s="4"/>
      <c r="W71" s="4">
        <v>0</v>
      </c>
      <c r="X71" s="4">
        <v>1</v>
      </c>
      <c r="Y71" s="4">
        <v>0</v>
      </c>
      <c r="Z71" s="4"/>
      <c r="AA71" s="4"/>
      <c r="AB71" s="4"/>
    </row>
    <row r="72" spans="1:28" x14ac:dyDescent="0.2">
      <c r="A72" s="4">
        <v>50</v>
      </c>
      <c r="B72" s="4">
        <v>0</v>
      </c>
      <c r="C72" s="4">
        <v>0</v>
      </c>
      <c r="D72" s="4">
        <v>1</v>
      </c>
      <c r="E72" s="4">
        <v>203</v>
      </c>
      <c r="F72" s="4">
        <f>ROUND(Source!Q60,O72)</f>
        <v>52165.31</v>
      </c>
      <c r="G72" s="4" t="s">
        <v>166</v>
      </c>
      <c r="H72" s="4" t="s">
        <v>167</v>
      </c>
      <c r="I72" s="4"/>
      <c r="J72" s="4"/>
      <c r="K72" s="4">
        <v>203</v>
      </c>
      <c r="L72" s="4">
        <v>11</v>
      </c>
      <c r="M72" s="4">
        <v>3</v>
      </c>
      <c r="N72" s="4" t="s">
        <v>3</v>
      </c>
      <c r="O72" s="4">
        <v>2</v>
      </c>
      <c r="P72" s="4"/>
      <c r="Q72" s="4"/>
      <c r="R72" s="4"/>
      <c r="S72" s="4"/>
      <c r="T72" s="4"/>
      <c r="U72" s="4"/>
      <c r="V72" s="4"/>
      <c r="W72" s="4">
        <v>52165.31</v>
      </c>
      <c r="X72" s="4">
        <v>1</v>
      </c>
      <c r="Y72" s="4">
        <v>554517.25</v>
      </c>
      <c r="Z72" s="4"/>
      <c r="AA72" s="4"/>
      <c r="AB72" s="4"/>
    </row>
    <row r="73" spans="1:28" x14ac:dyDescent="0.2">
      <c r="A73" s="4">
        <v>50</v>
      </c>
      <c r="B73" s="4">
        <v>0</v>
      </c>
      <c r="C73" s="4">
        <v>0</v>
      </c>
      <c r="D73" s="4">
        <v>1</v>
      </c>
      <c r="E73" s="4">
        <v>231</v>
      </c>
      <c r="F73" s="4">
        <f>ROUND(Source!BB60,O73)</f>
        <v>0</v>
      </c>
      <c r="G73" s="4" t="s">
        <v>168</v>
      </c>
      <c r="H73" s="4" t="s">
        <v>169</v>
      </c>
      <c r="I73" s="4"/>
      <c r="J73" s="4"/>
      <c r="K73" s="4">
        <v>231</v>
      </c>
      <c r="L73" s="4">
        <v>12</v>
      </c>
      <c r="M73" s="4">
        <v>3</v>
      </c>
      <c r="N73" s="4" t="s">
        <v>3</v>
      </c>
      <c r="O73" s="4">
        <v>2</v>
      </c>
      <c r="P73" s="4"/>
      <c r="Q73" s="4"/>
      <c r="R73" s="4"/>
      <c r="S73" s="4"/>
      <c r="T73" s="4"/>
      <c r="U73" s="4"/>
      <c r="V73" s="4"/>
      <c r="W73" s="4">
        <v>0</v>
      </c>
      <c r="X73" s="4">
        <v>1</v>
      </c>
      <c r="Y73" s="4">
        <v>0</v>
      </c>
      <c r="Z73" s="4"/>
      <c r="AA73" s="4"/>
      <c r="AB73" s="4"/>
    </row>
    <row r="74" spans="1:28" x14ac:dyDescent="0.2">
      <c r="A74" s="4">
        <v>50</v>
      </c>
      <c r="B74" s="4">
        <v>0</v>
      </c>
      <c r="C74" s="4">
        <v>0</v>
      </c>
      <c r="D74" s="4">
        <v>1</v>
      </c>
      <c r="E74" s="4">
        <v>204</v>
      </c>
      <c r="F74" s="4">
        <f>ROUND(Source!R60,O74)</f>
        <v>3676.38</v>
      </c>
      <c r="G74" s="4" t="s">
        <v>170</v>
      </c>
      <c r="H74" s="4" t="s">
        <v>171</v>
      </c>
      <c r="I74" s="4"/>
      <c r="J74" s="4"/>
      <c r="K74" s="4">
        <v>204</v>
      </c>
      <c r="L74" s="4">
        <v>13</v>
      </c>
      <c r="M74" s="4">
        <v>3</v>
      </c>
      <c r="N74" s="4" t="s">
        <v>3</v>
      </c>
      <c r="O74" s="4">
        <v>2</v>
      </c>
      <c r="P74" s="4"/>
      <c r="Q74" s="4"/>
      <c r="R74" s="4"/>
      <c r="S74" s="4"/>
      <c r="T74" s="4"/>
      <c r="U74" s="4"/>
      <c r="V74" s="4"/>
      <c r="W74" s="4">
        <v>3676.38</v>
      </c>
      <c r="X74" s="4">
        <v>1</v>
      </c>
      <c r="Y74" s="4">
        <v>131834.99</v>
      </c>
      <c r="Z74" s="4"/>
      <c r="AA74" s="4"/>
      <c r="AB74" s="4"/>
    </row>
    <row r="75" spans="1:28" x14ac:dyDescent="0.2">
      <c r="A75" s="4">
        <v>50</v>
      </c>
      <c r="B75" s="4">
        <v>0</v>
      </c>
      <c r="C75" s="4">
        <v>0</v>
      </c>
      <c r="D75" s="4">
        <v>1</v>
      </c>
      <c r="E75" s="4">
        <v>205</v>
      </c>
      <c r="F75" s="4">
        <f>ROUND(Source!S60,O75)</f>
        <v>4734.01</v>
      </c>
      <c r="G75" s="4" t="s">
        <v>172</v>
      </c>
      <c r="H75" s="4" t="s">
        <v>173</v>
      </c>
      <c r="I75" s="4"/>
      <c r="J75" s="4"/>
      <c r="K75" s="4">
        <v>205</v>
      </c>
      <c r="L75" s="4">
        <v>14</v>
      </c>
      <c r="M75" s="4">
        <v>3</v>
      </c>
      <c r="N75" s="4" t="s">
        <v>3</v>
      </c>
      <c r="O75" s="4">
        <v>2</v>
      </c>
      <c r="P75" s="4"/>
      <c r="Q75" s="4"/>
      <c r="R75" s="4"/>
      <c r="S75" s="4"/>
      <c r="T75" s="4"/>
      <c r="U75" s="4"/>
      <c r="V75" s="4"/>
      <c r="W75" s="4">
        <v>4734.01</v>
      </c>
      <c r="X75" s="4">
        <v>1</v>
      </c>
      <c r="Y75" s="4">
        <v>169761.6</v>
      </c>
      <c r="Z75" s="4"/>
      <c r="AA75" s="4"/>
      <c r="AB75" s="4"/>
    </row>
    <row r="76" spans="1:28" x14ac:dyDescent="0.2">
      <c r="A76" s="4">
        <v>50</v>
      </c>
      <c r="B76" s="4">
        <v>0</v>
      </c>
      <c r="C76" s="4">
        <v>0</v>
      </c>
      <c r="D76" s="4">
        <v>1</v>
      </c>
      <c r="E76" s="4">
        <v>232</v>
      </c>
      <c r="F76" s="4">
        <f>ROUND(Source!BC60,O76)</f>
        <v>0</v>
      </c>
      <c r="G76" s="4" t="s">
        <v>174</v>
      </c>
      <c r="H76" s="4" t="s">
        <v>175</v>
      </c>
      <c r="I76" s="4"/>
      <c r="J76" s="4"/>
      <c r="K76" s="4">
        <v>232</v>
      </c>
      <c r="L76" s="4">
        <v>15</v>
      </c>
      <c r="M76" s="4">
        <v>3</v>
      </c>
      <c r="N76" s="4" t="s">
        <v>3</v>
      </c>
      <c r="O76" s="4">
        <v>2</v>
      </c>
      <c r="P76" s="4"/>
      <c r="Q76" s="4"/>
      <c r="R76" s="4"/>
      <c r="S76" s="4"/>
      <c r="T76" s="4"/>
      <c r="U76" s="4"/>
      <c r="V76" s="4"/>
      <c r="W76" s="4">
        <v>0</v>
      </c>
      <c r="X76" s="4">
        <v>1</v>
      </c>
      <c r="Y76" s="4">
        <v>0</v>
      </c>
      <c r="Z76" s="4"/>
      <c r="AA76" s="4"/>
      <c r="AB76" s="4"/>
    </row>
    <row r="77" spans="1:28" x14ac:dyDescent="0.2">
      <c r="A77" s="4">
        <v>50</v>
      </c>
      <c r="B77" s="4">
        <v>0</v>
      </c>
      <c r="C77" s="4">
        <v>0</v>
      </c>
      <c r="D77" s="4">
        <v>1</v>
      </c>
      <c r="E77" s="4">
        <v>214</v>
      </c>
      <c r="F77" s="4">
        <f>ROUND(Source!AS60,O77)</f>
        <v>447493.79</v>
      </c>
      <c r="G77" s="4" t="s">
        <v>176</v>
      </c>
      <c r="H77" s="4" t="s">
        <v>177</v>
      </c>
      <c r="I77" s="4"/>
      <c r="J77" s="4"/>
      <c r="K77" s="4">
        <v>214</v>
      </c>
      <c r="L77" s="4">
        <v>16</v>
      </c>
      <c r="M77" s="4">
        <v>3</v>
      </c>
      <c r="N77" s="4" t="s">
        <v>3</v>
      </c>
      <c r="O77" s="4">
        <v>2</v>
      </c>
      <c r="P77" s="4"/>
      <c r="Q77" s="4"/>
      <c r="R77" s="4"/>
      <c r="S77" s="4"/>
      <c r="T77" s="4"/>
      <c r="U77" s="4"/>
      <c r="V77" s="4"/>
      <c r="W77" s="4">
        <v>447493.79</v>
      </c>
      <c r="X77" s="4">
        <v>1</v>
      </c>
      <c r="Y77" s="4">
        <v>3959748.2199999997</v>
      </c>
      <c r="Z77" s="4"/>
      <c r="AA77" s="4"/>
      <c r="AB77" s="4"/>
    </row>
    <row r="78" spans="1:28" x14ac:dyDescent="0.2">
      <c r="A78" s="4">
        <v>50</v>
      </c>
      <c r="B78" s="4">
        <v>0</v>
      </c>
      <c r="C78" s="4">
        <v>0</v>
      </c>
      <c r="D78" s="4">
        <v>1</v>
      </c>
      <c r="E78" s="4">
        <v>215</v>
      </c>
      <c r="F78" s="4">
        <f>ROUND(Source!AT60,O78)</f>
        <v>0</v>
      </c>
      <c r="G78" s="4" t="s">
        <v>178</v>
      </c>
      <c r="H78" s="4" t="s">
        <v>179</v>
      </c>
      <c r="I78" s="4"/>
      <c r="J78" s="4"/>
      <c r="K78" s="4">
        <v>215</v>
      </c>
      <c r="L78" s="4">
        <v>17</v>
      </c>
      <c r="M78" s="4">
        <v>3</v>
      </c>
      <c r="N78" s="4" t="s">
        <v>3</v>
      </c>
      <c r="O78" s="4">
        <v>2</v>
      </c>
      <c r="P78" s="4"/>
      <c r="Q78" s="4"/>
      <c r="R78" s="4"/>
      <c r="S78" s="4"/>
      <c r="T78" s="4"/>
      <c r="U78" s="4"/>
      <c r="V78" s="4"/>
      <c r="W78" s="4">
        <v>0</v>
      </c>
      <c r="X78" s="4">
        <v>1</v>
      </c>
      <c r="Y78" s="4">
        <v>0</v>
      </c>
      <c r="Z78" s="4"/>
      <c r="AA78" s="4"/>
      <c r="AB78" s="4"/>
    </row>
    <row r="79" spans="1:28" x14ac:dyDescent="0.2">
      <c r="A79" s="4">
        <v>50</v>
      </c>
      <c r="B79" s="4">
        <v>0</v>
      </c>
      <c r="C79" s="4">
        <v>0</v>
      </c>
      <c r="D79" s="4">
        <v>1</v>
      </c>
      <c r="E79" s="4">
        <v>217</v>
      </c>
      <c r="F79" s="4">
        <f>ROUND(Source!AU60,O79)</f>
        <v>0</v>
      </c>
      <c r="G79" s="4" t="s">
        <v>180</v>
      </c>
      <c r="H79" s="4" t="s">
        <v>181</v>
      </c>
      <c r="I79" s="4"/>
      <c r="J79" s="4"/>
      <c r="K79" s="4">
        <v>217</v>
      </c>
      <c r="L79" s="4">
        <v>18</v>
      </c>
      <c r="M79" s="4">
        <v>3</v>
      </c>
      <c r="N79" s="4" t="s">
        <v>3</v>
      </c>
      <c r="O79" s="4">
        <v>2</v>
      </c>
      <c r="P79" s="4"/>
      <c r="Q79" s="4"/>
      <c r="R79" s="4"/>
      <c r="S79" s="4"/>
      <c r="T79" s="4"/>
      <c r="U79" s="4"/>
      <c r="V79" s="4"/>
      <c r="W79" s="4">
        <v>0</v>
      </c>
      <c r="X79" s="4">
        <v>1</v>
      </c>
      <c r="Y79" s="4">
        <v>0</v>
      </c>
      <c r="Z79" s="4"/>
      <c r="AA79" s="4"/>
      <c r="AB79" s="4"/>
    </row>
    <row r="80" spans="1:28" x14ac:dyDescent="0.2">
      <c r="A80" s="4">
        <v>50</v>
      </c>
      <c r="B80" s="4">
        <v>0</v>
      </c>
      <c r="C80" s="4">
        <v>0</v>
      </c>
      <c r="D80" s="4">
        <v>1</v>
      </c>
      <c r="E80" s="4">
        <v>230</v>
      </c>
      <c r="F80" s="4">
        <f>ROUND(Source!BA60,O80)</f>
        <v>0</v>
      </c>
      <c r="G80" s="4" t="s">
        <v>182</v>
      </c>
      <c r="H80" s="4" t="s">
        <v>183</v>
      </c>
      <c r="I80" s="4"/>
      <c r="J80" s="4"/>
      <c r="K80" s="4">
        <v>230</v>
      </c>
      <c r="L80" s="4">
        <v>19</v>
      </c>
      <c r="M80" s="4">
        <v>3</v>
      </c>
      <c r="N80" s="4" t="s">
        <v>3</v>
      </c>
      <c r="O80" s="4">
        <v>2</v>
      </c>
      <c r="P80" s="4"/>
      <c r="Q80" s="4"/>
      <c r="R80" s="4"/>
      <c r="S80" s="4"/>
      <c r="T80" s="4"/>
      <c r="U80" s="4"/>
      <c r="V80" s="4"/>
      <c r="W80" s="4">
        <v>0</v>
      </c>
      <c r="X80" s="4">
        <v>1</v>
      </c>
      <c r="Y80" s="4">
        <v>0</v>
      </c>
      <c r="Z80" s="4"/>
      <c r="AA80" s="4"/>
      <c r="AB80" s="4"/>
    </row>
    <row r="81" spans="1:245" x14ac:dyDescent="0.2">
      <c r="A81" s="4">
        <v>50</v>
      </c>
      <c r="B81" s="4">
        <v>0</v>
      </c>
      <c r="C81" s="4">
        <v>0</v>
      </c>
      <c r="D81" s="4">
        <v>1</v>
      </c>
      <c r="E81" s="4">
        <v>206</v>
      </c>
      <c r="F81" s="4">
        <f>ROUND(Source!T60,O81)</f>
        <v>0</v>
      </c>
      <c r="G81" s="4" t="s">
        <v>184</v>
      </c>
      <c r="H81" s="4" t="s">
        <v>185</v>
      </c>
      <c r="I81" s="4"/>
      <c r="J81" s="4"/>
      <c r="K81" s="4">
        <v>206</v>
      </c>
      <c r="L81" s="4">
        <v>20</v>
      </c>
      <c r="M81" s="4">
        <v>3</v>
      </c>
      <c r="N81" s="4" t="s">
        <v>3</v>
      </c>
      <c r="O81" s="4">
        <v>2</v>
      </c>
      <c r="P81" s="4"/>
      <c r="Q81" s="4"/>
      <c r="R81" s="4"/>
      <c r="S81" s="4"/>
      <c r="T81" s="4"/>
      <c r="U81" s="4"/>
      <c r="V81" s="4"/>
      <c r="W81" s="4">
        <v>0</v>
      </c>
      <c r="X81" s="4">
        <v>1</v>
      </c>
      <c r="Y81" s="4">
        <v>0</v>
      </c>
      <c r="Z81" s="4"/>
      <c r="AA81" s="4"/>
      <c r="AB81" s="4"/>
    </row>
    <row r="82" spans="1:245" x14ac:dyDescent="0.2">
      <c r="A82" s="4">
        <v>50</v>
      </c>
      <c r="B82" s="4">
        <v>0</v>
      </c>
      <c r="C82" s="4">
        <v>0</v>
      </c>
      <c r="D82" s="4">
        <v>1</v>
      </c>
      <c r="E82" s="4">
        <v>207</v>
      </c>
      <c r="F82" s="4">
        <f>Source!U60</f>
        <v>618.67253499999993</v>
      </c>
      <c r="G82" s="4" t="s">
        <v>186</v>
      </c>
      <c r="H82" s="4" t="s">
        <v>187</v>
      </c>
      <c r="I82" s="4"/>
      <c r="J82" s="4"/>
      <c r="K82" s="4">
        <v>207</v>
      </c>
      <c r="L82" s="4">
        <v>21</v>
      </c>
      <c r="M82" s="4">
        <v>3</v>
      </c>
      <c r="N82" s="4" t="s">
        <v>3</v>
      </c>
      <c r="O82" s="4">
        <v>-1</v>
      </c>
      <c r="P82" s="4"/>
      <c r="Q82" s="4"/>
      <c r="R82" s="4"/>
      <c r="S82" s="4"/>
      <c r="T82" s="4"/>
      <c r="U82" s="4"/>
      <c r="V82" s="4"/>
      <c r="W82" s="4">
        <v>618.67253499999993</v>
      </c>
      <c r="X82" s="4">
        <v>1</v>
      </c>
      <c r="Y82" s="4">
        <v>618.67253499999993</v>
      </c>
      <c r="Z82" s="4"/>
      <c r="AA82" s="4"/>
      <c r="AB82" s="4"/>
    </row>
    <row r="83" spans="1:245" x14ac:dyDescent="0.2">
      <c r="A83" s="4">
        <v>50</v>
      </c>
      <c r="B83" s="4">
        <v>0</v>
      </c>
      <c r="C83" s="4">
        <v>0</v>
      </c>
      <c r="D83" s="4">
        <v>1</v>
      </c>
      <c r="E83" s="4">
        <v>208</v>
      </c>
      <c r="F83" s="4">
        <f>Source!V60</f>
        <v>26.31737</v>
      </c>
      <c r="G83" s="4" t="s">
        <v>188</v>
      </c>
      <c r="H83" s="4" t="s">
        <v>189</v>
      </c>
      <c r="I83" s="4"/>
      <c r="J83" s="4"/>
      <c r="K83" s="4">
        <v>208</v>
      </c>
      <c r="L83" s="4">
        <v>22</v>
      </c>
      <c r="M83" s="4">
        <v>3</v>
      </c>
      <c r="N83" s="4" t="s">
        <v>3</v>
      </c>
      <c r="O83" s="4">
        <v>-1</v>
      </c>
      <c r="P83" s="4"/>
      <c r="Q83" s="4"/>
      <c r="R83" s="4"/>
      <c r="S83" s="4"/>
      <c r="T83" s="4"/>
      <c r="U83" s="4"/>
      <c r="V83" s="4"/>
      <c r="W83" s="4">
        <v>26.31737</v>
      </c>
      <c r="X83" s="4">
        <v>1</v>
      </c>
      <c r="Y83" s="4">
        <v>26.31737</v>
      </c>
      <c r="Z83" s="4"/>
      <c r="AA83" s="4"/>
      <c r="AB83" s="4"/>
    </row>
    <row r="84" spans="1:245" x14ac:dyDescent="0.2">
      <c r="A84" s="4">
        <v>50</v>
      </c>
      <c r="B84" s="4">
        <v>0</v>
      </c>
      <c r="C84" s="4">
        <v>0</v>
      </c>
      <c r="D84" s="4">
        <v>1</v>
      </c>
      <c r="E84" s="4">
        <v>209</v>
      </c>
      <c r="F84" s="4">
        <f>ROUND(Source!W60,O84)</f>
        <v>0</v>
      </c>
      <c r="G84" s="4" t="s">
        <v>190</v>
      </c>
      <c r="H84" s="4" t="s">
        <v>191</v>
      </c>
      <c r="I84" s="4"/>
      <c r="J84" s="4"/>
      <c r="K84" s="4">
        <v>209</v>
      </c>
      <c r="L84" s="4">
        <v>23</v>
      </c>
      <c r="M84" s="4">
        <v>3</v>
      </c>
      <c r="N84" s="4" t="s">
        <v>3</v>
      </c>
      <c r="O84" s="4">
        <v>2</v>
      </c>
      <c r="P84" s="4"/>
      <c r="Q84" s="4"/>
      <c r="R84" s="4"/>
      <c r="S84" s="4"/>
      <c r="T84" s="4"/>
      <c r="U84" s="4"/>
      <c r="V84" s="4"/>
      <c r="W84" s="4">
        <v>0</v>
      </c>
      <c r="X84" s="4">
        <v>1</v>
      </c>
      <c r="Y84" s="4">
        <v>0</v>
      </c>
      <c r="Z84" s="4"/>
      <c r="AA84" s="4"/>
      <c r="AB84" s="4"/>
    </row>
    <row r="85" spans="1:245" x14ac:dyDescent="0.2">
      <c r="A85" s="4">
        <v>50</v>
      </c>
      <c r="B85" s="4">
        <v>0</v>
      </c>
      <c r="C85" s="4">
        <v>0</v>
      </c>
      <c r="D85" s="4">
        <v>1</v>
      </c>
      <c r="E85" s="4">
        <v>233</v>
      </c>
      <c r="F85" s="4">
        <f>ROUND(Source!BD60,O85)</f>
        <v>0</v>
      </c>
      <c r="G85" s="4" t="s">
        <v>192</v>
      </c>
      <c r="H85" s="4" t="s">
        <v>193</v>
      </c>
      <c r="I85" s="4"/>
      <c r="J85" s="4"/>
      <c r="K85" s="4">
        <v>233</v>
      </c>
      <c r="L85" s="4">
        <v>24</v>
      </c>
      <c r="M85" s="4">
        <v>3</v>
      </c>
      <c r="N85" s="4" t="s">
        <v>3</v>
      </c>
      <c r="O85" s="4">
        <v>2</v>
      </c>
      <c r="P85" s="4"/>
      <c r="Q85" s="4"/>
      <c r="R85" s="4"/>
      <c r="S85" s="4"/>
      <c r="T85" s="4"/>
      <c r="U85" s="4"/>
      <c r="V85" s="4"/>
      <c r="W85" s="4">
        <v>0</v>
      </c>
      <c r="X85" s="4">
        <v>1</v>
      </c>
      <c r="Y85" s="4">
        <v>0</v>
      </c>
      <c r="Z85" s="4"/>
      <c r="AA85" s="4"/>
      <c r="AB85" s="4"/>
    </row>
    <row r="86" spans="1:245" x14ac:dyDescent="0.2">
      <c r="A86" s="4">
        <v>50</v>
      </c>
      <c r="B86" s="4">
        <v>0</v>
      </c>
      <c r="C86" s="4">
        <v>0</v>
      </c>
      <c r="D86" s="4">
        <v>1</v>
      </c>
      <c r="E86" s="4">
        <v>210</v>
      </c>
      <c r="F86" s="4">
        <f>ROUND(Source!X60,O86)</f>
        <v>10294.19</v>
      </c>
      <c r="G86" s="4" t="s">
        <v>194</v>
      </c>
      <c r="H86" s="4" t="s">
        <v>195</v>
      </c>
      <c r="I86" s="4"/>
      <c r="J86" s="4"/>
      <c r="K86" s="4">
        <v>210</v>
      </c>
      <c r="L86" s="4">
        <v>25</v>
      </c>
      <c r="M86" s="4">
        <v>3</v>
      </c>
      <c r="N86" s="4" t="s">
        <v>3</v>
      </c>
      <c r="O86" s="4">
        <v>2</v>
      </c>
      <c r="P86" s="4"/>
      <c r="Q86" s="4"/>
      <c r="R86" s="4"/>
      <c r="S86" s="4"/>
      <c r="T86" s="4"/>
      <c r="U86" s="4"/>
      <c r="V86" s="4"/>
      <c r="W86" s="4">
        <v>10294.19</v>
      </c>
      <c r="X86" s="4">
        <v>1</v>
      </c>
      <c r="Y86" s="4">
        <v>369149.73</v>
      </c>
      <c r="Z86" s="4"/>
      <c r="AA86" s="4"/>
      <c r="AB86" s="4"/>
    </row>
    <row r="87" spans="1:245" x14ac:dyDescent="0.2">
      <c r="A87" s="4">
        <v>50</v>
      </c>
      <c r="B87" s="4">
        <v>0</v>
      </c>
      <c r="C87" s="4">
        <v>0</v>
      </c>
      <c r="D87" s="4">
        <v>1</v>
      </c>
      <c r="E87" s="4">
        <v>211</v>
      </c>
      <c r="F87" s="4">
        <f>ROUND(Source!Y60,O87)</f>
        <v>7553.33</v>
      </c>
      <c r="G87" s="4" t="s">
        <v>196</v>
      </c>
      <c r="H87" s="4" t="s">
        <v>197</v>
      </c>
      <c r="I87" s="4"/>
      <c r="J87" s="4"/>
      <c r="K87" s="4">
        <v>211</v>
      </c>
      <c r="L87" s="4">
        <v>26</v>
      </c>
      <c r="M87" s="4">
        <v>3</v>
      </c>
      <c r="N87" s="4" t="s">
        <v>3</v>
      </c>
      <c r="O87" s="4">
        <v>2</v>
      </c>
      <c r="P87" s="4"/>
      <c r="Q87" s="4"/>
      <c r="R87" s="4"/>
      <c r="S87" s="4"/>
      <c r="T87" s="4"/>
      <c r="U87" s="4"/>
      <c r="V87" s="4"/>
      <c r="W87" s="4">
        <v>7553.33</v>
      </c>
      <c r="X87" s="4">
        <v>1</v>
      </c>
      <c r="Y87" s="4">
        <v>270862.74</v>
      </c>
      <c r="Z87" s="4"/>
      <c r="AA87" s="4"/>
      <c r="AB87" s="4"/>
    </row>
    <row r="88" spans="1:245" x14ac:dyDescent="0.2">
      <c r="A88" s="4">
        <v>50</v>
      </c>
      <c r="B88" s="4">
        <v>0</v>
      </c>
      <c r="C88" s="4">
        <v>0</v>
      </c>
      <c r="D88" s="4">
        <v>1</v>
      </c>
      <c r="E88" s="4">
        <v>224</v>
      </c>
      <c r="F88" s="4">
        <f>ROUND(Source!AR60,O88)</f>
        <v>447493.79</v>
      </c>
      <c r="G88" s="4" t="s">
        <v>198</v>
      </c>
      <c r="H88" s="4" t="s">
        <v>199</v>
      </c>
      <c r="I88" s="4"/>
      <c r="J88" s="4"/>
      <c r="K88" s="4">
        <v>224</v>
      </c>
      <c r="L88" s="4">
        <v>27</v>
      </c>
      <c r="M88" s="4">
        <v>3</v>
      </c>
      <c r="N88" s="4" t="s">
        <v>3</v>
      </c>
      <c r="O88" s="4">
        <v>2</v>
      </c>
      <c r="P88" s="4"/>
      <c r="Q88" s="4"/>
      <c r="R88" s="4"/>
      <c r="S88" s="4"/>
      <c r="T88" s="4"/>
      <c r="U88" s="4"/>
      <c r="V88" s="4"/>
      <c r="W88" s="4">
        <v>432247.79000000004</v>
      </c>
      <c r="X88" s="4">
        <v>1</v>
      </c>
      <c r="Y88" s="4">
        <v>3959748.2199999997</v>
      </c>
      <c r="Z88" s="4"/>
      <c r="AA88" s="4"/>
      <c r="AB88" s="4"/>
    </row>
    <row r="90" spans="1:245" x14ac:dyDescent="0.2">
      <c r="A90" s="1">
        <v>4</v>
      </c>
      <c r="B90" s="1">
        <v>1</v>
      </c>
      <c r="C90" s="1"/>
      <c r="D90" s="1">
        <f>ROW(A113)</f>
        <v>113</v>
      </c>
      <c r="E90" s="1"/>
      <c r="F90" s="1" t="s">
        <v>200</v>
      </c>
      <c r="G90" s="1" t="s">
        <v>201</v>
      </c>
      <c r="H90" s="1" t="s">
        <v>3</v>
      </c>
      <c r="I90" s="1">
        <v>0</v>
      </c>
      <c r="J90" s="1"/>
      <c r="K90" s="1">
        <v>-1</v>
      </c>
      <c r="L90" s="1"/>
      <c r="M90" s="1" t="s">
        <v>3</v>
      </c>
      <c r="N90" s="1"/>
      <c r="O90" s="1"/>
      <c r="P90" s="1"/>
      <c r="Q90" s="1"/>
      <c r="R90" s="1"/>
      <c r="S90" s="1">
        <v>29836453</v>
      </c>
      <c r="T90" s="1"/>
      <c r="U90" s="1" t="s">
        <v>3</v>
      </c>
      <c r="V90" s="1">
        <v>0</v>
      </c>
      <c r="W90" s="1"/>
      <c r="X90" s="1"/>
      <c r="Y90" s="1"/>
      <c r="Z90" s="1"/>
      <c r="AA90" s="1"/>
      <c r="AB90" s="1" t="s">
        <v>3</v>
      </c>
      <c r="AC90" s="1" t="s">
        <v>3</v>
      </c>
      <c r="AD90" s="1" t="s">
        <v>3</v>
      </c>
      <c r="AE90" s="1" t="s">
        <v>3</v>
      </c>
      <c r="AF90" s="1" t="s">
        <v>3</v>
      </c>
      <c r="AG90" s="1" t="s">
        <v>3</v>
      </c>
      <c r="AH90" s="1"/>
      <c r="AI90" s="1"/>
      <c r="AJ90" s="1"/>
      <c r="AK90" s="1"/>
      <c r="AL90" s="1"/>
      <c r="AM90" s="1"/>
      <c r="AN90" s="1"/>
      <c r="AO90" s="1"/>
      <c r="AP90" s="1" t="s">
        <v>3</v>
      </c>
      <c r="AQ90" s="1" t="s">
        <v>3</v>
      </c>
      <c r="AR90" s="1" t="s">
        <v>3</v>
      </c>
      <c r="AS90" s="1"/>
      <c r="AT90" s="1"/>
      <c r="AU90" s="1"/>
      <c r="AV90" s="1"/>
      <c r="AW90" s="1"/>
      <c r="AX90" s="1"/>
      <c r="AY90" s="1"/>
      <c r="AZ90" s="1" t="s">
        <v>3</v>
      </c>
      <c r="BA90" s="1"/>
      <c r="BB90" s="1" t="s">
        <v>3</v>
      </c>
      <c r="BC90" s="1" t="s">
        <v>3</v>
      </c>
      <c r="BD90" s="1" t="s">
        <v>3</v>
      </c>
      <c r="BE90" s="1" t="s">
        <v>3</v>
      </c>
      <c r="BF90" s="1" t="s">
        <v>3</v>
      </c>
      <c r="BG90" s="1" t="s">
        <v>3</v>
      </c>
      <c r="BH90" s="1" t="s">
        <v>3</v>
      </c>
      <c r="BI90" s="1" t="s">
        <v>3</v>
      </c>
      <c r="BJ90" s="1" t="s">
        <v>3</v>
      </c>
      <c r="BK90" s="1" t="s">
        <v>3</v>
      </c>
      <c r="BL90" s="1" t="s">
        <v>3</v>
      </c>
      <c r="BM90" s="1" t="s">
        <v>3</v>
      </c>
      <c r="BN90" s="1" t="s">
        <v>3</v>
      </c>
      <c r="BO90" s="1" t="s">
        <v>3</v>
      </c>
      <c r="BP90" s="1" t="s">
        <v>3</v>
      </c>
      <c r="BQ90" s="1"/>
      <c r="BR90" s="1"/>
      <c r="BS90" s="1"/>
      <c r="BT90" s="1"/>
      <c r="BU90" s="1"/>
      <c r="BV90" s="1"/>
      <c r="BW90" s="1"/>
      <c r="BX90" s="1">
        <v>0</v>
      </c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>
        <v>0</v>
      </c>
    </row>
    <row r="92" spans="1:245" x14ac:dyDescent="0.2">
      <c r="A92" s="2">
        <v>52</v>
      </c>
      <c r="B92" s="2">
        <f t="shared" ref="B92:G92" si="68">B113</f>
        <v>1</v>
      </c>
      <c r="C92" s="2">
        <f t="shared" si="68"/>
        <v>4</v>
      </c>
      <c r="D92" s="2">
        <f t="shared" si="68"/>
        <v>90</v>
      </c>
      <c r="E92" s="2">
        <f t="shared" si="68"/>
        <v>0</v>
      </c>
      <c r="F92" s="2" t="str">
        <f t="shared" si="68"/>
        <v>02</v>
      </c>
      <c r="G92" s="2" t="str">
        <f t="shared" si="68"/>
        <v>тротуары с асфальтобетонным покрытием (щебень-13см, а/б - 5см)</v>
      </c>
      <c r="H92" s="2"/>
      <c r="I92" s="2"/>
      <c r="J92" s="2"/>
      <c r="K92" s="2"/>
      <c r="L92" s="2"/>
      <c r="M92" s="2"/>
      <c r="N92" s="2"/>
      <c r="O92" s="2">
        <f t="shared" ref="O92:AT92" si="69">O113</f>
        <v>44648.57</v>
      </c>
      <c r="P92" s="2">
        <f t="shared" si="69"/>
        <v>39265.480000000003</v>
      </c>
      <c r="Q92" s="2">
        <f t="shared" si="69"/>
        <v>3679.6</v>
      </c>
      <c r="R92" s="2">
        <f t="shared" si="69"/>
        <v>245.85</v>
      </c>
      <c r="S92" s="2">
        <f t="shared" si="69"/>
        <v>1703.49</v>
      </c>
      <c r="T92" s="2">
        <f t="shared" si="69"/>
        <v>0</v>
      </c>
      <c r="U92" s="2">
        <f t="shared" si="69"/>
        <v>218.45570199999997</v>
      </c>
      <c r="V92" s="2">
        <f t="shared" si="69"/>
        <v>0</v>
      </c>
      <c r="W92" s="2">
        <f t="shared" si="69"/>
        <v>0</v>
      </c>
      <c r="X92" s="2">
        <f t="shared" si="69"/>
        <v>2430.62</v>
      </c>
      <c r="Y92" s="2">
        <f t="shared" si="69"/>
        <v>1815.05</v>
      </c>
      <c r="Z92" s="2">
        <f t="shared" si="69"/>
        <v>0</v>
      </c>
      <c r="AA92" s="2">
        <f t="shared" si="69"/>
        <v>0</v>
      </c>
      <c r="AB92" s="2">
        <f t="shared" si="69"/>
        <v>44648.57</v>
      </c>
      <c r="AC92" s="2">
        <f t="shared" si="69"/>
        <v>39265.480000000003</v>
      </c>
      <c r="AD92" s="2">
        <f t="shared" si="69"/>
        <v>3679.6</v>
      </c>
      <c r="AE92" s="2">
        <f t="shared" si="69"/>
        <v>245.85</v>
      </c>
      <c r="AF92" s="2">
        <f t="shared" si="69"/>
        <v>1703.49</v>
      </c>
      <c r="AG92" s="2">
        <f t="shared" si="69"/>
        <v>0</v>
      </c>
      <c r="AH92" s="2">
        <f t="shared" si="69"/>
        <v>218.45570199999997</v>
      </c>
      <c r="AI92" s="2">
        <f t="shared" si="69"/>
        <v>0</v>
      </c>
      <c r="AJ92" s="2">
        <f t="shared" si="69"/>
        <v>0</v>
      </c>
      <c r="AK92" s="2">
        <f t="shared" si="69"/>
        <v>2430.62</v>
      </c>
      <c r="AL92" s="2">
        <f t="shared" si="69"/>
        <v>1815.05</v>
      </c>
      <c r="AM92" s="2">
        <f t="shared" si="69"/>
        <v>0</v>
      </c>
      <c r="AN92" s="2">
        <f t="shared" si="69"/>
        <v>0</v>
      </c>
      <c r="AO92" s="2">
        <f t="shared" si="69"/>
        <v>0</v>
      </c>
      <c r="AP92" s="2">
        <f t="shared" si="69"/>
        <v>0</v>
      </c>
      <c r="AQ92" s="2">
        <f t="shared" si="69"/>
        <v>0</v>
      </c>
      <c r="AR92" s="2">
        <f t="shared" si="69"/>
        <v>57202.239999999998</v>
      </c>
      <c r="AS92" s="2">
        <f t="shared" si="69"/>
        <v>57202.239999999998</v>
      </c>
      <c r="AT92" s="2">
        <f t="shared" si="69"/>
        <v>0</v>
      </c>
      <c r="AU92" s="2">
        <f t="shared" ref="AU92:BZ92" si="70">AU113</f>
        <v>0</v>
      </c>
      <c r="AV92" s="2">
        <f t="shared" si="70"/>
        <v>39265.480000000003</v>
      </c>
      <c r="AW92" s="2">
        <f t="shared" si="70"/>
        <v>39265.480000000003</v>
      </c>
      <c r="AX92" s="2">
        <f t="shared" si="70"/>
        <v>0</v>
      </c>
      <c r="AY92" s="2">
        <f t="shared" si="70"/>
        <v>39265.480000000003</v>
      </c>
      <c r="AZ92" s="2">
        <f t="shared" si="70"/>
        <v>0</v>
      </c>
      <c r="BA92" s="2">
        <f t="shared" si="70"/>
        <v>0</v>
      </c>
      <c r="BB92" s="2">
        <f t="shared" si="70"/>
        <v>0</v>
      </c>
      <c r="BC92" s="2">
        <f t="shared" si="70"/>
        <v>0</v>
      </c>
      <c r="BD92" s="2">
        <f t="shared" si="70"/>
        <v>0</v>
      </c>
      <c r="BE92" s="2">
        <f t="shared" si="70"/>
        <v>0</v>
      </c>
      <c r="BF92" s="2">
        <f t="shared" si="70"/>
        <v>0</v>
      </c>
      <c r="BG92" s="2">
        <f t="shared" si="70"/>
        <v>0</v>
      </c>
      <c r="BH92" s="2">
        <f t="shared" si="70"/>
        <v>0</v>
      </c>
      <c r="BI92" s="2">
        <f t="shared" si="70"/>
        <v>0</v>
      </c>
      <c r="BJ92" s="2">
        <f t="shared" si="70"/>
        <v>0</v>
      </c>
      <c r="BK92" s="2">
        <f t="shared" si="70"/>
        <v>0</v>
      </c>
      <c r="BL92" s="2">
        <f t="shared" si="70"/>
        <v>0</v>
      </c>
      <c r="BM92" s="2">
        <f t="shared" si="70"/>
        <v>0</v>
      </c>
      <c r="BN92" s="2">
        <f t="shared" si="70"/>
        <v>0</v>
      </c>
      <c r="BO92" s="2">
        <f t="shared" si="70"/>
        <v>0</v>
      </c>
      <c r="BP92" s="2">
        <f t="shared" si="70"/>
        <v>0</v>
      </c>
      <c r="BQ92" s="2">
        <f t="shared" si="70"/>
        <v>0</v>
      </c>
      <c r="BR92" s="2">
        <f t="shared" si="70"/>
        <v>0</v>
      </c>
      <c r="BS92" s="2">
        <f t="shared" si="70"/>
        <v>0</v>
      </c>
      <c r="BT92" s="2">
        <f t="shared" si="70"/>
        <v>0</v>
      </c>
      <c r="BU92" s="2">
        <f t="shared" si="70"/>
        <v>0</v>
      </c>
      <c r="BV92" s="2">
        <f t="shared" si="70"/>
        <v>0</v>
      </c>
      <c r="BW92" s="2">
        <f t="shared" si="70"/>
        <v>0</v>
      </c>
      <c r="BX92" s="2">
        <f t="shared" si="70"/>
        <v>0</v>
      </c>
      <c r="BY92" s="2">
        <f t="shared" si="70"/>
        <v>0</v>
      </c>
      <c r="BZ92" s="2">
        <f t="shared" si="70"/>
        <v>0</v>
      </c>
      <c r="CA92" s="2">
        <f t="shared" ref="CA92:DF92" si="71">CA113</f>
        <v>57202.239999999998</v>
      </c>
      <c r="CB92" s="2">
        <f t="shared" si="71"/>
        <v>57202.239999999998</v>
      </c>
      <c r="CC92" s="2">
        <f t="shared" si="71"/>
        <v>0</v>
      </c>
      <c r="CD92" s="2">
        <f t="shared" si="71"/>
        <v>0</v>
      </c>
      <c r="CE92" s="2">
        <f t="shared" si="71"/>
        <v>39265.480000000003</v>
      </c>
      <c r="CF92" s="2">
        <f t="shared" si="71"/>
        <v>39265.480000000003</v>
      </c>
      <c r="CG92" s="2">
        <f t="shared" si="71"/>
        <v>0</v>
      </c>
      <c r="CH92" s="2">
        <f t="shared" si="71"/>
        <v>39265.480000000003</v>
      </c>
      <c r="CI92" s="2">
        <f t="shared" si="71"/>
        <v>0</v>
      </c>
      <c r="CJ92" s="2">
        <f t="shared" si="71"/>
        <v>0</v>
      </c>
      <c r="CK92" s="2">
        <f t="shared" si="71"/>
        <v>0</v>
      </c>
      <c r="CL92" s="2">
        <f t="shared" si="71"/>
        <v>0</v>
      </c>
      <c r="CM92" s="2">
        <f t="shared" si="71"/>
        <v>0</v>
      </c>
      <c r="CN92" s="2">
        <f t="shared" si="71"/>
        <v>0</v>
      </c>
      <c r="CO92" s="2">
        <f t="shared" si="71"/>
        <v>0</v>
      </c>
      <c r="CP92" s="2">
        <f t="shared" si="71"/>
        <v>0</v>
      </c>
      <c r="CQ92" s="2">
        <f t="shared" si="71"/>
        <v>0</v>
      </c>
      <c r="CR92" s="2">
        <f t="shared" si="71"/>
        <v>0</v>
      </c>
      <c r="CS92" s="2">
        <f t="shared" si="71"/>
        <v>0</v>
      </c>
      <c r="CT92" s="2">
        <f t="shared" si="71"/>
        <v>0</v>
      </c>
      <c r="CU92" s="2">
        <f t="shared" si="71"/>
        <v>0</v>
      </c>
      <c r="CV92" s="2">
        <f t="shared" si="71"/>
        <v>0</v>
      </c>
      <c r="CW92" s="2">
        <f t="shared" si="71"/>
        <v>0</v>
      </c>
      <c r="CX92" s="2">
        <f t="shared" si="71"/>
        <v>0</v>
      </c>
      <c r="CY92" s="2">
        <f t="shared" si="71"/>
        <v>0</v>
      </c>
      <c r="CZ92" s="2">
        <f t="shared" si="71"/>
        <v>0</v>
      </c>
      <c r="DA92" s="2">
        <f t="shared" si="71"/>
        <v>0</v>
      </c>
      <c r="DB92" s="2">
        <f t="shared" si="71"/>
        <v>0</v>
      </c>
      <c r="DC92" s="2">
        <f t="shared" si="71"/>
        <v>0</v>
      </c>
      <c r="DD92" s="2">
        <f t="shared" si="71"/>
        <v>0</v>
      </c>
      <c r="DE92" s="2">
        <f t="shared" si="71"/>
        <v>0</v>
      </c>
      <c r="DF92" s="2">
        <f t="shared" si="71"/>
        <v>0</v>
      </c>
      <c r="DG92" s="3">
        <f t="shared" ref="DG92:EL92" si="72">DG113</f>
        <v>0</v>
      </c>
      <c r="DH92" s="3">
        <f t="shared" si="72"/>
        <v>0</v>
      </c>
      <c r="DI92" s="3">
        <f t="shared" si="72"/>
        <v>0</v>
      </c>
      <c r="DJ92" s="3">
        <f t="shared" si="72"/>
        <v>0</v>
      </c>
      <c r="DK92" s="3">
        <f t="shared" si="72"/>
        <v>0</v>
      </c>
      <c r="DL92" s="3">
        <f t="shared" si="72"/>
        <v>0</v>
      </c>
      <c r="DM92" s="3">
        <f t="shared" si="72"/>
        <v>0</v>
      </c>
      <c r="DN92" s="3">
        <f t="shared" si="72"/>
        <v>0</v>
      </c>
      <c r="DO92" s="3">
        <f t="shared" si="72"/>
        <v>0</v>
      </c>
      <c r="DP92" s="3">
        <f t="shared" si="72"/>
        <v>0</v>
      </c>
      <c r="DQ92" s="3">
        <f t="shared" si="72"/>
        <v>0</v>
      </c>
      <c r="DR92" s="3">
        <f t="shared" si="72"/>
        <v>0</v>
      </c>
      <c r="DS92" s="3">
        <f t="shared" si="72"/>
        <v>0</v>
      </c>
      <c r="DT92" s="3">
        <f t="shared" si="72"/>
        <v>0</v>
      </c>
      <c r="DU92" s="3">
        <f t="shared" si="72"/>
        <v>0</v>
      </c>
      <c r="DV92" s="3">
        <f t="shared" si="72"/>
        <v>0</v>
      </c>
      <c r="DW92" s="3">
        <f t="shared" si="72"/>
        <v>0</v>
      </c>
      <c r="DX92" s="3">
        <f t="shared" si="72"/>
        <v>0</v>
      </c>
      <c r="DY92" s="3">
        <f t="shared" si="72"/>
        <v>0</v>
      </c>
      <c r="DZ92" s="3">
        <f t="shared" si="72"/>
        <v>0</v>
      </c>
      <c r="EA92" s="3">
        <f t="shared" si="72"/>
        <v>0</v>
      </c>
      <c r="EB92" s="3">
        <f t="shared" si="72"/>
        <v>0</v>
      </c>
      <c r="EC92" s="3">
        <f t="shared" si="72"/>
        <v>0</v>
      </c>
      <c r="ED92" s="3">
        <f t="shared" si="72"/>
        <v>0</v>
      </c>
      <c r="EE92" s="3">
        <f t="shared" si="72"/>
        <v>0</v>
      </c>
      <c r="EF92" s="3">
        <f t="shared" si="72"/>
        <v>0</v>
      </c>
      <c r="EG92" s="3">
        <f t="shared" si="72"/>
        <v>0</v>
      </c>
      <c r="EH92" s="3">
        <f t="shared" si="72"/>
        <v>0</v>
      </c>
      <c r="EI92" s="3">
        <f t="shared" si="72"/>
        <v>0</v>
      </c>
      <c r="EJ92" s="3">
        <f t="shared" si="72"/>
        <v>0</v>
      </c>
      <c r="EK92" s="3">
        <f t="shared" si="72"/>
        <v>0</v>
      </c>
      <c r="EL92" s="3">
        <f t="shared" si="72"/>
        <v>0</v>
      </c>
      <c r="EM92" s="3">
        <f t="shared" ref="EM92:FR92" si="73">EM113</f>
        <v>0</v>
      </c>
      <c r="EN92" s="3">
        <f t="shared" si="73"/>
        <v>0</v>
      </c>
      <c r="EO92" s="3">
        <f t="shared" si="73"/>
        <v>0</v>
      </c>
      <c r="EP92" s="3">
        <f t="shared" si="73"/>
        <v>0</v>
      </c>
      <c r="EQ92" s="3">
        <f t="shared" si="73"/>
        <v>0</v>
      </c>
      <c r="ER92" s="3">
        <f t="shared" si="73"/>
        <v>0</v>
      </c>
      <c r="ES92" s="3">
        <f t="shared" si="73"/>
        <v>0</v>
      </c>
      <c r="ET92" s="3">
        <f t="shared" si="73"/>
        <v>0</v>
      </c>
      <c r="EU92" s="3">
        <f t="shared" si="73"/>
        <v>0</v>
      </c>
      <c r="EV92" s="3">
        <f t="shared" si="73"/>
        <v>0</v>
      </c>
      <c r="EW92" s="3">
        <f t="shared" si="73"/>
        <v>0</v>
      </c>
      <c r="EX92" s="3">
        <f t="shared" si="73"/>
        <v>0</v>
      </c>
      <c r="EY92" s="3">
        <f t="shared" si="73"/>
        <v>0</v>
      </c>
      <c r="EZ92" s="3">
        <f t="shared" si="73"/>
        <v>0</v>
      </c>
      <c r="FA92" s="3">
        <f t="shared" si="73"/>
        <v>0</v>
      </c>
      <c r="FB92" s="3">
        <f t="shared" si="73"/>
        <v>0</v>
      </c>
      <c r="FC92" s="3">
        <f t="shared" si="73"/>
        <v>0</v>
      </c>
      <c r="FD92" s="3">
        <f t="shared" si="73"/>
        <v>0</v>
      </c>
      <c r="FE92" s="3">
        <f t="shared" si="73"/>
        <v>0</v>
      </c>
      <c r="FF92" s="3">
        <f t="shared" si="73"/>
        <v>0</v>
      </c>
      <c r="FG92" s="3">
        <f t="shared" si="73"/>
        <v>0</v>
      </c>
      <c r="FH92" s="3">
        <f t="shared" si="73"/>
        <v>0</v>
      </c>
      <c r="FI92" s="3">
        <f t="shared" si="73"/>
        <v>0</v>
      </c>
      <c r="FJ92" s="3">
        <f t="shared" si="73"/>
        <v>0</v>
      </c>
      <c r="FK92" s="3">
        <f t="shared" si="73"/>
        <v>0</v>
      </c>
      <c r="FL92" s="3">
        <f t="shared" si="73"/>
        <v>0</v>
      </c>
      <c r="FM92" s="3">
        <f t="shared" si="73"/>
        <v>0</v>
      </c>
      <c r="FN92" s="3">
        <f t="shared" si="73"/>
        <v>0</v>
      </c>
      <c r="FO92" s="3">
        <f t="shared" si="73"/>
        <v>0</v>
      </c>
      <c r="FP92" s="3">
        <f t="shared" si="73"/>
        <v>0</v>
      </c>
      <c r="FQ92" s="3">
        <f t="shared" si="73"/>
        <v>0</v>
      </c>
      <c r="FR92" s="3">
        <f t="shared" si="73"/>
        <v>0</v>
      </c>
      <c r="FS92" s="3">
        <f t="shared" ref="FS92:GX92" si="74">FS113</f>
        <v>0</v>
      </c>
      <c r="FT92" s="3">
        <f t="shared" si="74"/>
        <v>0</v>
      </c>
      <c r="FU92" s="3">
        <f t="shared" si="74"/>
        <v>0</v>
      </c>
      <c r="FV92" s="3">
        <f t="shared" si="74"/>
        <v>0</v>
      </c>
      <c r="FW92" s="3">
        <f t="shared" si="74"/>
        <v>0</v>
      </c>
      <c r="FX92" s="3">
        <f t="shared" si="74"/>
        <v>0</v>
      </c>
      <c r="FY92" s="3">
        <f t="shared" si="74"/>
        <v>0</v>
      </c>
      <c r="FZ92" s="3">
        <f t="shared" si="74"/>
        <v>0</v>
      </c>
      <c r="GA92" s="3">
        <f t="shared" si="74"/>
        <v>0</v>
      </c>
      <c r="GB92" s="3">
        <f t="shared" si="74"/>
        <v>0</v>
      </c>
      <c r="GC92" s="3">
        <f t="shared" si="74"/>
        <v>0</v>
      </c>
      <c r="GD92" s="3">
        <f t="shared" si="74"/>
        <v>0</v>
      </c>
      <c r="GE92" s="3">
        <f t="shared" si="74"/>
        <v>0</v>
      </c>
      <c r="GF92" s="3">
        <f t="shared" si="74"/>
        <v>0</v>
      </c>
      <c r="GG92" s="3">
        <f t="shared" si="74"/>
        <v>0</v>
      </c>
      <c r="GH92" s="3">
        <f t="shared" si="74"/>
        <v>0</v>
      </c>
      <c r="GI92" s="3">
        <f t="shared" si="74"/>
        <v>0</v>
      </c>
      <c r="GJ92" s="3">
        <f t="shared" si="74"/>
        <v>0</v>
      </c>
      <c r="GK92" s="3">
        <f t="shared" si="74"/>
        <v>0</v>
      </c>
      <c r="GL92" s="3">
        <f t="shared" si="74"/>
        <v>0</v>
      </c>
      <c r="GM92" s="3">
        <f t="shared" si="74"/>
        <v>0</v>
      </c>
      <c r="GN92" s="3">
        <f t="shared" si="74"/>
        <v>0</v>
      </c>
      <c r="GO92" s="3">
        <f t="shared" si="74"/>
        <v>0</v>
      </c>
      <c r="GP92" s="3">
        <f t="shared" si="74"/>
        <v>0</v>
      </c>
      <c r="GQ92" s="3">
        <f t="shared" si="74"/>
        <v>0</v>
      </c>
      <c r="GR92" s="3">
        <f t="shared" si="74"/>
        <v>0</v>
      </c>
      <c r="GS92" s="3">
        <f t="shared" si="74"/>
        <v>0</v>
      </c>
      <c r="GT92" s="3">
        <f t="shared" si="74"/>
        <v>0</v>
      </c>
      <c r="GU92" s="3">
        <f t="shared" si="74"/>
        <v>0</v>
      </c>
      <c r="GV92" s="3">
        <f t="shared" si="74"/>
        <v>0</v>
      </c>
      <c r="GW92" s="3">
        <f t="shared" si="74"/>
        <v>0</v>
      </c>
      <c r="GX92" s="3">
        <f t="shared" si="74"/>
        <v>0</v>
      </c>
    </row>
    <row r="94" spans="1:245" x14ac:dyDescent="0.2">
      <c r="A94">
        <v>17</v>
      </c>
      <c r="B94">
        <v>1</v>
      </c>
      <c r="C94">
        <f>ROW(SmtRes!A89)</f>
        <v>89</v>
      </c>
      <c r="D94">
        <f>ROW(EtalonRes!A93)</f>
        <v>93</v>
      </c>
      <c r="E94" t="s">
        <v>202</v>
      </c>
      <c r="F94" t="s">
        <v>25</v>
      </c>
      <c r="G94" t="s">
        <v>26</v>
      </c>
      <c r="H94" t="s">
        <v>27</v>
      </c>
      <c r="I94">
        <f>ROUND(ROUND(54/1000,4),7)</f>
        <v>5.3999999999999999E-2</v>
      </c>
      <c r="J94">
        <v>0</v>
      </c>
      <c r="K94">
        <f>ROUND(ROUND(54/1000,4),7)</f>
        <v>5.3999999999999999E-2</v>
      </c>
      <c r="O94">
        <f>ROUND(CP94,2)</f>
        <v>431.19</v>
      </c>
      <c r="P94">
        <f>ROUND(CQ94*I94,2)</f>
        <v>0.38</v>
      </c>
      <c r="Q94">
        <f>ROUND(CR94*I94,2)</f>
        <v>417.26</v>
      </c>
      <c r="R94">
        <f>ROUND(CS94*I94,2)</f>
        <v>61.61</v>
      </c>
      <c r="S94">
        <f>ROUND(CT94*I94,2)</f>
        <v>13.55</v>
      </c>
      <c r="T94">
        <f>ROUND(CU94*I94,2)</f>
        <v>0</v>
      </c>
      <c r="U94">
        <f>CV94*I94</f>
        <v>1.9449719999999999</v>
      </c>
      <c r="V94">
        <f>CW94*I94</f>
        <v>0</v>
      </c>
      <c r="W94">
        <f>ROUND(CX94*I94,2)</f>
        <v>0</v>
      </c>
      <c r="X94">
        <f>ROUND(CY94,2)</f>
        <v>69.150000000000006</v>
      </c>
      <c r="Y94">
        <f>ROUND(CZ94,2)</f>
        <v>34.57</v>
      </c>
      <c r="AA94">
        <v>29836452</v>
      </c>
      <c r="AB94">
        <f>ROUND((AC94+AD94+AF94),0)</f>
        <v>7985</v>
      </c>
      <c r="AC94">
        <f>ROUND((ES94),0)</f>
        <v>7</v>
      </c>
      <c r="AD94">
        <f>ROUND(((((ET94*ROUND(1.25,7)))-((EU94*ROUND(1.25,7))))+AE94),0)</f>
        <v>7727</v>
      </c>
      <c r="AE94">
        <f>ROUND(((EU94*ROUND(1.25,7))),0)</f>
        <v>1141</v>
      </c>
      <c r="AF94">
        <f>ROUND(((EV94*ROUND(1.15,7))),0)</f>
        <v>251</v>
      </c>
      <c r="AG94">
        <f>ROUND((AP94),0)</f>
        <v>0</v>
      </c>
      <c r="AH94">
        <f>((EW94*ROUND(1.15,7)))</f>
        <v>36.018000000000001</v>
      </c>
      <c r="AI94">
        <f>((EX94*ROUND(1.25,7)))</f>
        <v>0</v>
      </c>
      <c r="AJ94">
        <f>(AS94)</f>
        <v>0</v>
      </c>
      <c r="AK94">
        <v>6406.05</v>
      </c>
      <c r="AL94">
        <v>6.61</v>
      </c>
      <c r="AM94">
        <v>6181.14</v>
      </c>
      <c r="AN94">
        <v>912.62</v>
      </c>
      <c r="AO94">
        <v>218.3</v>
      </c>
      <c r="AP94">
        <v>0</v>
      </c>
      <c r="AQ94">
        <v>31.32</v>
      </c>
      <c r="AR94">
        <v>0</v>
      </c>
      <c r="AS94">
        <v>0</v>
      </c>
      <c r="AT94">
        <v>92</v>
      </c>
      <c r="AU94">
        <v>46</v>
      </c>
      <c r="AV94">
        <v>1</v>
      </c>
      <c r="AW94">
        <v>1</v>
      </c>
      <c r="AZ94">
        <v>1</v>
      </c>
      <c r="BA94">
        <v>35.86</v>
      </c>
      <c r="BB94">
        <v>1</v>
      </c>
      <c r="BC94">
        <v>1</v>
      </c>
      <c r="BD94" t="s">
        <v>3</v>
      </c>
      <c r="BE94" t="s">
        <v>3</v>
      </c>
      <c r="BF94" t="s">
        <v>3</v>
      </c>
      <c r="BG94" t="s">
        <v>3</v>
      </c>
      <c r="BH94">
        <v>0</v>
      </c>
      <c r="BI94">
        <v>1</v>
      </c>
      <c r="BJ94" t="s">
        <v>28</v>
      </c>
      <c r="BM94">
        <v>1001</v>
      </c>
      <c r="BN94">
        <v>0</v>
      </c>
      <c r="BO94" t="s">
        <v>29</v>
      </c>
      <c r="BP94">
        <v>1</v>
      </c>
      <c r="BQ94">
        <v>2</v>
      </c>
      <c r="BR94">
        <v>0</v>
      </c>
      <c r="BS94">
        <v>35.86</v>
      </c>
      <c r="BT94">
        <v>1</v>
      </c>
      <c r="BU94">
        <v>1</v>
      </c>
      <c r="BV94">
        <v>1</v>
      </c>
      <c r="BW94">
        <v>1</v>
      </c>
      <c r="BX94">
        <v>1</v>
      </c>
      <c r="BY94" t="s">
        <v>3</v>
      </c>
      <c r="BZ94">
        <v>92</v>
      </c>
      <c r="CA94">
        <v>46</v>
      </c>
      <c r="CB94" t="s">
        <v>3</v>
      </c>
      <c r="CE94">
        <v>0</v>
      </c>
      <c r="CF94">
        <v>0</v>
      </c>
      <c r="CG94">
        <v>0</v>
      </c>
      <c r="CM94">
        <v>0</v>
      </c>
      <c r="CN94" t="s">
        <v>30</v>
      </c>
      <c r="CO94">
        <v>0</v>
      </c>
      <c r="CP94">
        <f>(P94+Q94+S94)</f>
        <v>431.19</v>
      </c>
      <c r="CQ94">
        <f>AC94*BC94</f>
        <v>7</v>
      </c>
      <c r="CR94">
        <f>AD94*BB94</f>
        <v>7727</v>
      </c>
      <c r="CS94">
        <f t="shared" ref="CS94:CX94" si="75">AE94</f>
        <v>1141</v>
      </c>
      <c r="CT94">
        <f t="shared" si="75"/>
        <v>251</v>
      </c>
      <c r="CU94">
        <f t="shared" si="75"/>
        <v>0</v>
      </c>
      <c r="CV94">
        <f t="shared" si="75"/>
        <v>36.018000000000001</v>
      </c>
      <c r="CW94">
        <f t="shared" si="75"/>
        <v>0</v>
      </c>
      <c r="CX94">
        <f t="shared" si="75"/>
        <v>0</v>
      </c>
      <c r="CY94">
        <f>(((S94+R94)*AT94)/100)</f>
        <v>69.147199999999998</v>
      </c>
      <c r="CZ94">
        <f>(((S94+R94)*AU94)/100)</f>
        <v>34.573599999999999</v>
      </c>
      <c r="DC94" t="s">
        <v>3</v>
      </c>
      <c r="DD94" t="s">
        <v>3</v>
      </c>
      <c r="DE94" t="s">
        <v>31</v>
      </c>
      <c r="DF94" t="s">
        <v>31</v>
      </c>
      <c r="DG94" t="s">
        <v>32</v>
      </c>
      <c r="DH94" t="s">
        <v>3</v>
      </c>
      <c r="DI94" t="s">
        <v>32</v>
      </c>
      <c r="DJ94" t="s">
        <v>31</v>
      </c>
      <c r="DK94" t="s">
        <v>3</v>
      </c>
      <c r="DL94" t="s">
        <v>3</v>
      </c>
      <c r="DM94" t="s">
        <v>3</v>
      </c>
      <c r="DN94">
        <v>0</v>
      </c>
      <c r="DO94">
        <v>0</v>
      </c>
      <c r="DP94">
        <v>1</v>
      </c>
      <c r="DQ94">
        <v>1</v>
      </c>
      <c r="DU94">
        <v>1007</v>
      </c>
      <c r="DV94" t="s">
        <v>27</v>
      </c>
      <c r="DW94" t="s">
        <v>27</v>
      </c>
      <c r="DX94">
        <v>1000</v>
      </c>
      <c r="DZ94" t="s">
        <v>3</v>
      </c>
      <c r="EA94" t="s">
        <v>3</v>
      </c>
      <c r="EB94" t="s">
        <v>3</v>
      </c>
      <c r="EC94" t="s">
        <v>3</v>
      </c>
      <c r="EE94">
        <v>29577974</v>
      </c>
      <c r="EF94">
        <v>2</v>
      </c>
      <c r="EG94" t="s">
        <v>33</v>
      </c>
      <c r="EH94">
        <v>1</v>
      </c>
      <c r="EI94" t="s">
        <v>34</v>
      </c>
      <c r="EJ94">
        <v>1</v>
      </c>
      <c r="EK94">
        <v>1001</v>
      </c>
      <c r="EL94" t="s">
        <v>35</v>
      </c>
      <c r="EM94" t="s">
        <v>36</v>
      </c>
      <c r="EO94" t="s">
        <v>37</v>
      </c>
      <c r="EQ94">
        <v>512</v>
      </c>
      <c r="ER94">
        <v>6406.05</v>
      </c>
      <c r="ES94">
        <v>6.61</v>
      </c>
      <c r="ET94">
        <v>6181.14</v>
      </c>
      <c r="EU94">
        <v>912.62</v>
      </c>
      <c r="EV94">
        <v>218.3</v>
      </c>
      <c r="EW94">
        <v>31.32</v>
      </c>
      <c r="EX94">
        <v>0</v>
      </c>
      <c r="EY94">
        <v>0</v>
      </c>
      <c r="FQ94">
        <v>0</v>
      </c>
      <c r="FR94">
        <f t="shared" ref="FR94:FR111" si="76">ROUND(IF(AND(BH94=3,BI94=3),P94,0),2)</f>
        <v>0</v>
      </c>
      <c r="FS94">
        <v>0</v>
      </c>
      <c r="FX94">
        <v>92</v>
      </c>
      <c r="FY94">
        <v>46</v>
      </c>
      <c r="GA94" t="s">
        <v>3</v>
      </c>
      <c r="GD94">
        <v>1</v>
      </c>
      <c r="GF94">
        <v>-276714409</v>
      </c>
      <c r="GG94">
        <v>2</v>
      </c>
      <c r="GH94">
        <v>1</v>
      </c>
      <c r="GI94">
        <v>4</v>
      </c>
      <c r="GJ94">
        <v>0</v>
      </c>
      <c r="GK94">
        <v>0</v>
      </c>
      <c r="GL94">
        <f t="shared" ref="GL94:GL111" si="77">ROUND(IF(AND(BH94=3,BI94=3,FS94&lt;&gt;0),P94,0),2)</f>
        <v>0</v>
      </c>
      <c r="GM94">
        <f>ROUND(O94+X94+Y94,2)+GX94</f>
        <v>534.91</v>
      </c>
      <c r="GN94">
        <f>IF(OR(BI94=0,BI94=1),ROUND(O94+X94+Y94,2),0)</f>
        <v>534.91</v>
      </c>
      <c r="GO94">
        <f>IF(BI94=2,ROUND(O94+X94+Y94,2),0)</f>
        <v>0</v>
      </c>
      <c r="GP94">
        <f>IF(BI94=4,ROUND(O94+X94+Y94,2)+GX94,0)</f>
        <v>0</v>
      </c>
      <c r="GR94">
        <v>0</v>
      </c>
      <c r="GS94">
        <v>3</v>
      </c>
      <c r="GT94">
        <v>0</v>
      </c>
      <c r="GU94" t="s">
        <v>3</v>
      </c>
      <c r="GV94">
        <f>ROUND((GT94),0)</f>
        <v>0</v>
      </c>
      <c r="GW94">
        <v>1</v>
      </c>
      <c r="GX94">
        <f>ROUND(HC94*I94,2)</f>
        <v>0</v>
      </c>
      <c r="HA94">
        <v>0</v>
      </c>
      <c r="HB94">
        <v>0</v>
      </c>
      <c r="HC94">
        <f>GV94*GW94</f>
        <v>0</v>
      </c>
      <c r="HE94" t="s">
        <v>3</v>
      </c>
      <c r="HF94" t="s">
        <v>3</v>
      </c>
      <c r="HI94">
        <f t="shared" ref="HI94:HI111" si="78">ROUND(R94*BS94,2)</f>
        <v>2209.33</v>
      </c>
      <c r="HJ94">
        <f t="shared" ref="HJ94:HJ111" si="79">ROUND(S94*BA94,2)</f>
        <v>485.9</v>
      </c>
      <c r="HK94">
        <f>ROUND((((HJ94+HI94)*AT94)/100),2)</f>
        <v>2479.61</v>
      </c>
      <c r="HL94">
        <f>ROUND((((HJ94+HI94)*AU94)/100),2)</f>
        <v>1239.81</v>
      </c>
      <c r="HM94" t="s">
        <v>3</v>
      </c>
      <c r="HN94" t="s">
        <v>3</v>
      </c>
      <c r="HO94" t="s">
        <v>3</v>
      </c>
      <c r="HP94" t="s">
        <v>3</v>
      </c>
      <c r="HQ94" t="s">
        <v>3</v>
      </c>
      <c r="IK94">
        <v>0</v>
      </c>
    </row>
    <row r="95" spans="1:245" x14ac:dyDescent="0.2">
      <c r="A95">
        <v>17</v>
      </c>
      <c r="B95">
        <v>1</v>
      </c>
      <c r="E95" t="s">
        <v>203</v>
      </c>
      <c r="F95" t="s">
        <v>39</v>
      </c>
      <c r="G95" t="s">
        <v>40</v>
      </c>
      <c r="H95" t="s">
        <v>41</v>
      </c>
      <c r="I95">
        <f>ROUND(ROUND(92,4),7)</f>
        <v>92</v>
      </c>
      <c r="J95">
        <v>0</v>
      </c>
      <c r="K95">
        <f>ROUND(ROUND(92,4),7)</f>
        <v>92</v>
      </c>
      <c r="O95">
        <f>0</f>
        <v>0</v>
      </c>
      <c r="P95">
        <f>0</f>
        <v>0</v>
      </c>
      <c r="Q95">
        <f>0</f>
        <v>0</v>
      </c>
      <c r="R95">
        <f>0</f>
        <v>0</v>
      </c>
      <c r="S95">
        <f>0</f>
        <v>0</v>
      </c>
      <c r="T95">
        <f>0</f>
        <v>0</v>
      </c>
      <c r="U95">
        <f>0</f>
        <v>0</v>
      </c>
      <c r="V95">
        <f>0</f>
        <v>0</v>
      </c>
      <c r="W95">
        <f>0</f>
        <v>0</v>
      </c>
      <c r="X95">
        <f>0</f>
        <v>0</v>
      </c>
      <c r="Y95">
        <f>0</f>
        <v>0</v>
      </c>
      <c r="AA95">
        <v>29836452</v>
      </c>
      <c r="AB95">
        <f>ROUND((AK95),0)</f>
        <v>14</v>
      </c>
      <c r="AC95">
        <f>0</f>
        <v>0</v>
      </c>
      <c r="AD95">
        <f>0</f>
        <v>0</v>
      </c>
      <c r="AE95">
        <f>0</f>
        <v>0</v>
      </c>
      <c r="AF95">
        <f>0</f>
        <v>0</v>
      </c>
      <c r="AG95">
        <f>0</f>
        <v>0</v>
      </c>
      <c r="AH95">
        <f>0</f>
        <v>0</v>
      </c>
      <c r="AI95">
        <f>0</f>
        <v>0</v>
      </c>
      <c r="AJ95">
        <f>0</f>
        <v>0</v>
      </c>
      <c r="AK95">
        <v>13.79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1</v>
      </c>
      <c r="AW95">
        <v>1</v>
      </c>
      <c r="AZ95">
        <v>1</v>
      </c>
      <c r="BA95">
        <v>1</v>
      </c>
      <c r="BB95">
        <v>1</v>
      </c>
      <c r="BC95">
        <v>1</v>
      </c>
      <c r="BD95" t="s">
        <v>3</v>
      </c>
      <c r="BE95" t="s">
        <v>3</v>
      </c>
      <c r="BF95" t="s">
        <v>3</v>
      </c>
      <c r="BG95" t="s">
        <v>3</v>
      </c>
      <c r="BH95">
        <v>0</v>
      </c>
      <c r="BI95">
        <v>1</v>
      </c>
      <c r="BJ95" t="s">
        <v>42</v>
      </c>
      <c r="BM95">
        <v>700005</v>
      </c>
      <c r="BN95">
        <v>0</v>
      </c>
      <c r="BO95" t="s">
        <v>29</v>
      </c>
      <c r="BP95">
        <v>1</v>
      </c>
      <c r="BQ95">
        <v>10</v>
      </c>
      <c r="BR95">
        <v>0</v>
      </c>
      <c r="BS95">
        <v>1</v>
      </c>
      <c r="BT95">
        <v>1</v>
      </c>
      <c r="BU95">
        <v>1</v>
      </c>
      <c r="BV95">
        <v>1</v>
      </c>
      <c r="BW95">
        <v>1</v>
      </c>
      <c r="BX95">
        <v>1</v>
      </c>
      <c r="BY95" t="s">
        <v>3</v>
      </c>
      <c r="BZ95">
        <v>0</v>
      </c>
      <c r="CA95">
        <v>0</v>
      </c>
      <c r="CB95" t="s">
        <v>3</v>
      </c>
      <c r="CE95">
        <v>0</v>
      </c>
      <c r="CF95">
        <v>0</v>
      </c>
      <c r="CG95">
        <v>0</v>
      </c>
      <c r="CM95">
        <v>0</v>
      </c>
      <c r="CN95" t="s">
        <v>3</v>
      </c>
      <c r="CO95">
        <v>0</v>
      </c>
      <c r="CP95">
        <f>AB95*AZ95</f>
        <v>14</v>
      </c>
      <c r="CQ95">
        <v>0</v>
      </c>
      <c r="CR95">
        <v>0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>
        <v>0</v>
      </c>
      <c r="DC95" t="s">
        <v>3</v>
      </c>
      <c r="DD95" t="s">
        <v>3</v>
      </c>
      <c r="DE95" t="s">
        <v>3</v>
      </c>
      <c r="DF95" t="s">
        <v>3</v>
      </c>
      <c r="DG95" t="s">
        <v>3</v>
      </c>
      <c r="DH95" t="s">
        <v>3</v>
      </c>
      <c r="DI95" t="s">
        <v>3</v>
      </c>
      <c r="DJ95" t="s">
        <v>3</v>
      </c>
      <c r="DK95" t="s">
        <v>3</v>
      </c>
      <c r="DL95" t="s">
        <v>3</v>
      </c>
      <c r="DM95" t="s">
        <v>3</v>
      </c>
      <c r="DN95">
        <v>0</v>
      </c>
      <c r="DO95">
        <v>0</v>
      </c>
      <c r="DP95">
        <v>1</v>
      </c>
      <c r="DQ95">
        <v>1</v>
      </c>
      <c r="DU95">
        <v>1013</v>
      </c>
      <c r="DV95" t="s">
        <v>41</v>
      </c>
      <c r="DW95" t="s">
        <v>41</v>
      </c>
      <c r="DX95">
        <v>1</v>
      </c>
      <c r="DZ95" t="s">
        <v>3</v>
      </c>
      <c r="EA95" t="s">
        <v>3</v>
      </c>
      <c r="EB95" t="s">
        <v>3</v>
      </c>
      <c r="EC95" t="s">
        <v>3</v>
      </c>
      <c r="EE95">
        <v>29578226</v>
      </c>
      <c r="EF95">
        <v>10</v>
      </c>
      <c r="EG95" t="s">
        <v>43</v>
      </c>
      <c r="EH95">
        <v>107</v>
      </c>
      <c r="EI95" t="s">
        <v>44</v>
      </c>
      <c r="EJ95">
        <v>1</v>
      </c>
      <c r="EK95">
        <v>700005</v>
      </c>
      <c r="EL95" t="s">
        <v>44</v>
      </c>
      <c r="EM95" t="s">
        <v>45</v>
      </c>
      <c r="EO95" t="s">
        <v>3</v>
      </c>
      <c r="EQ95">
        <v>0</v>
      </c>
      <c r="ER95">
        <v>0</v>
      </c>
      <c r="ES95">
        <v>0</v>
      </c>
      <c r="ET95">
        <v>0</v>
      </c>
      <c r="EU95">
        <v>0</v>
      </c>
      <c r="EV95">
        <v>0</v>
      </c>
      <c r="EW95">
        <v>0</v>
      </c>
      <c r="EX95">
        <v>0</v>
      </c>
      <c r="EY95">
        <v>0</v>
      </c>
      <c r="FQ95">
        <v>0</v>
      </c>
      <c r="FR95">
        <f t="shared" si="76"/>
        <v>0</v>
      </c>
      <c r="FS95">
        <v>0</v>
      </c>
      <c r="FX95">
        <v>0</v>
      </c>
      <c r="FY95">
        <v>0</v>
      </c>
      <c r="GA95" t="s">
        <v>3</v>
      </c>
      <c r="GD95">
        <v>1</v>
      </c>
      <c r="GF95">
        <v>635034058</v>
      </c>
      <c r="GG95">
        <v>2</v>
      </c>
      <c r="GH95">
        <v>1</v>
      </c>
      <c r="GI95">
        <v>4</v>
      </c>
      <c r="GJ95">
        <v>2</v>
      </c>
      <c r="GK95">
        <v>0</v>
      </c>
      <c r="GL95">
        <f t="shared" si="77"/>
        <v>0</v>
      </c>
      <c r="GM95">
        <f>ROUND(CP95*I95,2)</f>
        <v>1288</v>
      </c>
      <c r="GN95">
        <f>IF(OR(BI95=0,BI95=1),ROUND(CP95*I95,2),0)</f>
        <v>1288</v>
      </c>
      <c r="GO95">
        <f>IF(BI95=2,ROUND(CP95*I95,2),0)</f>
        <v>0</v>
      </c>
      <c r="GP95">
        <f>IF(BI95=4,ROUND(CP95*I95,2)+GX95,0)</f>
        <v>0</v>
      </c>
      <c r="GR95">
        <v>0</v>
      </c>
      <c r="GS95">
        <v>3</v>
      </c>
      <c r="GT95">
        <v>0</v>
      </c>
      <c r="GU95" t="s">
        <v>3</v>
      </c>
      <c r="GV95">
        <f>0</f>
        <v>0</v>
      </c>
      <c r="GW95">
        <v>1</v>
      </c>
      <c r="GX95">
        <f>0</f>
        <v>0</v>
      </c>
      <c r="HA95">
        <v>0</v>
      </c>
      <c r="HB95">
        <v>0</v>
      </c>
      <c r="HC95">
        <v>0</v>
      </c>
      <c r="HE95" t="s">
        <v>3</v>
      </c>
      <c r="HF95" t="s">
        <v>3</v>
      </c>
      <c r="HI95">
        <f t="shared" si="78"/>
        <v>0</v>
      </c>
      <c r="HJ95">
        <f t="shared" si="79"/>
        <v>0</v>
      </c>
      <c r="HM95" t="s">
        <v>3</v>
      </c>
      <c r="HN95" t="s">
        <v>3</v>
      </c>
      <c r="HO95" t="s">
        <v>3</v>
      </c>
      <c r="HP95" t="s">
        <v>3</v>
      </c>
      <c r="HQ95" t="s">
        <v>3</v>
      </c>
      <c r="IK95">
        <v>0</v>
      </c>
    </row>
    <row r="96" spans="1:245" x14ac:dyDescent="0.2">
      <c r="A96">
        <v>17</v>
      </c>
      <c r="B96">
        <v>1</v>
      </c>
      <c r="C96">
        <f>ROW(SmtRes!A101)</f>
        <v>101</v>
      </c>
      <c r="D96">
        <f>ROW(EtalonRes!A107)</f>
        <v>107</v>
      </c>
      <c r="E96" t="s">
        <v>204</v>
      </c>
      <c r="F96" t="s">
        <v>143</v>
      </c>
      <c r="G96" t="s">
        <v>144</v>
      </c>
      <c r="H96" t="s">
        <v>127</v>
      </c>
      <c r="I96">
        <f>ROUND(ROUND(110/100,4),7)</f>
        <v>1.1000000000000001</v>
      </c>
      <c r="J96">
        <v>0</v>
      </c>
      <c r="K96">
        <f>ROUND(ROUND(110/100,4),7)</f>
        <v>1.1000000000000001</v>
      </c>
      <c r="O96">
        <f t="shared" ref="O96:O110" si="80">ROUND(CP96,2)</f>
        <v>2961.2</v>
      </c>
      <c r="P96">
        <f t="shared" ref="P96:P110" si="81">ROUND(CQ96*I96,2)</f>
        <v>941.6</v>
      </c>
      <c r="Q96">
        <f t="shared" ref="Q96:Q110" si="82">ROUND(CR96*I96,2)</f>
        <v>1817.2</v>
      </c>
      <c r="R96">
        <f t="shared" ref="R96:R110" si="83">ROUND(CS96*I96,2)</f>
        <v>62.7</v>
      </c>
      <c r="S96">
        <f t="shared" ref="S96:S110" si="84">ROUND(CT96*I96,2)</f>
        <v>202.4</v>
      </c>
      <c r="T96">
        <f t="shared" ref="T96:T110" si="85">ROUND(CU96*I96,2)</f>
        <v>0</v>
      </c>
      <c r="U96">
        <f t="shared" ref="U96:U110" si="86">CV96*I96</f>
        <v>27.690849999999998</v>
      </c>
      <c r="V96">
        <f t="shared" ref="V96:V110" si="87">CW96*I96</f>
        <v>0</v>
      </c>
      <c r="W96">
        <f t="shared" ref="W96:W110" si="88">ROUND(CX96*I96,2)</f>
        <v>0</v>
      </c>
      <c r="X96">
        <f t="shared" ref="X96:X110" si="89">ROUND(CY96,2)</f>
        <v>334.03</v>
      </c>
      <c r="Y96">
        <f t="shared" ref="Y96:Y110" si="90">ROUND(CZ96,2)</f>
        <v>251.85</v>
      </c>
      <c r="AA96">
        <v>29836452</v>
      </c>
      <c r="AB96">
        <f t="shared" ref="AB96:AB110" si="91">ROUND((AC96+AD96+AF96),0)</f>
        <v>2692</v>
      </c>
      <c r="AC96">
        <f t="shared" ref="AC96:AC104" si="92">ROUND((ES96),0)</f>
        <v>856</v>
      </c>
      <c r="AD96">
        <f>ROUND(((((ET96*ROUND(1.25,7)))-((EU96*ROUND(1.25,7))))+AE96),0)</f>
        <v>1652</v>
      </c>
      <c r="AE96">
        <f>ROUND(((EU96*ROUND(1.25,7))),0)</f>
        <v>57</v>
      </c>
      <c r="AF96">
        <f>ROUND(((EV96*ROUND(1.15,7))),0)</f>
        <v>184</v>
      </c>
      <c r="AG96">
        <f t="shared" ref="AG96:AG110" si="93">ROUND((AP96),0)</f>
        <v>0</v>
      </c>
      <c r="AH96">
        <f>((EW96*ROUND(1.15,7)))</f>
        <v>25.173499999999997</v>
      </c>
      <c r="AI96">
        <f>((EX96*ROUND(1.25,7)))</f>
        <v>0</v>
      </c>
      <c r="AJ96">
        <f t="shared" ref="AJ96:AJ110" si="94">(AS96)</f>
        <v>0</v>
      </c>
      <c r="AK96">
        <v>2337.61</v>
      </c>
      <c r="AL96">
        <v>856.3</v>
      </c>
      <c r="AM96">
        <v>1321.73</v>
      </c>
      <c r="AN96">
        <v>45.37</v>
      </c>
      <c r="AO96">
        <v>159.58000000000001</v>
      </c>
      <c r="AP96">
        <v>0</v>
      </c>
      <c r="AQ96">
        <v>21.89</v>
      </c>
      <c r="AR96">
        <v>0</v>
      </c>
      <c r="AS96">
        <v>0</v>
      </c>
      <c r="AT96">
        <v>126</v>
      </c>
      <c r="AU96">
        <v>95</v>
      </c>
      <c r="AV96">
        <v>1</v>
      </c>
      <c r="AW96">
        <v>1</v>
      </c>
      <c r="AZ96">
        <v>1</v>
      </c>
      <c r="BA96">
        <v>35.86</v>
      </c>
      <c r="BB96">
        <v>1</v>
      </c>
      <c r="BC96">
        <v>1</v>
      </c>
      <c r="BD96" t="s">
        <v>3</v>
      </c>
      <c r="BE96" t="s">
        <v>3</v>
      </c>
      <c r="BF96" t="s">
        <v>3</v>
      </c>
      <c r="BG96" t="s">
        <v>3</v>
      </c>
      <c r="BH96">
        <v>0</v>
      </c>
      <c r="BI96">
        <v>1</v>
      </c>
      <c r="BJ96" t="s">
        <v>145</v>
      </c>
      <c r="BM96">
        <v>27001</v>
      </c>
      <c r="BN96">
        <v>0</v>
      </c>
      <c r="BO96" t="s">
        <v>29</v>
      </c>
      <c r="BP96">
        <v>1</v>
      </c>
      <c r="BQ96">
        <v>2</v>
      </c>
      <c r="BR96">
        <v>0</v>
      </c>
      <c r="BS96">
        <v>35.86</v>
      </c>
      <c r="BT96">
        <v>1</v>
      </c>
      <c r="BU96">
        <v>1</v>
      </c>
      <c r="BV96">
        <v>1</v>
      </c>
      <c r="BW96">
        <v>1</v>
      </c>
      <c r="BX96">
        <v>1</v>
      </c>
      <c r="BY96" t="s">
        <v>3</v>
      </c>
      <c r="BZ96">
        <v>126</v>
      </c>
      <c r="CA96">
        <v>95</v>
      </c>
      <c r="CB96" t="s">
        <v>3</v>
      </c>
      <c r="CE96">
        <v>0</v>
      </c>
      <c r="CF96">
        <v>0</v>
      </c>
      <c r="CG96">
        <v>0</v>
      </c>
      <c r="CM96">
        <v>0</v>
      </c>
      <c r="CN96" t="s">
        <v>30</v>
      </c>
      <c r="CO96">
        <v>0</v>
      </c>
      <c r="CP96">
        <f t="shared" ref="CP96:CP110" si="95">(P96+Q96+S96)</f>
        <v>2961.2000000000003</v>
      </c>
      <c r="CQ96">
        <f t="shared" ref="CQ96:CQ110" si="96">AC96*BC96</f>
        <v>856</v>
      </c>
      <c r="CR96">
        <f t="shared" ref="CR96:CR110" si="97">AD96*BB96</f>
        <v>1652</v>
      </c>
      <c r="CS96">
        <f t="shared" ref="CS96:CS110" si="98">AE96</f>
        <v>57</v>
      </c>
      <c r="CT96">
        <f t="shared" ref="CT96:CT110" si="99">AF96</f>
        <v>184</v>
      </c>
      <c r="CU96">
        <f t="shared" ref="CU96:CU110" si="100">AG96</f>
        <v>0</v>
      </c>
      <c r="CV96">
        <f t="shared" ref="CV96:CV110" si="101">AH96</f>
        <v>25.173499999999997</v>
      </c>
      <c r="CW96">
        <f t="shared" ref="CW96:CW110" si="102">AI96</f>
        <v>0</v>
      </c>
      <c r="CX96">
        <f t="shared" ref="CX96:CX110" si="103">AJ96</f>
        <v>0</v>
      </c>
      <c r="CY96">
        <f t="shared" ref="CY96:CY110" si="104">(((S96+R96)*AT96)/100)</f>
        <v>334.02600000000007</v>
      </c>
      <c r="CZ96">
        <f t="shared" ref="CZ96:CZ110" si="105">(((S96+R96)*AU96)/100)</f>
        <v>251.84500000000003</v>
      </c>
      <c r="DC96" t="s">
        <v>3</v>
      </c>
      <c r="DD96" t="s">
        <v>3</v>
      </c>
      <c r="DE96" t="s">
        <v>31</v>
      </c>
      <c r="DF96" t="s">
        <v>31</v>
      </c>
      <c r="DG96" t="s">
        <v>32</v>
      </c>
      <c r="DH96" t="s">
        <v>3</v>
      </c>
      <c r="DI96" t="s">
        <v>32</v>
      </c>
      <c r="DJ96" t="s">
        <v>31</v>
      </c>
      <c r="DK96" t="s">
        <v>3</v>
      </c>
      <c r="DL96" t="s">
        <v>3</v>
      </c>
      <c r="DM96" t="s">
        <v>3</v>
      </c>
      <c r="DN96">
        <v>0</v>
      </c>
      <c r="DO96">
        <v>0</v>
      </c>
      <c r="DP96">
        <v>1</v>
      </c>
      <c r="DQ96">
        <v>1</v>
      </c>
      <c r="DU96">
        <v>1003</v>
      </c>
      <c r="DV96" t="s">
        <v>127</v>
      </c>
      <c r="DW96" t="s">
        <v>127</v>
      </c>
      <c r="DX96">
        <v>100</v>
      </c>
      <c r="DZ96" t="s">
        <v>3</v>
      </c>
      <c r="EA96" t="s">
        <v>3</v>
      </c>
      <c r="EB96" t="s">
        <v>3</v>
      </c>
      <c r="EC96" t="s">
        <v>3</v>
      </c>
      <c r="EE96">
        <v>29578057</v>
      </c>
      <c r="EF96">
        <v>2</v>
      </c>
      <c r="EG96" t="s">
        <v>33</v>
      </c>
      <c r="EH96">
        <v>21</v>
      </c>
      <c r="EI96" t="s">
        <v>51</v>
      </c>
      <c r="EJ96">
        <v>1</v>
      </c>
      <c r="EK96">
        <v>27001</v>
      </c>
      <c r="EL96" t="s">
        <v>51</v>
      </c>
      <c r="EM96" t="s">
        <v>52</v>
      </c>
      <c r="EO96" t="s">
        <v>37</v>
      </c>
      <c r="EQ96">
        <v>0</v>
      </c>
      <c r="ER96">
        <v>2337.61</v>
      </c>
      <c r="ES96">
        <v>856.3</v>
      </c>
      <c r="ET96">
        <v>1321.73</v>
      </c>
      <c r="EU96">
        <v>45.37</v>
      </c>
      <c r="EV96">
        <v>159.58000000000001</v>
      </c>
      <c r="EW96">
        <v>21.89</v>
      </c>
      <c r="EX96">
        <v>0</v>
      </c>
      <c r="EY96">
        <v>0</v>
      </c>
      <c r="FQ96">
        <v>0</v>
      </c>
      <c r="FR96">
        <f t="shared" si="76"/>
        <v>0</v>
      </c>
      <c r="FS96">
        <v>0</v>
      </c>
      <c r="FX96">
        <v>126</v>
      </c>
      <c r="FY96">
        <v>95</v>
      </c>
      <c r="GA96" t="s">
        <v>3</v>
      </c>
      <c r="GD96">
        <v>1</v>
      </c>
      <c r="GF96">
        <v>-1241422226</v>
      </c>
      <c r="GG96">
        <v>2</v>
      </c>
      <c r="GH96">
        <v>1</v>
      </c>
      <c r="GI96">
        <v>4</v>
      </c>
      <c r="GJ96">
        <v>0</v>
      </c>
      <c r="GK96">
        <v>0</v>
      </c>
      <c r="GL96">
        <f t="shared" si="77"/>
        <v>0</v>
      </c>
      <c r="GM96">
        <f t="shared" ref="GM96:GM110" si="106">ROUND(O96+X96+Y96,2)+GX96</f>
        <v>3547.08</v>
      </c>
      <c r="GN96">
        <f t="shared" ref="GN96:GN110" si="107">IF(OR(BI96=0,BI96=1),ROUND(O96+X96+Y96,2),0)</f>
        <v>3547.08</v>
      </c>
      <c r="GO96">
        <f t="shared" ref="GO96:GO110" si="108">IF(BI96=2,ROUND(O96+X96+Y96,2),0)</f>
        <v>0</v>
      </c>
      <c r="GP96">
        <f t="shared" ref="GP96:GP110" si="109">IF(BI96=4,ROUND(O96+X96+Y96,2)+GX96,0)</f>
        <v>0</v>
      </c>
      <c r="GR96">
        <v>0</v>
      </c>
      <c r="GS96">
        <v>3</v>
      </c>
      <c r="GT96">
        <v>0</v>
      </c>
      <c r="GU96" t="s">
        <v>3</v>
      </c>
      <c r="GV96">
        <f t="shared" ref="GV96:GV110" si="110">ROUND((GT96),0)</f>
        <v>0</v>
      </c>
      <c r="GW96">
        <v>1</v>
      </c>
      <c r="GX96">
        <f t="shared" ref="GX96:GX110" si="111">ROUND(HC96*I96,2)</f>
        <v>0</v>
      </c>
      <c r="HA96">
        <v>0</v>
      </c>
      <c r="HB96">
        <v>0</v>
      </c>
      <c r="HC96">
        <f t="shared" ref="HC96:HC110" si="112">GV96*GW96</f>
        <v>0</v>
      </c>
      <c r="HE96" t="s">
        <v>3</v>
      </c>
      <c r="HF96" t="s">
        <v>3</v>
      </c>
      <c r="HI96">
        <f t="shared" si="78"/>
        <v>2248.42</v>
      </c>
      <c r="HJ96">
        <f t="shared" si="79"/>
        <v>7258.06</v>
      </c>
      <c r="HK96">
        <f t="shared" ref="HK96:HK110" si="113">ROUND((((HJ96+HI96)*AT96)/100),2)</f>
        <v>11978.16</v>
      </c>
      <c r="HL96">
        <f t="shared" ref="HL96:HL110" si="114">ROUND((((HJ96+HI96)*AU96)/100),2)</f>
        <v>9031.16</v>
      </c>
      <c r="HM96" t="s">
        <v>3</v>
      </c>
      <c r="HN96" t="s">
        <v>3</v>
      </c>
      <c r="HO96" t="s">
        <v>3</v>
      </c>
      <c r="HP96" t="s">
        <v>3</v>
      </c>
      <c r="HQ96" t="s">
        <v>3</v>
      </c>
      <c r="IK96">
        <v>0</v>
      </c>
    </row>
    <row r="97" spans="1:245" x14ac:dyDescent="0.2">
      <c r="A97">
        <v>17</v>
      </c>
      <c r="B97">
        <v>1</v>
      </c>
      <c r="C97">
        <f>ROW(SmtRes!A108)</f>
        <v>108</v>
      </c>
      <c r="D97">
        <f>ROW(EtalonRes!A114)</f>
        <v>114</v>
      </c>
      <c r="E97" t="s">
        <v>205</v>
      </c>
      <c r="F97" t="s">
        <v>206</v>
      </c>
      <c r="G97" t="s">
        <v>207</v>
      </c>
      <c r="H97" t="s">
        <v>208</v>
      </c>
      <c r="I97">
        <f>ROUND(ROUND(300/100,4),7)</f>
        <v>3</v>
      </c>
      <c r="J97">
        <v>0</v>
      </c>
      <c r="K97">
        <f>ROUND(ROUND(300/100,4),7)</f>
        <v>3</v>
      </c>
      <c r="O97">
        <f t="shared" si="80"/>
        <v>1764</v>
      </c>
      <c r="P97">
        <f t="shared" si="81"/>
        <v>15</v>
      </c>
      <c r="Q97">
        <f t="shared" si="82"/>
        <v>1065</v>
      </c>
      <c r="R97">
        <f t="shared" si="83"/>
        <v>114</v>
      </c>
      <c r="S97">
        <f t="shared" si="84"/>
        <v>684</v>
      </c>
      <c r="T97">
        <f t="shared" si="85"/>
        <v>0</v>
      </c>
      <c r="U97">
        <f t="shared" si="86"/>
        <v>90.527999999999992</v>
      </c>
      <c r="V97">
        <f t="shared" si="87"/>
        <v>0</v>
      </c>
      <c r="W97">
        <f t="shared" si="88"/>
        <v>0</v>
      </c>
      <c r="X97">
        <f t="shared" si="89"/>
        <v>1005.48</v>
      </c>
      <c r="Y97">
        <f t="shared" si="90"/>
        <v>758.1</v>
      </c>
      <c r="AA97">
        <v>29836452</v>
      </c>
      <c r="AB97">
        <f t="shared" si="91"/>
        <v>588</v>
      </c>
      <c r="AC97">
        <f t="shared" si="92"/>
        <v>5</v>
      </c>
      <c r="AD97">
        <f>ROUND(((((ET97*ROUND(1.25,7)))-((EU97*ROUND(1.25,7))))+AE97),0)</f>
        <v>355</v>
      </c>
      <c r="AE97">
        <f>ROUND(((EU97*ROUND(1.25,7))),0)</f>
        <v>38</v>
      </c>
      <c r="AF97">
        <f>ROUND(((EV97*ROUND(1.15,7))),0)</f>
        <v>228</v>
      </c>
      <c r="AG97">
        <f t="shared" si="93"/>
        <v>0</v>
      </c>
      <c r="AH97">
        <f>((EW97*ROUND(1.15,7)))</f>
        <v>30.175999999999995</v>
      </c>
      <c r="AI97">
        <f>((EX97*ROUND(1.25,7)))</f>
        <v>0</v>
      </c>
      <c r="AJ97">
        <f t="shared" si="94"/>
        <v>0</v>
      </c>
      <c r="AK97">
        <v>487.03</v>
      </c>
      <c r="AL97">
        <v>4.88</v>
      </c>
      <c r="AM97">
        <v>284.04000000000002</v>
      </c>
      <c r="AN97">
        <v>30.6</v>
      </c>
      <c r="AO97">
        <v>198.11</v>
      </c>
      <c r="AP97">
        <v>0</v>
      </c>
      <c r="AQ97">
        <v>26.24</v>
      </c>
      <c r="AR97">
        <v>0</v>
      </c>
      <c r="AS97">
        <v>0</v>
      </c>
      <c r="AT97">
        <v>126</v>
      </c>
      <c r="AU97">
        <v>95</v>
      </c>
      <c r="AV97">
        <v>1</v>
      </c>
      <c r="AW97">
        <v>1</v>
      </c>
      <c r="AZ97">
        <v>1</v>
      </c>
      <c r="BA97">
        <v>35.86</v>
      </c>
      <c r="BB97">
        <v>1</v>
      </c>
      <c r="BC97">
        <v>1</v>
      </c>
      <c r="BD97" t="s">
        <v>3</v>
      </c>
      <c r="BE97" t="s">
        <v>3</v>
      </c>
      <c r="BF97" t="s">
        <v>3</v>
      </c>
      <c r="BG97" t="s">
        <v>3</v>
      </c>
      <c r="BH97">
        <v>0</v>
      </c>
      <c r="BI97">
        <v>1</v>
      </c>
      <c r="BJ97" t="s">
        <v>209</v>
      </c>
      <c r="BM97">
        <v>27001</v>
      </c>
      <c r="BN97">
        <v>0</v>
      </c>
      <c r="BO97" t="s">
        <v>29</v>
      </c>
      <c r="BP97">
        <v>1</v>
      </c>
      <c r="BQ97">
        <v>2</v>
      </c>
      <c r="BR97">
        <v>0</v>
      </c>
      <c r="BS97">
        <v>35.86</v>
      </c>
      <c r="BT97">
        <v>1</v>
      </c>
      <c r="BU97">
        <v>1</v>
      </c>
      <c r="BV97">
        <v>1</v>
      </c>
      <c r="BW97">
        <v>1</v>
      </c>
      <c r="BX97">
        <v>1</v>
      </c>
      <c r="BY97" t="s">
        <v>3</v>
      </c>
      <c r="BZ97">
        <v>126</v>
      </c>
      <c r="CA97">
        <v>95</v>
      </c>
      <c r="CB97" t="s">
        <v>3</v>
      </c>
      <c r="CE97">
        <v>0</v>
      </c>
      <c r="CF97">
        <v>0</v>
      </c>
      <c r="CG97">
        <v>0</v>
      </c>
      <c r="CM97">
        <v>0</v>
      </c>
      <c r="CN97" t="s">
        <v>30</v>
      </c>
      <c r="CO97">
        <v>0</v>
      </c>
      <c r="CP97">
        <f t="shared" si="95"/>
        <v>1764</v>
      </c>
      <c r="CQ97">
        <f t="shared" si="96"/>
        <v>5</v>
      </c>
      <c r="CR97">
        <f t="shared" si="97"/>
        <v>355</v>
      </c>
      <c r="CS97">
        <f t="shared" si="98"/>
        <v>38</v>
      </c>
      <c r="CT97">
        <f t="shared" si="99"/>
        <v>228</v>
      </c>
      <c r="CU97">
        <f t="shared" si="100"/>
        <v>0</v>
      </c>
      <c r="CV97">
        <f t="shared" si="101"/>
        <v>30.175999999999995</v>
      </c>
      <c r="CW97">
        <f t="shared" si="102"/>
        <v>0</v>
      </c>
      <c r="CX97">
        <f t="shared" si="103"/>
        <v>0</v>
      </c>
      <c r="CY97">
        <f t="shared" si="104"/>
        <v>1005.48</v>
      </c>
      <c r="CZ97">
        <f t="shared" si="105"/>
        <v>758.1</v>
      </c>
      <c r="DC97" t="s">
        <v>3</v>
      </c>
      <c r="DD97" t="s">
        <v>3</v>
      </c>
      <c r="DE97" t="s">
        <v>31</v>
      </c>
      <c r="DF97" t="s">
        <v>31</v>
      </c>
      <c r="DG97" t="s">
        <v>32</v>
      </c>
      <c r="DH97" t="s">
        <v>3</v>
      </c>
      <c r="DI97" t="s">
        <v>32</v>
      </c>
      <c r="DJ97" t="s">
        <v>31</v>
      </c>
      <c r="DK97" t="s">
        <v>3</v>
      </c>
      <c r="DL97" t="s">
        <v>3</v>
      </c>
      <c r="DM97" t="s">
        <v>3</v>
      </c>
      <c r="DN97">
        <v>0</v>
      </c>
      <c r="DO97">
        <v>0</v>
      </c>
      <c r="DP97">
        <v>1</v>
      </c>
      <c r="DQ97">
        <v>1</v>
      </c>
      <c r="DU97">
        <v>1005</v>
      </c>
      <c r="DV97" t="s">
        <v>208</v>
      </c>
      <c r="DW97" t="s">
        <v>208</v>
      </c>
      <c r="DX97">
        <v>100</v>
      </c>
      <c r="DZ97" t="s">
        <v>3</v>
      </c>
      <c r="EA97" t="s">
        <v>3</v>
      </c>
      <c r="EB97" t="s">
        <v>3</v>
      </c>
      <c r="EC97" t="s">
        <v>3</v>
      </c>
      <c r="EE97">
        <v>29578057</v>
      </c>
      <c r="EF97">
        <v>2</v>
      </c>
      <c r="EG97" t="s">
        <v>33</v>
      </c>
      <c r="EH97">
        <v>21</v>
      </c>
      <c r="EI97" t="s">
        <v>51</v>
      </c>
      <c r="EJ97">
        <v>1</v>
      </c>
      <c r="EK97">
        <v>27001</v>
      </c>
      <c r="EL97" t="s">
        <v>51</v>
      </c>
      <c r="EM97" t="s">
        <v>52</v>
      </c>
      <c r="EO97" t="s">
        <v>37</v>
      </c>
      <c r="EQ97">
        <v>512</v>
      </c>
      <c r="ER97">
        <v>487.03</v>
      </c>
      <c r="ES97">
        <v>4.88</v>
      </c>
      <c r="ET97">
        <v>284.04000000000002</v>
      </c>
      <c r="EU97">
        <v>30.6</v>
      </c>
      <c r="EV97">
        <v>198.11</v>
      </c>
      <c r="EW97">
        <v>26.24</v>
      </c>
      <c r="EX97">
        <v>0</v>
      </c>
      <c r="EY97">
        <v>0</v>
      </c>
      <c r="FQ97">
        <v>0</v>
      </c>
      <c r="FR97">
        <f t="shared" si="76"/>
        <v>0</v>
      </c>
      <c r="FS97">
        <v>0</v>
      </c>
      <c r="FX97">
        <v>126</v>
      </c>
      <c r="FY97">
        <v>95</v>
      </c>
      <c r="GA97" t="s">
        <v>3</v>
      </c>
      <c r="GD97">
        <v>1</v>
      </c>
      <c r="GF97">
        <v>1446727993</v>
      </c>
      <c r="GG97">
        <v>2</v>
      </c>
      <c r="GH97">
        <v>1</v>
      </c>
      <c r="GI97">
        <v>4</v>
      </c>
      <c r="GJ97">
        <v>0</v>
      </c>
      <c r="GK97">
        <v>0</v>
      </c>
      <c r="GL97">
        <f t="shared" si="77"/>
        <v>0</v>
      </c>
      <c r="GM97">
        <f t="shared" si="106"/>
        <v>3527.58</v>
      </c>
      <c r="GN97">
        <f t="shared" si="107"/>
        <v>3527.58</v>
      </c>
      <c r="GO97">
        <f t="shared" si="108"/>
        <v>0</v>
      </c>
      <c r="GP97">
        <f t="shared" si="109"/>
        <v>0</v>
      </c>
      <c r="GR97">
        <v>0</v>
      </c>
      <c r="GS97">
        <v>3</v>
      </c>
      <c r="GT97">
        <v>0</v>
      </c>
      <c r="GU97" t="s">
        <v>3</v>
      </c>
      <c r="GV97">
        <f t="shared" si="110"/>
        <v>0</v>
      </c>
      <c r="GW97">
        <v>1</v>
      </c>
      <c r="GX97">
        <f t="shared" si="111"/>
        <v>0</v>
      </c>
      <c r="HA97">
        <v>0</v>
      </c>
      <c r="HB97">
        <v>0</v>
      </c>
      <c r="HC97">
        <f t="shared" si="112"/>
        <v>0</v>
      </c>
      <c r="HE97" t="s">
        <v>3</v>
      </c>
      <c r="HF97" t="s">
        <v>3</v>
      </c>
      <c r="HI97">
        <f t="shared" si="78"/>
        <v>4088.04</v>
      </c>
      <c r="HJ97">
        <f t="shared" si="79"/>
        <v>24528.240000000002</v>
      </c>
      <c r="HK97">
        <f t="shared" si="113"/>
        <v>36056.51</v>
      </c>
      <c r="HL97">
        <f t="shared" si="114"/>
        <v>27185.47</v>
      </c>
      <c r="HM97" t="s">
        <v>3</v>
      </c>
      <c r="HN97" t="s">
        <v>3</v>
      </c>
      <c r="HO97" t="s">
        <v>3</v>
      </c>
      <c r="HP97" t="s">
        <v>3</v>
      </c>
      <c r="HQ97" t="s">
        <v>3</v>
      </c>
      <c r="IK97">
        <v>0</v>
      </c>
    </row>
    <row r="98" spans="1:245" x14ac:dyDescent="0.2">
      <c r="A98">
        <v>18</v>
      </c>
      <c r="B98">
        <v>1</v>
      </c>
      <c r="C98">
        <v>108</v>
      </c>
      <c r="E98" t="s">
        <v>210</v>
      </c>
      <c r="F98" t="s">
        <v>211</v>
      </c>
      <c r="G98" t="s">
        <v>212</v>
      </c>
      <c r="H98" t="s">
        <v>56</v>
      </c>
      <c r="I98">
        <f>I97*J98</f>
        <v>52.2</v>
      </c>
      <c r="J98">
        <v>17.400000000000002</v>
      </c>
      <c r="K98">
        <v>17.399999999999999</v>
      </c>
      <c r="O98">
        <f t="shared" si="80"/>
        <v>0</v>
      </c>
      <c r="P98">
        <f t="shared" si="81"/>
        <v>0</v>
      </c>
      <c r="Q98">
        <f t="shared" si="82"/>
        <v>0</v>
      </c>
      <c r="R98">
        <f t="shared" si="83"/>
        <v>0</v>
      </c>
      <c r="S98">
        <f t="shared" si="84"/>
        <v>0</v>
      </c>
      <c r="T98">
        <f t="shared" si="85"/>
        <v>0</v>
      </c>
      <c r="U98">
        <f t="shared" si="86"/>
        <v>0</v>
      </c>
      <c r="V98">
        <f t="shared" si="87"/>
        <v>0</v>
      </c>
      <c r="W98">
        <f t="shared" si="88"/>
        <v>0</v>
      </c>
      <c r="X98">
        <f t="shared" si="89"/>
        <v>0</v>
      </c>
      <c r="Y98">
        <f t="shared" si="90"/>
        <v>0</v>
      </c>
      <c r="AA98">
        <v>29836452</v>
      </c>
      <c r="AB98">
        <f t="shared" si="91"/>
        <v>0</v>
      </c>
      <c r="AC98">
        <f t="shared" si="92"/>
        <v>0</v>
      </c>
      <c r="AD98">
        <f>ROUND((((ET98)-(EU98))+AE98),0)</f>
        <v>0</v>
      </c>
      <c r="AE98">
        <f>ROUND((EU98),0)</f>
        <v>0</v>
      </c>
      <c r="AF98">
        <f>ROUND((EV98),0)</f>
        <v>0</v>
      </c>
      <c r="AG98">
        <f t="shared" si="93"/>
        <v>0</v>
      </c>
      <c r="AH98">
        <f>(EW98)</f>
        <v>0</v>
      </c>
      <c r="AI98">
        <f>(EX98)</f>
        <v>0</v>
      </c>
      <c r="AJ98">
        <f t="shared" si="94"/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126</v>
      </c>
      <c r="AU98">
        <v>95</v>
      </c>
      <c r="AV98">
        <v>1</v>
      </c>
      <c r="AW98">
        <v>1</v>
      </c>
      <c r="AZ98">
        <v>1</v>
      </c>
      <c r="BA98">
        <v>1</v>
      </c>
      <c r="BB98">
        <v>1</v>
      </c>
      <c r="BC98">
        <v>1</v>
      </c>
      <c r="BD98" t="s">
        <v>3</v>
      </c>
      <c r="BE98" t="s">
        <v>3</v>
      </c>
      <c r="BF98" t="s">
        <v>3</v>
      </c>
      <c r="BG98" t="s">
        <v>3</v>
      </c>
      <c r="BH98">
        <v>3</v>
      </c>
      <c r="BI98">
        <v>1</v>
      </c>
      <c r="BJ98" t="s">
        <v>3</v>
      </c>
      <c r="BM98">
        <v>27001</v>
      </c>
      <c r="BN98">
        <v>0</v>
      </c>
      <c r="BO98" t="s">
        <v>29</v>
      </c>
      <c r="BP98">
        <v>1</v>
      </c>
      <c r="BQ98">
        <v>2</v>
      </c>
      <c r="BR98">
        <v>0</v>
      </c>
      <c r="BS98">
        <v>1</v>
      </c>
      <c r="BT98">
        <v>1</v>
      </c>
      <c r="BU98">
        <v>1</v>
      </c>
      <c r="BV98">
        <v>1</v>
      </c>
      <c r="BW98">
        <v>1</v>
      </c>
      <c r="BX98">
        <v>1</v>
      </c>
      <c r="BY98" t="s">
        <v>3</v>
      </c>
      <c r="BZ98">
        <v>126</v>
      </c>
      <c r="CA98">
        <v>95</v>
      </c>
      <c r="CB98" t="s">
        <v>3</v>
      </c>
      <c r="CE98">
        <v>0</v>
      </c>
      <c r="CF98">
        <v>0</v>
      </c>
      <c r="CG98">
        <v>0</v>
      </c>
      <c r="CM98">
        <v>0</v>
      </c>
      <c r="CN98" t="s">
        <v>3</v>
      </c>
      <c r="CO98">
        <v>0</v>
      </c>
      <c r="CP98">
        <f t="shared" si="95"/>
        <v>0</v>
      </c>
      <c r="CQ98">
        <f t="shared" si="96"/>
        <v>0</v>
      </c>
      <c r="CR98">
        <f t="shared" si="97"/>
        <v>0</v>
      </c>
      <c r="CS98">
        <f t="shared" si="98"/>
        <v>0</v>
      </c>
      <c r="CT98">
        <f t="shared" si="99"/>
        <v>0</v>
      </c>
      <c r="CU98">
        <f t="shared" si="100"/>
        <v>0</v>
      </c>
      <c r="CV98">
        <f t="shared" si="101"/>
        <v>0</v>
      </c>
      <c r="CW98">
        <f t="shared" si="102"/>
        <v>0</v>
      </c>
      <c r="CX98">
        <f t="shared" si="103"/>
        <v>0</v>
      </c>
      <c r="CY98">
        <f t="shared" si="104"/>
        <v>0</v>
      </c>
      <c r="CZ98">
        <f t="shared" si="105"/>
        <v>0</v>
      </c>
      <c r="DC98" t="s">
        <v>3</v>
      </c>
      <c r="DD98" t="s">
        <v>3</v>
      </c>
      <c r="DE98" t="s">
        <v>3</v>
      </c>
      <c r="DF98" t="s">
        <v>3</v>
      </c>
      <c r="DG98" t="s">
        <v>3</v>
      </c>
      <c r="DH98" t="s">
        <v>3</v>
      </c>
      <c r="DI98" t="s">
        <v>3</v>
      </c>
      <c r="DJ98" t="s">
        <v>3</v>
      </c>
      <c r="DK98" t="s">
        <v>3</v>
      </c>
      <c r="DL98" t="s">
        <v>3</v>
      </c>
      <c r="DM98" t="s">
        <v>3</v>
      </c>
      <c r="DN98">
        <v>0</v>
      </c>
      <c r="DO98">
        <v>0</v>
      </c>
      <c r="DP98">
        <v>1</v>
      </c>
      <c r="DQ98">
        <v>1</v>
      </c>
      <c r="DU98">
        <v>1007</v>
      </c>
      <c r="DV98" t="s">
        <v>56</v>
      </c>
      <c r="DW98" t="s">
        <v>56</v>
      </c>
      <c r="DX98">
        <v>1</v>
      </c>
      <c r="DZ98" t="s">
        <v>3</v>
      </c>
      <c r="EA98" t="s">
        <v>3</v>
      </c>
      <c r="EB98" t="s">
        <v>3</v>
      </c>
      <c r="EC98" t="s">
        <v>3</v>
      </c>
      <c r="EE98">
        <v>29578057</v>
      </c>
      <c r="EF98">
        <v>2</v>
      </c>
      <c r="EG98" t="s">
        <v>33</v>
      </c>
      <c r="EH98">
        <v>21</v>
      </c>
      <c r="EI98" t="s">
        <v>51</v>
      </c>
      <c r="EJ98">
        <v>1</v>
      </c>
      <c r="EK98">
        <v>27001</v>
      </c>
      <c r="EL98" t="s">
        <v>51</v>
      </c>
      <c r="EM98" t="s">
        <v>52</v>
      </c>
      <c r="EO98" t="s">
        <v>3</v>
      </c>
      <c r="EQ98">
        <v>512</v>
      </c>
      <c r="ER98">
        <v>0</v>
      </c>
      <c r="ES98">
        <v>0</v>
      </c>
      <c r="ET98">
        <v>0</v>
      </c>
      <c r="EU98">
        <v>0</v>
      </c>
      <c r="EV98">
        <v>0</v>
      </c>
      <c r="EW98">
        <v>0</v>
      </c>
      <c r="EX98">
        <v>0</v>
      </c>
      <c r="FQ98">
        <v>0</v>
      </c>
      <c r="FR98">
        <f t="shared" si="76"/>
        <v>0</v>
      </c>
      <c r="FS98">
        <v>0</v>
      </c>
      <c r="FX98">
        <v>126</v>
      </c>
      <c r="FY98">
        <v>95</v>
      </c>
      <c r="GA98" t="s">
        <v>3</v>
      </c>
      <c r="GD98">
        <v>1</v>
      </c>
      <c r="GF98">
        <v>1737021368</v>
      </c>
      <c r="GG98">
        <v>2</v>
      </c>
      <c r="GH98">
        <v>1</v>
      </c>
      <c r="GI98">
        <v>4</v>
      </c>
      <c r="GJ98">
        <v>0</v>
      </c>
      <c r="GK98">
        <v>0</v>
      </c>
      <c r="GL98">
        <f t="shared" si="77"/>
        <v>0</v>
      </c>
      <c r="GM98">
        <f t="shared" si="106"/>
        <v>0</v>
      </c>
      <c r="GN98">
        <f t="shared" si="107"/>
        <v>0</v>
      </c>
      <c r="GO98">
        <f t="shared" si="108"/>
        <v>0</v>
      </c>
      <c r="GP98">
        <f t="shared" si="109"/>
        <v>0</v>
      </c>
      <c r="GR98">
        <v>0</v>
      </c>
      <c r="GS98">
        <v>3</v>
      </c>
      <c r="GT98">
        <v>0</v>
      </c>
      <c r="GU98" t="s">
        <v>3</v>
      </c>
      <c r="GV98">
        <f t="shared" si="110"/>
        <v>0</v>
      </c>
      <c r="GW98">
        <v>1</v>
      </c>
      <c r="GX98">
        <f t="shared" si="111"/>
        <v>0</v>
      </c>
      <c r="HA98">
        <v>0</v>
      </c>
      <c r="HB98">
        <v>0</v>
      </c>
      <c r="HC98">
        <f t="shared" si="112"/>
        <v>0</v>
      </c>
      <c r="HE98" t="s">
        <v>3</v>
      </c>
      <c r="HF98" t="s">
        <v>3</v>
      </c>
      <c r="HI98">
        <f t="shared" si="78"/>
        <v>0</v>
      </c>
      <c r="HJ98">
        <f t="shared" si="79"/>
        <v>0</v>
      </c>
      <c r="HK98">
        <f t="shared" si="113"/>
        <v>0</v>
      </c>
      <c r="HL98">
        <f t="shared" si="114"/>
        <v>0</v>
      </c>
      <c r="HM98" t="s">
        <v>3</v>
      </c>
      <c r="HN98" t="s">
        <v>3</v>
      </c>
      <c r="HO98" t="s">
        <v>3</v>
      </c>
      <c r="HP98" t="s">
        <v>3</v>
      </c>
      <c r="HQ98" t="s">
        <v>3</v>
      </c>
      <c r="IK98">
        <v>0</v>
      </c>
    </row>
    <row r="99" spans="1:245" x14ac:dyDescent="0.2">
      <c r="A99">
        <v>17</v>
      </c>
      <c r="B99">
        <v>1</v>
      </c>
      <c r="C99">
        <f>ROW(SmtRes!A112)</f>
        <v>112</v>
      </c>
      <c r="D99">
        <f>ROW(EtalonRes!A118)</f>
        <v>118</v>
      </c>
      <c r="E99" t="s">
        <v>213</v>
      </c>
      <c r="F99" t="s">
        <v>214</v>
      </c>
      <c r="G99" t="s">
        <v>215</v>
      </c>
      <c r="H99" t="s">
        <v>208</v>
      </c>
      <c r="I99">
        <f>ROUND(ROUND(300/100,4),7)</f>
        <v>3</v>
      </c>
      <c r="J99">
        <v>0</v>
      </c>
      <c r="K99">
        <f>ROUND(ROUND(300/100,4),7)</f>
        <v>3</v>
      </c>
      <c r="O99">
        <f t="shared" si="80"/>
        <v>51</v>
      </c>
      <c r="P99">
        <f t="shared" si="81"/>
        <v>0</v>
      </c>
      <c r="Q99">
        <f t="shared" si="82"/>
        <v>36</v>
      </c>
      <c r="R99">
        <f t="shared" si="83"/>
        <v>3</v>
      </c>
      <c r="S99">
        <f t="shared" si="84"/>
        <v>15</v>
      </c>
      <c r="T99">
        <f t="shared" si="85"/>
        <v>0</v>
      </c>
      <c r="U99">
        <f t="shared" si="86"/>
        <v>1.863</v>
      </c>
      <c r="V99">
        <f t="shared" si="87"/>
        <v>0</v>
      </c>
      <c r="W99">
        <f t="shared" si="88"/>
        <v>0</v>
      </c>
      <c r="X99">
        <f t="shared" si="89"/>
        <v>22.68</v>
      </c>
      <c r="Y99">
        <f t="shared" si="90"/>
        <v>17.100000000000001</v>
      </c>
      <c r="AA99">
        <v>29836452</v>
      </c>
      <c r="AB99">
        <f t="shared" si="91"/>
        <v>17</v>
      </c>
      <c r="AC99">
        <f t="shared" si="92"/>
        <v>0</v>
      </c>
      <c r="AD99">
        <f>ROUND(((((ET99*ROUND(1.25,7)))-((EU99*ROUND(1.25,7))))+AE99),0)</f>
        <v>12</v>
      </c>
      <c r="AE99">
        <f>ROUND(((EU99*ROUND(1.25,7))),0)</f>
        <v>1</v>
      </c>
      <c r="AF99">
        <f>ROUND(((EV99*ROUND(1.15,7))),0)</f>
        <v>5</v>
      </c>
      <c r="AG99">
        <f t="shared" si="93"/>
        <v>0</v>
      </c>
      <c r="AH99">
        <f>((EW99*ROUND(1.15,7)))</f>
        <v>0.621</v>
      </c>
      <c r="AI99">
        <f>((EX99*ROUND(1.25,7)))</f>
        <v>0</v>
      </c>
      <c r="AJ99">
        <f t="shared" si="94"/>
        <v>0</v>
      </c>
      <c r="AK99">
        <v>13.45</v>
      </c>
      <c r="AL99">
        <v>0</v>
      </c>
      <c r="AM99">
        <v>9.3699999999999992</v>
      </c>
      <c r="AN99">
        <v>0.88</v>
      </c>
      <c r="AO99">
        <v>4.08</v>
      </c>
      <c r="AP99">
        <v>0</v>
      </c>
      <c r="AQ99">
        <v>0.54</v>
      </c>
      <c r="AR99">
        <v>0</v>
      </c>
      <c r="AS99">
        <v>0</v>
      </c>
      <c r="AT99">
        <v>126</v>
      </c>
      <c r="AU99">
        <v>95</v>
      </c>
      <c r="AV99">
        <v>1</v>
      </c>
      <c r="AW99">
        <v>1</v>
      </c>
      <c r="AZ99">
        <v>1</v>
      </c>
      <c r="BA99">
        <v>35.86</v>
      </c>
      <c r="BB99">
        <v>1</v>
      </c>
      <c r="BC99">
        <v>1</v>
      </c>
      <c r="BD99" t="s">
        <v>3</v>
      </c>
      <c r="BE99" t="s">
        <v>3</v>
      </c>
      <c r="BF99" t="s">
        <v>3</v>
      </c>
      <c r="BG99" t="s">
        <v>3</v>
      </c>
      <c r="BH99">
        <v>0</v>
      </c>
      <c r="BI99">
        <v>1</v>
      </c>
      <c r="BJ99" t="s">
        <v>216</v>
      </c>
      <c r="BM99">
        <v>27001</v>
      </c>
      <c r="BN99">
        <v>0</v>
      </c>
      <c r="BO99" t="s">
        <v>29</v>
      </c>
      <c r="BP99">
        <v>1</v>
      </c>
      <c r="BQ99">
        <v>2</v>
      </c>
      <c r="BR99">
        <v>0</v>
      </c>
      <c r="BS99">
        <v>35.86</v>
      </c>
      <c r="BT99">
        <v>1</v>
      </c>
      <c r="BU99">
        <v>1</v>
      </c>
      <c r="BV99">
        <v>1</v>
      </c>
      <c r="BW99">
        <v>1</v>
      </c>
      <c r="BX99">
        <v>1</v>
      </c>
      <c r="BY99" t="s">
        <v>3</v>
      </c>
      <c r="BZ99">
        <v>126</v>
      </c>
      <c r="CA99">
        <v>95</v>
      </c>
      <c r="CB99" t="s">
        <v>3</v>
      </c>
      <c r="CE99">
        <v>0</v>
      </c>
      <c r="CF99">
        <v>0</v>
      </c>
      <c r="CG99">
        <v>0</v>
      </c>
      <c r="CM99">
        <v>0</v>
      </c>
      <c r="CN99" t="s">
        <v>30</v>
      </c>
      <c r="CO99">
        <v>0</v>
      </c>
      <c r="CP99">
        <f t="shared" si="95"/>
        <v>51</v>
      </c>
      <c r="CQ99">
        <f t="shared" si="96"/>
        <v>0</v>
      </c>
      <c r="CR99">
        <f t="shared" si="97"/>
        <v>12</v>
      </c>
      <c r="CS99">
        <f t="shared" si="98"/>
        <v>1</v>
      </c>
      <c r="CT99">
        <f t="shared" si="99"/>
        <v>5</v>
      </c>
      <c r="CU99">
        <f t="shared" si="100"/>
        <v>0</v>
      </c>
      <c r="CV99">
        <f t="shared" si="101"/>
        <v>0.621</v>
      </c>
      <c r="CW99">
        <f t="shared" si="102"/>
        <v>0</v>
      </c>
      <c r="CX99">
        <f t="shared" si="103"/>
        <v>0</v>
      </c>
      <c r="CY99">
        <f t="shared" si="104"/>
        <v>22.68</v>
      </c>
      <c r="CZ99">
        <f t="shared" si="105"/>
        <v>17.100000000000001</v>
      </c>
      <c r="DC99" t="s">
        <v>3</v>
      </c>
      <c r="DD99" t="s">
        <v>3</v>
      </c>
      <c r="DE99" t="s">
        <v>31</v>
      </c>
      <c r="DF99" t="s">
        <v>31</v>
      </c>
      <c r="DG99" t="s">
        <v>32</v>
      </c>
      <c r="DH99" t="s">
        <v>3</v>
      </c>
      <c r="DI99" t="s">
        <v>32</v>
      </c>
      <c r="DJ99" t="s">
        <v>31</v>
      </c>
      <c r="DK99" t="s">
        <v>3</v>
      </c>
      <c r="DL99" t="s">
        <v>3</v>
      </c>
      <c r="DM99" t="s">
        <v>3</v>
      </c>
      <c r="DN99">
        <v>0</v>
      </c>
      <c r="DO99">
        <v>0</v>
      </c>
      <c r="DP99">
        <v>1</v>
      </c>
      <c r="DQ99">
        <v>1</v>
      </c>
      <c r="DU99">
        <v>1005</v>
      </c>
      <c r="DV99" t="s">
        <v>208</v>
      </c>
      <c r="DW99" t="s">
        <v>208</v>
      </c>
      <c r="DX99">
        <v>100</v>
      </c>
      <c r="DZ99" t="s">
        <v>3</v>
      </c>
      <c r="EA99" t="s">
        <v>3</v>
      </c>
      <c r="EB99" t="s">
        <v>3</v>
      </c>
      <c r="EC99" t="s">
        <v>3</v>
      </c>
      <c r="EE99">
        <v>29578057</v>
      </c>
      <c r="EF99">
        <v>2</v>
      </c>
      <c r="EG99" t="s">
        <v>33</v>
      </c>
      <c r="EH99">
        <v>21</v>
      </c>
      <c r="EI99" t="s">
        <v>51</v>
      </c>
      <c r="EJ99">
        <v>1</v>
      </c>
      <c r="EK99">
        <v>27001</v>
      </c>
      <c r="EL99" t="s">
        <v>51</v>
      </c>
      <c r="EM99" t="s">
        <v>52</v>
      </c>
      <c r="EO99" t="s">
        <v>37</v>
      </c>
      <c r="EQ99">
        <v>512</v>
      </c>
      <c r="ER99">
        <v>13.45</v>
      </c>
      <c r="ES99">
        <v>0</v>
      </c>
      <c r="ET99">
        <v>9.3699999999999992</v>
      </c>
      <c r="EU99">
        <v>0.88</v>
      </c>
      <c r="EV99">
        <v>4.08</v>
      </c>
      <c r="EW99">
        <v>0.54</v>
      </c>
      <c r="EX99">
        <v>0</v>
      </c>
      <c r="EY99">
        <v>0</v>
      </c>
      <c r="FQ99">
        <v>0</v>
      </c>
      <c r="FR99">
        <f t="shared" si="76"/>
        <v>0</v>
      </c>
      <c r="FS99">
        <v>0</v>
      </c>
      <c r="FX99">
        <v>126</v>
      </c>
      <c r="FY99">
        <v>95</v>
      </c>
      <c r="GA99" t="s">
        <v>3</v>
      </c>
      <c r="GD99">
        <v>1</v>
      </c>
      <c r="GF99">
        <v>-1915046492</v>
      </c>
      <c r="GG99">
        <v>2</v>
      </c>
      <c r="GH99">
        <v>1</v>
      </c>
      <c r="GI99">
        <v>4</v>
      </c>
      <c r="GJ99">
        <v>0</v>
      </c>
      <c r="GK99">
        <v>0</v>
      </c>
      <c r="GL99">
        <f t="shared" si="77"/>
        <v>0</v>
      </c>
      <c r="GM99">
        <f t="shared" si="106"/>
        <v>90.78</v>
      </c>
      <c r="GN99">
        <f t="shared" si="107"/>
        <v>90.78</v>
      </c>
      <c r="GO99">
        <f t="shared" si="108"/>
        <v>0</v>
      </c>
      <c r="GP99">
        <f t="shared" si="109"/>
        <v>0</v>
      </c>
      <c r="GR99">
        <v>0</v>
      </c>
      <c r="GS99">
        <v>3</v>
      </c>
      <c r="GT99">
        <v>0</v>
      </c>
      <c r="GU99" t="s">
        <v>3</v>
      </c>
      <c r="GV99">
        <f t="shared" si="110"/>
        <v>0</v>
      </c>
      <c r="GW99">
        <v>1</v>
      </c>
      <c r="GX99">
        <f t="shared" si="111"/>
        <v>0</v>
      </c>
      <c r="HA99">
        <v>0</v>
      </c>
      <c r="HB99">
        <v>0</v>
      </c>
      <c r="HC99">
        <f t="shared" si="112"/>
        <v>0</v>
      </c>
      <c r="HE99" t="s">
        <v>3</v>
      </c>
      <c r="HF99" t="s">
        <v>3</v>
      </c>
      <c r="HI99">
        <f t="shared" si="78"/>
        <v>107.58</v>
      </c>
      <c r="HJ99">
        <f t="shared" si="79"/>
        <v>537.9</v>
      </c>
      <c r="HK99">
        <f t="shared" si="113"/>
        <v>813.3</v>
      </c>
      <c r="HL99">
        <f t="shared" si="114"/>
        <v>613.21</v>
      </c>
      <c r="HM99" t="s">
        <v>3</v>
      </c>
      <c r="HN99" t="s">
        <v>3</v>
      </c>
      <c r="HO99" t="s">
        <v>3</v>
      </c>
      <c r="HP99" t="s">
        <v>3</v>
      </c>
      <c r="HQ99" t="s">
        <v>3</v>
      </c>
      <c r="IK99">
        <v>0</v>
      </c>
    </row>
    <row r="100" spans="1:245" x14ac:dyDescent="0.2">
      <c r="A100">
        <v>18</v>
      </c>
      <c r="B100">
        <v>1</v>
      </c>
      <c r="C100">
        <v>112</v>
      </c>
      <c r="E100" t="s">
        <v>217</v>
      </c>
      <c r="F100" t="s">
        <v>211</v>
      </c>
      <c r="G100" t="s">
        <v>212</v>
      </c>
      <c r="H100" t="s">
        <v>56</v>
      </c>
      <c r="I100">
        <f>I99*J100</f>
        <v>4.5</v>
      </c>
      <c r="J100">
        <v>1.5</v>
      </c>
      <c r="K100">
        <v>1.5</v>
      </c>
      <c r="O100">
        <f t="shared" si="80"/>
        <v>0</v>
      </c>
      <c r="P100">
        <f t="shared" si="81"/>
        <v>0</v>
      </c>
      <c r="Q100">
        <f t="shared" si="82"/>
        <v>0</v>
      </c>
      <c r="R100">
        <f t="shared" si="83"/>
        <v>0</v>
      </c>
      <c r="S100">
        <f t="shared" si="84"/>
        <v>0</v>
      </c>
      <c r="T100">
        <f t="shared" si="85"/>
        <v>0</v>
      </c>
      <c r="U100">
        <f t="shared" si="86"/>
        <v>0</v>
      </c>
      <c r="V100">
        <f t="shared" si="87"/>
        <v>0</v>
      </c>
      <c r="W100">
        <f t="shared" si="88"/>
        <v>0</v>
      </c>
      <c r="X100">
        <f t="shared" si="89"/>
        <v>0</v>
      </c>
      <c r="Y100">
        <f t="shared" si="90"/>
        <v>0</v>
      </c>
      <c r="AA100">
        <v>29836452</v>
      </c>
      <c r="AB100">
        <f t="shared" si="91"/>
        <v>0</v>
      </c>
      <c r="AC100">
        <f t="shared" si="92"/>
        <v>0</v>
      </c>
      <c r="AD100">
        <f>ROUND((((ET100)-(EU100))+AE100),0)</f>
        <v>0</v>
      </c>
      <c r="AE100">
        <f>ROUND((EU100),0)</f>
        <v>0</v>
      </c>
      <c r="AF100">
        <f>ROUND((EV100),0)</f>
        <v>0</v>
      </c>
      <c r="AG100">
        <f t="shared" si="93"/>
        <v>0</v>
      </c>
      <c r="AH100">
        <f>(EW100)</f>
        <v>0</v>
      </c>
      <c r="AI100">
        <f>(EX100)</f>
        <v>0</v>
      </c>
      <c r="AJ100">
        <f t="shared" si="94"/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126</v>
      </c>
      <c r="AU100">
        <v>95</v>
      </c>
      <c r="AV100">
        <v>1</v>
      </c>
      <c r="AW100">
        <v>1</v>
      </c>
      <c r="AZ100">
        <v>1</v>
      </c>
      <c r="BA100">
        <v>1</v>
      </c>
      <c r="BB100">
        <v>1</v>
      </c>
      <c r="BC100">
        <v>1</v>
      </c>
      <c r="BD100" t="s">
        <v>3</v>
      </c>
      <c r="BE100" t="s">
        <v>3</v>
      </c>
      <c r="BF100" t="s">
        <v>3</v>
      </c>
      <c r="BG100" t="s">
        <v>3</v>
      </c>
      <c r="BH100">
        <v>3</v>
      </c>
      <c r="BI100">
        <v>1</v>
      </c>
      <c r="BJ100" t="s">
        <v>3</v>
      </c>
      <c r="BM100">
        <v>27001</v>
      </c>
      <c r="BN100">
        <v>0</v>
      </c>
      <c r="BO100" t="s">
        <v>29</v>
      </c>
      <c r="BP100">
        <v>1</v>
      </c>
      <c r="BQ100">
        <v>2</v>
      </c>
      <c r="BR100">
        <v>0</v>
      </c>
      <c r="BS100">
        <v>1</v>
      </c>
      <c r="BT100">
        <v>1</v>
      </c>
      <c r="BU100">
        <v>1</v>
      </c>
      <c r="BV100">
        <v>1</v>
      </c>
      <c r="BW100">
        <v>1</v>
      </c>
      <c r="BX100">
        <v>1</v>
      </c>
      <c r="BY100" t="s">
        <v>3</v>
      </c>
      <c r="BZ100">
        <v>126</v>
      </c>
      <c r="CA100">
        <v>95</v>
      </c>
      <c r="CB100" t="s">
        <v>3</v>
      </c>
      <c r="CE100">
        <v>0</v>
      </c>
      <c r="CF100">
        <v>0</v>
      </c>
      <c r="CG100">
        <v>0</v>
      </c>
      <c r="CM100">
        <v>0</v>
      </c>
      <c r="CN100" t="s">
        <v>3</v>
      </c>
      <c r="CO100">
        <v>0</v>
      </c>
      <c r="CP100">
        <f t="shared" si="95"/>
        <v>0</v>
      </c>
      <c r="CQ100">
        <f t="shared" si="96"/>
        <v>0</v>
      </c>
      <c r="CR100">
        <f t="shared" si="97"/>
        <v>0</v>
      </c>
      <c r="CS100">
        <f t="shared" si="98"/>
        <v>0</v>
      </c>
      <c r="CT100">
        <f t="shared" si="99"/>
        <v>0</v>
      </c>
      <c r="CU100">
        <f t="shared" si="100"/>
        <v>0</v>
      </c>
      <c r="CV100">
        <f t="shared" si="101"/>
        <v>0</v>
      </c>
      <c r="CW100">
        <f t="shared" si="102"/>
        <v>0</v>
      </c>
      <c r="CX100">
        <f t="shared" si="103"/>
        <v>0</v>
      </c>
      <c r="CY100">
        <f t="shared" si="104"/>
        <v>0</v>
      </c>
      <c r="CZ100">
        <f t="shared" si="105"/>
        <v>0</v>
      </c>
      <c r="DC100" t="s">
        <v>3</v>
      </c>
      <c r="DD100" t="s">
        <v>3</v>
      </c>
      <c r="DE100" t="s">
        <v>3</v>
      </c>
      <c r="DF100" t="s">
        <v>3</v>
      </c>
      <c r="DG100" t="s">
        <v>3</v>
      </c>
      <c r="DH100" t="s">
        <v>3</v>
      </c>
      <c r="DI100" t="s">
        <v>3</v>
      </c>
      <c r="DJ100" t="s">
        <v>3</v>
      </c>
      <c r="DK100" t="s">
        <v>3</v>
      </c>
      <c r="DL100" t="s">
        <v>3</v>
      </c>
      <c r="DM100" t="s">
        <v>3</v>
      </c>
      <c r="DN100">
        <v>0</v>
      </c>
      <c r="DO100">
        <v>0</v>
      </c>
      <c r="DP100">
        <v>1</v>
      </c>
      <c r="DQ100">
        <v>1</v>
      </c>
      <c r="DU100">
        <v>1007</v>
      </c>
      <c r="DV100" t="s">
        <v>56</v>
      </c>
      <c r="DW100" t="s">
        <v>56</v>
      </c>
      <c r="DX100">
        <v>1</v>
      </c>
      <c r="DZ100" t="s">
        <v>3</v>
      </c>
      <c r="EA100" t="s">
        <v>3</v>
      </c>
      <c r="EB100" t="s">
        <v>3</v>
      </c>
      <c r="EC100" t="s">
        <v>3</v>
      </c>
      <c r="EE100">
        <v>29578057</v>
      </c>
      <c r="EF100">
        <v>2</v>
      </c>
      <c r="EG100" t="s">
        <v>33</v>
      </c>
      <c r="EH100">
        <v>21</v>
      </c>
      <c r="EI100" t="s">
        <v>51</v>
      </c>
      <c r="EJ100">
        <v>1</v>
      </c>
      <c r="EK100">
        <v>27001</v>
      </c>
      <c r="EL100" t="s">
        <v>51</v>
      </c>
      <c r="EM100" t="s">
        <v>52</v>
      </c>
      <c r="EO100" t="s">
        <v>3</v>
      </c>
      <c r="EQ100">
        <v>512</v>
      </c>
      <c r="ER100">
        <v>0</v>
      </c>
      <c r="ES100">
        <v>0</v>
      </c>
      <c r="ET100">
        <v>0</v>
      </c>
      <c r="EU100">
        <v>0</v>
      </c>
      <c r="EV100">
        <v>0</v>
      </c>
      <c r="EW100">
        <v>0</v>
      </c>
      <c r="EX100">
        <v>0</v>
      </c>
      <c r="FQ100">
        <v>0</v>
      </c>
      <c r="FR100">
        <f t="shared" si="76"/>
        <v>0</v>
      </c>
      <c r="FS100">
        <v>0</v>
      </c>
      <c r="FX100">
        <v>126</v>
      </c>
      <c r="FY100">
        <v>95</v>
      </c>
      <c r="GA100" t="s">
        <v>3</v>
      </c>
      <c r="GD100">
        <v>1</v>
      </c>
      <c r="GF100">
        <v>1737021368</v>
      </c>
      <c r="GG100">
        <v>2</v>
      </c>
      <c r="GH100">
        <v>1</v>
      </c>
      <c r="GI100">
        <v>4</v>
      </c>
      <c r="GJ100">
        <v>0</v>
      </c>
      <c r="GK100">
        <v>0</v>
      </c>
      <c r="GL100">
        <f t="shared" si="77"/>
        <v>0</v>
      </c>
      <c r="GM100">
        <f t="shared" si="106"/>
        <v>0</v>
      </c>
      <c r="GN100">
        <f t="shared" si="107"/>
        <v>0</v>
      </c>
      <c r="GO100">
        <f t="shared" si="108"/>
        <v>0</v>
      </c>
      <c r="GP100">
        <f t="shared" si="109"/>
        <v>0</v>
      </c>
      <c r="GR100">
        <v>0</v>
      </c>
      <c r="GS100">
        <v>3</v>
      </c>
      <c r="GT100">
        <v>0</v>
      </c>
      <c r="GU100" t="s">
        <v>3</v>
      </c>
      <c r="GV100">
        <f t="shared" si="110"/>
        <v>0</v>
      </c>
      <c r="GW100">
        <v>1</v>
      </c>
      <c r="GX100">
        <f t="shared" si="111"/>
        <v>0</v>
      </c>
      <c r="HA100">
        <v>0</v>
      </c>
      <c r="HB100">
        <v>0</v>
      </c>
      <c r="HC100">
        <f t="shared" si="112"/>
        <v>0</v>
      </c>
      <c r="HE100" t="s">
        <v>3</v>
      </c>
      <c r="HF100" t="s">
        <v>3</v>
      </c>
      <c r="HI100">
        <f t="shared" si="78"/>
        <v>0</v>
      </c>
      <c r="HJ100">
        <f t="shared" si="79"/>
        <v>0</v>
      </c>
      <c r="HK100">
        <f t="shared" si="113"/>
        <v>0</v>
      </c>
      <c r="HL100">
        <f t="shared" si="114"/>
        <v>0</v>
      </c>
      <c r="HM100" t="s">
        <v>3</v>
      </c>
      <c r="HN100" t="s">
        <v>3</v>
      </c>
      <c r="HO100" t="s">
        <v>3</v>
      </c>
      <c r="HP100" t="s">
        <v>3</v>
      </c>
      <c r="HQ100" t="s">
        <v>3</v>
      </c>
      <c r="IK100">
        <v>0</v>
      </c>
    </row>
    <row r="101" spans="1:245" x14ac:dyDescent="0.2">
      <c r="A101">
        <v>17</v>
      </c>
      <c r="B101">
        <v>1</v>
      </c>
      <c r="E101" t="s">
        <v>218</v>
      </c>
      <c r="F101" t="s">
        <v>54</v>
      </c>
      <c r="G101" t="s">
        <v>55</v>
      </c>
      <c r="H101" t="s">
        <v>56</v>
      </c>
      <c r="I101">
        <f>ROUND(ROUND(56.7,4),7)</f>
        <v>56.7</v>
      </c>
      <c r="J101">
        <v>0</v>
      </c>
      <c r="K101">
        <f>ROUND(ROUND(56.7,4),7)</f>
        <v>56.7</v>
      </c>
      <c r="O101">
        <f t="shared" si="80"/>
        <v>9185.4</v>
      </c>
      <c r="P101">
        <f t="shared" si="81"/>
        <v>9185.4</v>
      </c>
      <c r="Q101">
        <f t="shared" si="82"/>
        <v>0</v>
      </c>
      <c r="R101">
        <f t="shared" si="83"/>
        <v>0</v>
      </c>
      <c r="S101">
        <f t="shared" si="84"/>
        <v>0</v>
      </c>
      <c r="T101">
        <f t="shared" si="85"/>
        <v>0</v>
      </c>
      <c r="U101">
        <f t="shared" si="86"/>
        <v>0</v>
      </c>
      <c r="V101">
        <f t="shared" si="87"/>
        <v>0</v>
      </c>
      <c r="W101">
        <f t="shared" si="88"/>
        <v>0</v>
      </c>
      <c r="X101">
        <f t="shared" si="89"/>
        <v>0</v>
      </c>
      <c r="Y101">
        <f t="shared" si="90"/>
        <v>0</v>
      </c>
      <c r="AA101">
        <v>29836452</v>
      </c>
      <c r="AB101">
        <f t="shared" si="91"/>
        <v>162</v>
      </c>
      <c r="AC101">
        <f t="shared" si="92"/>
        <v>162</v>
      </c>
      <c r="AD101">
        <f>ROUND((((ET101)-(EU101))+AE101),0)</f>
        <v>0</v>
      </c>
      <c r="AE101">
        <f>ROUND((EU101),0)</f>
        <v>0</v>
      </c>
      <c r="AF101">
        <f>ROUND((EV101),0)</f>
        <v>0</v>
      </c>
      <c r="AG101">
        <f t="shared" si="93"/>
        <v>0</v>
      </c>
      <c r="AH101">
        <f>(EW101)</f>
        <v>0</v>
      </c>
      <c r="AI101">
        <f>(EX101)</f>
        <v>0</v>
      </c>
      <c r="AJ101">
        <f t="shared" si="94"/>
        <v>0</v>
      </c>
      <c r="AK101">
        <v>162.33000000000001</v>
      </c>
      <c r="AL101">
        <v>162.33000000000001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1</v>
      </c>
      <c r="AW101">
        <v>1</v>
      </c>
      <c r="AZ101">
        <v>1</v>
      </c>
      <c r="BA101">
        <v>1</v>
      </c>
      <c r="BB101">
        <v>1</v>
      </c>
      <c r="BC101">
        <v>1</v>
      </c>
      <c r="BD101" t="s">
        <v>3</v>
      </c>
      <c r="BE101" t="s">
        <v>3</v>
      </c>
      <c r="BF101" t="s">
        <v>3</v>
      </c>
      <c r="BG101" t="s">
        <v>3</v>
      </c>
      <c r="BH101">
        <v>3</v>
      </c>
      <c r="BI101">
        <v>1</v>
      </c>
      <c r="BJ101" t="s">
        <v>57</v>
      </c>
      <c r="BM101">
        <v>500001</v>
      </c>
      <c r="BN101">
        <v>0</v>
      </c>
      <c r="BO101" t="s">
        <v>29</v>
      </c>
      <c r="BP101">
        <v>1</v>
      </c>
      <c r="BQ101">
        <v>8</v>
      </c>
      <c r="BR101">
        <v>0</v>
      </c>
      <c r="BS101">
        <v>1</v>
      </c>
      <c r="BT101">
        <v>1</v>
      </c>
      <c r="BU101">
        <v>1</v>
      </c>
      <c r="BV101">
        <v>1</v>
      </c>
      <c r="BW101">
        <v>1</v>
      </c>
      <c r="BX101">
        <v>1</v>
      </c>
      <c r="BY101" t="s">
        <v>3</v>
      </c>
      <c r="BZ101">
        <v>0</v>
      </c>
      <c r="CA101">
        <v>0</v>
      </c>
      <c r="CB101" t="s">
        <v>3</v>
      </c>
      <c r="CE101">
        <v>0</v>
      </c>
      <c r="CF101">
        <v>0</v>
      </c>
      <c r="CG101">
        <v>0</v>
      </c>
      <c r="CM101">
        <v>0</v>
      </c>
      <c r="CN101" t="s">
        <v>3</v>
      </c>
      <c r="CO101">
        <v>0</v>
      </c>
      <c r="CP101">
        <f t="shared" si="95"/>
        <v>9185.4</v>
      </c>
      <c r="CQ101">
        <f t="shared" si="96"/>
        <v>162</v>
      </c>
      <c r="CR101">
        <f t="shared" si="97"/>
        <v>0</v>
      </c>
      <c r="CS101">
        <f t="shared" si="98"/>
        <v>0</v>
      </c>
      <c r="CT101">
        <f t="shared" si="99"/>
        <v>0</v>
      </c>
      <c r="CU101">
        <f t="shared" si="100"/>
        <v>0</v>
      </c>
      <c r="CV101">
        <f t="shared" si="101"/>
        <v>0</v>
      </c>
      <c r="CW101">
        <f t="shared" si="102"/>
        <v>0</v>
      </c>
      <c r="CX101">
        <f t="shared" si="103"/>
        <v>0</v>
      </c>
      <c r="CY101">
        <f t="shared" si="104"/>
        <v>0</v>
      </c>
      <c r="CZ101">
        <f t="shared" si="105"/>
        <v>0</v>
      </c>
      <c r="DC101" t="s">
        <v>3</v>
      </c>
      <c r="DD101" t="s">
        <v>3</v>
      </c>
      <c r="DE101" t="s">
        <v>3</v>
      </c>
      <c r="DF101" t="s">
        <v>3</v>
      </c>
      <c r="DG101" t="s">
        <v>3</v>
      </c>
      <c r="DH101" t="s">
        <v>3</v>
      </c>
      <c r="DI101" t="s">
        <v>3</v>
      </c>
      <c r="DJ101" t="s">
        <v>3</v>
      </c>
      <c r="DK101" t="s">
        <v>3</v>
      </c>
      <c r="DL101" t="s">
        <v>3</v>
      </c>
      <c r="DM101" t="s">
        <v>3</v>
      </c>
      <c r="DN101">
        <v>0</v>
      </c>
      <c r="DO101">
        <v>0</v>
      </c>
      <c r="DP101">
        <v>1</v>
      </c>
      <c r="DQ101">
        <v>1</v>
      </c>
      <c r="DU101">
        <v>1007</v>
      </c>
      <c r="DV101" t="s">
        <v>56</v>
      </c>
      <c r="DW101" t="s">
        <v>56</v>
      </c>
      <c r="DX101">
        <v>1</v>
      </c>
      <c r="DZ101" t="s">
        <v>3</v>
      </c>
      <c r="EA101" t="s">
        <v>3</v>
      </c>
      <c r="EB101" t="s">
        <v>3</v>
      </c>
      <c r="EC101" t="s">
        <v>3</v>
      </c>
      <c r="EE101">
        <v>29577929</v>
      </c>
      <c r="EF101">
        <v>8</v>
      </c>
      <c r="EG101" t="s">
        <v>58</v>
      </c>
      <c r="EH101">
        <v>0</v>
      </c>
      <c r="EI101" t="s">
        <v>3</v>
      </c>
      <c r="EJ101">
        <v>1</v>
      </c>
      <c r="EK101">
        <v>500001</v>
      </c>
      <c r="EL101" t="s">
        <v>59</v>
      </c>
      <c r="EM101" t="s">
        <v>60</v>
      </c>
      <c r="EO101" t="s">
        <v>3</v>
      </c>
      <c r="EQ101">
        <v>0</v>
      </c>
      <c r="ER101">
        <v>162.33000000000001</v>
      </c>
      <c r="ES101">
        <v>162.33000000000001</v>
      </c>
      <c r="ET101">
        <v>0</v>
      </c>
      <c r="EU101">
        <v>0</v>
      </c>
      <c r="EV101">
        <v>0</v>
      </c>
      <c r="EW101">
        <v>0</v>
      </c>
      <c r="EX101">
        <v>0</v>
      </c>
      <c r="EY101">
        <v>0</v>
      </c>
      <c r="FQ101">
        <v>0</v>
      </c>
      <c r="FR101">
        <f t="shared" si="76"/>
        <v>0</v>
      </c>
      <c r="FS101">
        <v>0</v>
      </c>
      <c r="FX101">
        <v>0</v>
      </c>
      <c r="FY101">
        <v>0</v>
      </c>
      <c r="GA101" t="s">
        <v>3</v>
      </c>
      <c r="GD101">
        <v>1</v>
      </c>
      <c r="GF101">
        <v>619409258</v>
      </c>
      <c r="GG101">
        <v>2</v>
      </c>
      <c r="GH101">
        <v>1</v>
      </c>
      <c r="GI101">
        <v>4</v>
      </c>
      <c r="GJ101">
        <v>0</v>
      </c>
      <c r="GK101">
        <v>0</v>
      </c>
      <c r="GL101">
        <f t="shared" si="77"/>
        <v>0</v>
      </c>
      <c r="GM101">
        <f t="shared" si="106"/>
        <v>9185.4</v>
      </c>
      <c r="GN101">
        <f t="shared" si="107"/>
        <v>9185.4</v>
      </c>
      <c r="GO101">
        <f t="shared" si="108"/>
        <v>0</v>
      </c>
      <c r="GP101">
        <f t="shared" si="109"/>
        <v>0</v>
      </c>
      <c r="GR101">
        <v>0</v>
      </c>
      <c r="GS101">
        <v>3</v>
      </c>
      <c r="GT101">
        <v>0</v>
      </c>
      <c r="GU101" t="s">
        <v>3</v>
      </c>
      <c r="GV101">
        <f t="shared" si="110"/>
        <v>0</v>
      </c>
      <c r="GW101">
        <v>1</v>
      </c>
      <c r="GX101">
        <f t="shared" si="111"/>
        <v>0</v>
      </c>
      <c r="HA101">
        <v>0</v>
      </c>
      <c r="HB101">
        <v>0</v>
      </c>
      <c r="HC101">
        <f t="shared" si="112"/>
        <v>0</v>
      </c>
      <c r="HE101" t="s">
        <v>3</v>
      </c>
      <c r="HF101" t="s">
        <v>3</v>
      </c>
      <c r="HI101">
        <f t="shared" si="78"/>
        <v>0</v>
      </c>
      <c r="HJ101">
        <f t="shared" si="79"/>
        <v>0</v>
      </c>
      <c r="HK101">
        <f t="shared" si="113"/>
        <v>0</v>
      </c>
      <c r="HL101">
        <f t="shared" si="114"/>
        <v>0</v>
      </c>
      <c r="HM101" t="s">
        <v>3</v>
      </c>
      <c r="HN101" t="s">
        <v>3</v>
      </c>
      <c r="HO101" t="s">
        <v>3</v>
      </c>
      <c r="HP101" t="s">
        <v>3</v>
      </c>
      <c r="HQ101" t="s">
        <v>3</v>
      </c>
      <c r="IK101">
        <v>0</v>
      </c>
    </row>
    <row r="102" spans="1:245" x14ac:dyDescent="0.2">
      <c r="A102">
        <v>17</v>
      </c>
      <c r="B102">
        <v>1</v>
      </c>
      <c r="C102">
        <f>ROW(SmtRes!A119)</f>
        <v>119</v>
      </c>
      <c r="D102">
        <f>ROW(EtalonRes!A127)</f>
        <v>127</v>
      </c>
      <c r="E102" t="s">
        <v>219</v>
      </c>
      <c r="F102" t="s">
        <v>220</v>
      </c>
      <c r="G102" t="s">
        <v>221</v>
      </c>
      <c r="H102" t="s">
        <v>208</v>
      </c>
      <c r="I102">
        <f>ROUND(ROUND(300/100,4),7)</f>
        <v>3</v>
      </c>
      <c r="J102">
        <v>0</v>
      </c>
      <c r="K102">
        <f>ROUND(ROUND(300/100,4),7)</f>
        <v>3</v>
      </c>
      <c r="O102">
        <f t="shared" si="80"/>
        <v>1038</v>
      </c>
      <c r="P102">
        <f t="shared" si="81"/>
        <v>381</v>
      </c>
      <c r="Q102">
        <f t="shared" si="82"/>
        <v>225</v>
      </c>
      <c r="R102">
        <f t="shared" si="83"/>
        <v>3</v>
      </c>
      <c r="S102">
        <f t="shared" si="84"/>
        <v>432</v>
      </c>
      <c r="T102">
        <f t="shared" si="85"/>
        <v>0</v>
      </c>
      <c r="U102">
        <f t="shared" si="86"/>
        <v>52.163999999999994</v>
      </c>
      <c r="V102">
        <f t="shared" si="87"/>
        <v>0</v>
      </c>
      <c r="W102">
        <f t="shared" si="88"/>
        <v>0</v>
      </c>
      <c r="X102">
        <f t="shared" si="89"/>
        <v>548.1</v>
      </c>
      <c r="Y102">
        <f t="shared" si="90"/>
        <v>413.25</v>
      </c>
      <c r="AA102">
        <v>29836452</v>
      </c>
      <c r="AB102">
        <f t="shared" si="91"/>
        <v>346</v>
      </c>
      <c r="AC102">
        <f t="shared" si="92"/>
        <v>127</v>
      </c>
      <c r="AD102">
        <f>ROUND(((((ET102*ROUND(1.25,7)))-((EU102*ROUND(1.25,7))))+AE102),0)</f>
        <v>75</v>
      </c>
      <c r="AE102">
        <f>ROUND(((EU102*ROUND(1.25,7))),0)</f>
        <v>1</v>
      </c>
      <c r="AF102">
        <f>ROUND(((EV102*ROUND(1.15,7))),0)</f>
        <v>144</v>
      </c>
      <c r="AG102">
        <f t="shared" si="93"/>
        <v>0</v>
      </c>
      <c r="AH102">
        <f>((EW102*ROUND(1.15,7)))</f>
        <v>17.387999999999998</v>
      </c>
      <c r="AI102">
        <f>((EX102*ROUND(1.25,7)))</f>
        <v>0</v>
      </c>
      <c r="AJ102">
        <f t="shared" si="94"/>
        <v>0</v>
      </c>
      <c r="AK102">
        <v>312.79000000000002</v>
      </c>
      <c r="AL102">
        <v>127.43</v>
      </c>
      <c r="AM102">
        <v>60.02</v>
      </c>
      <c r="AN102">
        <v>0.7</v>
      </c>
      <c r="AO102">
        <v>125.34</v>
      </c>
      <c r="AP102">
        <v>0</v>
      </c>
      <c r="AQ102">
        <v>15.12</v>
      </c>
      <c r="AR102">
        <v>0</v>
      </c>
      <c r="AS102">
        <v>0</v>
      </c>
      <c r="AT102">
        <v>126</v>
      </c>
      <c r="AU102">
        <v>95</v>
      </c>
      <c r="AV102">
        <v>1</v>
      </c>
      <c r="AW102">
        <v>1</v>
      </c>
      <c r="AZ102">
        <v>1</v>
      </c>
      <c r="BA102">
        <v>35.86</v>
      </c>
      <c r="BB102">
        <v>1</v>
      </c>
      <c r="BC102">
        <v>1</v>
      </c>
      <c r="BD102" t="s">
        <v>3</v>
      </c>
      <c r="BE102" t="s">
        <v>3</v>
      </c>
      <c r="BF102" t="s">
        <v>3</v>
      </c>
      <c r="BG102" t="s">
        <v>3</v>
      </c>
      <c r="BH102">
        <v>0</v>
      </c>
      <c r="BI102">
        <v>1</v>
      </c>
      <c r="BJ102" t="s">
        <v>222</v>
      </c>
      <c r="BM102">
        <v>27001</v>
      </c>
      <c r="BN102">
        <v>0</v>
      </c>
      <c r="BO102" t="s">
        <v>29</v>
      </c>
      <c r="BP102">
        <v>1</v>
      </c>
      <c r="BQ102">
        <v>2</v>
      </c>
      <c r="BR102">
        <v>0</v>
      </c>
      <c r="BS102">
        <v>35.86</v>
      </c>
      <c r="BT102">
        <v>1</v>
      </c>
      <c r="BU102">
        <v>1</v>
      </c>
      <c r="BV102">
        <v>1</v>
      </c>
      <c r="BW102">
        <v>1</v>
      </c>
      <c r="BX102">
        <v>1</v>
      </c>
      <c r="BY102" t="s">
        <v>3</v>
      </c>
      <c r="BZ102">
        <v>126</v>
      </c>
      <c r="CA102">
        <v>95</v>
      </c>
      <c r="CB102" t="s">
        <v>3</v>
      </c>
      <c r="CE102">
        <v>0</v>
      </c>
      <c r="CF102">
        <v>0</v>
      </c>
      <c r="CG102">
        <v>0</v>
      </c>
      <c r="CM102">
        <v>0</v>
      </c>
      <c r="CN102" t="s">
        <v>30</v>
      </c>
      <c r="CO102">
        <v>0</v>
      </c>
      <c r="CP102">
        <f t="shared" si="95"/>
        <v>1038</v>
      </c>
      <c r="CQ102">
        <f t="shared" si="96"/>
        <v>127</v>
      </c>
      <c r="CR102">
        <f t="shared" si="97"/>
        <v>75</v>
      </c>
      <c r="CS102">
        <f t="shared" si="98"/>
        <v>1</v>
      </c>
      <c r="CT102">
        <f t="shared" si="99"/>
        <v>144</v>
      </c>
      <c r="CU102">
        <f t="shared" si="100"/>
        <v>0</v>
      </c>
      <c r="CV102">
        <f t="shared" si="101"/>
        <v>17.387999999999998</v>
      </c>
      <c r="CW102">
        <f t="shared" si="102"/>
        <v>0</v>
      </c>
      <c r="CX102">
        <f t="shared" si="103"/>
        <v>0</v>
      </c>
      <c r="CY102">
        <f t="shared" si="104"/>
        <v>548.1</v>
      </c>
      <c r="CZ102">
        <f t="shared" si="105"/>
        <v>413.25</v>
      </c>
      <c r="DC102" t="s">
        <v>3</v>
      </c>
      <c r="DD102" t="s">
        <v>3</v>
      </c>
      <c r="DE102" t="s">
        <v>31</v>
      </c>
      <c r="DF102" t="s">
        <v>31</v>
      </c>
      <c r="DG102" t="s">
        <v>32</v>
      </c>
      <c r="DH102" t="s">
        <v>3</v>
      </c>
      <c r="DI102" t="s">
        <v>32</v>
      </c>
      <c r="DJ102" t="s">
        <v>31</v>
      </c>
      <c r="DK102" t="s">
        <v>3</v>
      </c>
      <c r="DL102" t="s">
        <v>3</v>
      </c>
      <c r="DM102" t="s">
        <v>3</v>
      </c>
      <c r="DN102">
        <v>0</v>
      </c>
      <c r="DO102">
        <v>0</v>
      </c>
      <c r="DP102">
        <v>1</v>
      </c>
      <c r="DQ102">
        <v>1</v>
      </c>
      <c r="DU102">
        <v>1005</v>
      </c>
      <c r="DV102" t="s">
        <v>208</v>
      </c>
      <c r="DW102" t="s">
        <v>208</v>
      </c>
      <c r="DX102">
        <v>100</v>
      </c>
      <c r="DZ102" t="s">
        <v>3</v>
      </c>
      <c r="EA102" t="s">
        <v>3</v>
      </c>
      <c r="EB102" t="s">
        <v>3</v>
      </c>
      <c r="EC102" t="s">
        <v>3</v>
      </c>
      <c r="EE102">
        <v>29578057</v>
      </c>
      <c r="EF102">
        <v>2</v>
      </c>
      <c r="EG102" t="s">
        <v>33</v>
      </c>
      <c r="EH102">
        <v>21</v>
      </c>
      <c r="EI102" t="s">
        <v>51</v>
      </c>
      <c r="EJ102">
        <v>1</v>
      </c>
      <c r="EK102">
        <v>27001</v>
      </c>
      <c r="EL102" t="s">
        <v>51</v>
      </c>
      <c r="EM102" t="s">
        <v>52</v>
      </c>
      <c r="EO102" t="s">
        <v>37</v>
      </c>
      <c r="EQ102">
        <v>512</v>
      </c>
      <c r="ER102">
        <v>312.79000000000002</v>
      </c>
      <c r="ES102">
        <v>127.43</v>
      </c>
      <c r="ET102">
        <v>60.02</v>
      </c>
      <c r="EU102">
        <v>0.7</v>
      </c>
      <c r="EV102">
        <v>125.34</v>
      </c>
      <c r="EW102">
        <v>15.12</v>
      </c>
      <c r="EX102">
        <v>0</v>
      </c>
      <c r="EY102">
        <v>0</v>
      </c>
      <c r="FQ102">
        <v>0</v>
      </c>
      <c r="FR102">
        <f t="shared" si="76"/>
        <v>0</v>
      </c>
      <c r="FS102">
        <v>0</v>
      </c>
      <c r="FX102">
        <v>126</v>
      </c>
      <c r="FY102">
        <v>95</v>
      </c>
      <c r="GA102" t="s">
        <v>3</v>
      </c>
      <c r="GD102">
        <v>1</v>
      </c>
      <c r="GF102">
        <v>1681699775</v>
      </c>
      <c r="GG102">
        <v>2</v>
      </c>
      <c r="GH102">
        <v>1</v>
      </c>
      <c r="GI102">
        <v>4</v>
      </c>
      <c r="GJ102">
        <v>0</v>
      </c>
      <c r="GK102">
        <v>0</v>
      </c>
      <c r="GL102">
        <f t="shared" si="77"/>
        <v>0</v>
      </c>
      <c r="GM102">
        <f t="shared" si="106"/>
        <v>1999.35</v>
      </c>
      <c r="GN102">
        <f t="shared" si="107"/>
        <v>1999.35</v>
      </c>
      <c r="GO102">
        <f t="shared" si="108"/>
        <v>0</v>
      </c>
      <c r="GP102">
        <f t="shared" si="109"/>
        <v>0</v>
      </c>
      <c r="GR102">
        <v>0</v>
      </c>
      <c r="GS102">
        <v>3</v>
      </c>
      <c r="GT102">
        <v>0</v>
      </c>
      <c r="GU102" t="s">
        <v>3</v>
      </c>
      <c r="GV102">
        <f t="shared" si="110"/>
        <v>0</v>
      </c>
      <c r="GW102">
        <v>1</v>
      </c>
      <c r="GX102">
        <f t="shared" si="111"/>
        <v>0</v>
      </c>
      <c r="HA102">
        <v>0</v>
      </c>
      <c r="HB102">
        <v>0</v>
      </c>
      <c r="HC102">
        <f t="shared" si="112"/>
        <v>0</v>
      </c>
      <c r="HE102" t="s">
        <v>3</v>
      </c>
      <c r="HF102" t="s">
        <v>3</v>
      </c>
      <c r="HI102">
        <f t="shared" si="78"/>
        <v>107.58</v>
      </c>
      <c r="HJ102">
        <f t="shared" si="79"/>
        <v>15491.52</v>
      </c>
      <c r="HK102">
        <f t="shared" si="113"/>
        <v>19654.87</v>
      </c>
      <c r="HL102">
        <f t="shared" si="114"/>
        <v>14819.15</v>
      </c>
      <c r="HM102" t="s">
        <v>3</v>
      </c>
      <c r="HN102" t="s">
        <v>3</v>
      </c>
      <c r="HO102" t="s">
        <v>3</v>
      </c>
      <c r="HP102" t="s">
        <v>3</v>
      </c>
      <c r="HQ102" t="s">
        <v>3</v>
      </c>
      <c r="IK102">
        <v>0</v>
      </c>
    </row>
    <row r="103" spans="1:245" x14ac:dyDescent="0.2">
      <c r="A103">
        <v>18</v>
      </c>
      <c r="B103">
        <v>1</v>
      </c>
      <c r="C103">
        <v>119</v>
      </c>
      <c r="E103" t="s">
        <v>223</v>
      </c>
      <c r="F103" t="s">
        <v>86</v>
      </c>
      <c r="G103" t="s">
        <v>87</v>
      </c>
      <c r="H103" t="s">
        <v>84</v>
      </c>
      <c r="I103">
        <f>I102*J103</f>
        <v>21.42</v>
      </c>
      <c r="J103">
        <v>7.1400000000000006</v>
      </c>
      <c r="K103">
        <v>7.14</v>
      </c>
      <c r="O103">
        <f t="shared" si="80"/>
        <v>0</v>
      </c>
      <c r="P103">
        <f t="shared" si="81"/>
        <v>0</v>
      </c>
      <c r="Q103">
        <f t="shared" si="82"/>
        <v>0</v>
      </c>
      <c r="R103">
        <f t="shared" si="83"/>
        <v>0</v>
      </c>
      <c r="S103">
        <f t="shared" si="84"/>
        <v>0</v>
      </c>
      <c r="T103">
        <f t="shared" si="85"/>
        <v>0</v>
      </c>
      <c r="U103">
        <f t="shared" si="86"/>
        <v>0</v>
      </c>
      <c r="V103">
        <f t="shared" si="87"/>
        <v>0</v>
      </c>
      <c r="W103">
        <f t="shared" si="88"/>
        <v>0</v>
      </c>
      <c r="X103">
        <f t="shared" si="89"/>
        <v>0</v>
      </c>
      <c r="Y103">
        <f t="shared" si="90"/>
        <v>0</v>
      </c>
      <c r="AA103">
        <v>29836452</v>
      </c>
      <c r="AB103">
        <f t="shared" si="91"/>
        <v>0</v>
      </c>
      <c r="AC103">
        <f t="shared" si="92"/>
        <v>0</v>
      </c>
      <c r="AD103">
        <f>ROUND((((ET103)-(EU103))+AE103),0)</f>
        <v>0</v>
      </c>
      <c r="AE103">
        <f>ROUND((EU103),0)</f>
        <v>0</v>
      </c>
      <c r="AF103">
        <f>ROUND((EV103),0)</f>
        <v>0</v>
      </c>
      <c r="AG103">
        <f t="shared" si="93"/>
        <v>0</v>
      </c>
      <c r="AH103">
        <f>(EW103)</f>
        <v>0</v>
      </c>
      <c r="AI103">
        <f>(EX103)</f>
        <v>0</v>
      </c>
      <c r="AJ103">
        <f t="shared" si="94"/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126</v>
      </c>
      <c r="AU103">
        <v>95</v>
      </c>
      <c r="AV103">
        <v>1</v>
      </c>
      <c r="AW103">
        <v>1</v>
      </c>
      <c r="AZ103">
        <v>1</v>
      </c>
      <c r="BA103">
        <v>1</v>
      </c>
      <c r="BB103">
        <v>1</v>
      </c>
      <c r="BC103">
        <v>1</v>
      </c>
      <c r="BD103" t="s">
        <v>3</v>
      </c>
      <c r="BE103" t="s">
        <v>3</v>
      </c>
      <c r="BF103" t="s">
        <v>3</v>
      </c>
      <c r="BG103" t="s">
        <v>3</v>
      </c>
      <c r="BH103">
        <v>3</v>
      </c>
      <c r="BI103">
        <v>1</v>
      </c>
      <c r="BJ103" t="s">
        <v>3</v>
      </c>
      <c r="BM103">
        <v>27001</v>
      </c>
      <c r="BN103">
        <v>0</v>
      </c>
      <c r="BO103" t="s">
        <v>29</v>
      </c>
      <c r="BP103">
        <v>1</v>
      </c>
      <c r="BQ103">
        <v>2</v>
      </c>
      <c r="BR103">
        <v>0</v>
      </c>
      <c r="BS103">
        <v>1</v>
      </c>
      <c r="BT103">
        <v>1</v>
      </c>
      <c r="BU103">
        <v>1</v>
      </c>
      <c r="BV103">
        <v>1</v>
      </c>
      <c r="BW103">
        <v>1</v>
      </c>
      <c r="BX103">
        <v>1</v>
      </c>
      <c r="BY103" t="s">
        <v>3</v>
      </c>
      <c r="BZ103">
        <v>126</v>
      </c>
      <c r="CA103">
        <v>95</v>
      </c>
      <c r="CB103" t="s">
        <v>3</v>
      </c>
      <c r="CE103">
        <v>0</v>
      </c>
      <c r="CF103">
        <v>0</v>
      </c>
      <c r="CG103">
        <v>0</v>
      </c>
      <c r="CM103">
        <v>0</v>
      </c>
      <c r="CN103" t="s">
        <v>3</v>
      </c>
      <c r="CO103">
        <v>0</v>
      </c>
      <c r="CP103">
        <f t="shared" si="95"/>
        <v>0</v>
      </c>
      <c r="CQ103">
        <f t="shared" si="96"/>
        <v>0</v>
      </c>
      <c r="CR103">
        <f t="shared" si="97"/>
        <v>0</v>
      </c>
      <c r="CS103">
        <f t="shared" si="98"/>
        <v>0</v>
      </c>
      <c r="CT103">
        <f t="shared" si="99"/>
        <v>0</v>
      </c>
      <c r="CU103">
        <f t="shared" si="100"/>
        <v>0</v>
      </c>
      <c r="CV103">
        <f t="shared" si="101"/>
        <v>0</v>
      </c>
      <c r="CW103">
        <f t="shared" si="102"/>
        <v>0</v>
      </c>
      <c r="CX103">
        <f t="shared" si="103"/>
        <v>0</v>
      </c>
      <c r="CY103">
        <f t="shared" si="104"/>
        <v>0</v>
      </c>
      <c r="CZ103">
        <f t="shared" si="105"/>
        <v>0</v>
      </c>
      <c r="DC103" t="s">
        <v>3</v>
      </c>
      <c r="DD103" t="s">
        <v>3</v>
      </c>
      <c r="DE103" t="s">
        <v>3</v>
      </c>
      <c r="DF103" t="s">
        <v>3</v>
      </c>
      <c r="DG103" t="s">
        <v>3</v>
      </c>
      <c r="DH103" t="s">
        <v>3</v>
      </c>
      <c r="DI103" t="s">
        <v>3</v>
      </c>
      <c r="DJ103" t="s">
        <v>3</v>
      </c>
      <c r="DK103" t="s">
        <v>3</v>
      </c>
      <c r="DL103" t="s">
        <v>3</v>
      </c>
      <c r="DM103" t="s">
        <v>3</v>
      </c>
      <c r="DN103">
        <v>0</v>
      </c>
      <c r="DO103">
        <v>0</v>
      </c>
      <c r="DP103">
        <v>1</v>
      </c>
      <c r="DQ103">
        <v>1</v>
      </c>
      <c r="DU103">
        <v>1009</v>
      </c>
      <c r="DV103" t="s">
        <v>84</v>
      </c>
      <c r="DW103" t="s">
        <v>84</v>
      </c>
      <c r="DX103">
        <v>1000</v>
      </c>
      <c r="DZ103" t="s">
        <v>3</v>
      </c>
      <c r="EA103" t="s">
        <v>3</v>
      </c>
      <c r="EB103" t="s">
        <v>3</v>
      </c>
      <c r="EC103" t="s">
        <v>3</v>
      </c>
      <c r="EE103">
        <v>29578057</v>
      </c>
      <c r="EF103">
        <v>2</v>
      </c>
      <c r="EG103" t="s">
        <v>33</v>
      </c>
      <c r="EH103">
        <v>21</v>
      </c>
      <c r="EI103" t="s">
        <v>51</v>
      </c>
      <c r="EJ103">
        <v>1</v>
      </c>
      <c r="EK103">
        <v>27001</v>
      </c>
      <c r="EL103" t="s">
        <v>51</v>
      </c>
      <c r="EM103" t="s">
        <v>52</v>
      </c>
      <c r="EO103" t="s">
        <v>3</v>
      </c>
      <c r="EQ103">
        <v>512</v>
      </c>
      <c r="ER103">
        <v>0</v>
      </c>
      <c r="ES103">
        <v>0</v>
      </c>
      <c r="ET103">
        <v>0</v>
      </c>
      <c r="EU103">
        <v>0</v>
      </c>
      <c r="EV103">
        <v>0</v>
      </c>
      <c r="EW103">
        <v>0</v>
      </c>
      <c r="EX103">
        <v>0</v>
      </c>
      <c r="FQ103">
        <v>0</v>
      </c>
      <c r="FR103">
        <f t="shared" si="76"/>
        <v>0</v>
      </c>
      <c r="FS103">
        <v>0</v>
      </c>
      <c r="FX103">
        <v>126</v>
      </c>
      <c r="FY103">
        <v>95</v>
      </c>
      <c r="GA103" t="s">
        <v>3</v>
      </c>
      <c r="GD103">
        <v>1</v>
      </c>
      <c r="GF103">
        <v>1670663622</v>
      </c>
      <c r="GG103">
        <v>2</v>
      </c>
      <c r="GH103">
        <v>1</v>
      </c>
      <c r="GI103">
        <v>4</v>
      </c>
      <c r="GJ103">
        <v>0</v>
      </c>
      <c r="GK103">
        <v>0</v>
      </c>
      <c r="GL103">
        <f t="shared" si="77"/>
        <v>0</v>
      </c>
      <c r="GM103">
        <f t="shared" si="106"/>
        <v>0</v>
      </c>
      <c r="GN103">
        <f t="shared" si="107"/>
        <v>0</v>
      </c>
      <c r="GO103">
        <f t="shared" si="108"/>
        <v>0</v>
      </c>
      <c r="GP103">
        <f t="shared" si="109"/>
        <v>0</v>
      </c>
      <c r="GR103">
        <v>0</v>
      </c>
      <c r="GS103">
        <v>3</v>
      </c>
      <c r="GT103">
        <v>0</v>
      </c>
      <c r="GU103" t="s">
        <v>3</v>
      </c>
      <c r="GV103">
        <f t="shared" si="110"/>
        <v>0</v>
      </c>
      <c r="GW103">
        <v>1</v>
      </c>
      <c r="GX103">
        <f t="shared" si="111"/>
        <v>0</v>
      </c>
      <c r="HA103">
        <v>0</v>
      </c>
      <c r="HB103">
        <v>0</v>
      </c>
      <c r="HC103">
        <f t="shared" si="112"/>
        <v>0</v>
      </c>
      <c r="HE103" t="s">
        <v>3</v>
      </c>
      <c r="HF103" t="s">
        <v>3</v>
      </c>
      <c r="HI103">
        <f t="shared" si="78"/>
        <v>0</v>
      </c>
      <c r="HJ103">
        <f t="shared" si="79"/>
        <v>0</v>
      </c>
      <c r="HK103">
        <f t="shared" si="113"/>
        <v>0</v>
      </c>
      <c r="HL103">
        <f t="shared" si="114"/>
        <v>0</v>
      </c>
      <c r="HM103" t="s">
        <v>3</v>
      </c>
      <c r="HN103" t="s">
        <v>3</v>
      </c>
      <c r="HO103" t="s">
        <v>3</v>
      </c>
      <c r="HP103" t="s">
        <v>3</v>
      </c>
      <c r="HQ103" t="s">
        <v>3</v>
      </c>
      <c r="IK103">
        <v>0</v>
      </c>
    </row>
    <row r="104" spans="1:245" x14ac:dyDescent="0.2">
      <c r="A104">
        <v>17</v>
      </c>
      <c r="B104">
        <v>1</v>
      </c>
      <c r="E104" t="s">
        <v>224</v>
      </c>
      <c r="F104" t="s">
        <v>225</v>
      </c>
      <c r="G104" t="s">
        <v>226</v>
      </c>
      <c r="H104" t="s">
        <v>84</v>
      </c>
      <c r="I104">
        <f>ROUND(I102*-0.06,7)</f>
        <v>-0.18</v>
      </c>
      <c r="J104">
        <v>0</v>
      </c>
      <c r="K104">
        <f>ROUND(I102*-0.06,7)</f>
        <v>-0.18</v>
      </c>
      <c r="O104">
        <f t="shared" si="80"/>
        <v>-382.32</v>
      </c>
      <c r="P104">
        <f t="shared" si="81"/>
        <v>-382.32</v>
      </c>
      <c r="Q104">
        <f t="shared" si="82"/>
        <v>0</v>
      </c>
      <c r="R104">
        <f t="shared" si="83"/>
        <v>0</v>
      </c>
      <c r="S104">
        <f t="shared" si="84"/>
        <v>0</v>
      </c>
      <c r="T104">
        <f t="shared" si="85"/>
        <v>0</v>
      </c>
      <c r="U104">
        <f t="shared" si="86"/>
        <v>0</v>
      </c>
      <c r="V104">
        <f t="shared" si="87"/>
        <v>0</v>
      </c>
      <c r="W104">
        <f t="shared" si="88"/>
        <v>0</v>
      </c>
      <c r="X104">
        <f t="shared" si="89"/>
        <v>0</v>
      </c>
      <c r="Y104">
        <f t="shared" si="90"/>
        <v>0</v>
      </c>
      <c r="AA104">
        <v>29836452</v>
      </c>
      <c r="AB104">
        <f t="shared" si="91"/>
        <v>2124</v>
      </c>
      <c r="AC104">
        <f t="shared" si="92"/>
        <v>2124</v>
      </c>
      <c r="AD104">
        <f>ROUND((((ET104)-(EU104))+AE104),0)</f>
        <v>0</v>
      </c>
      <c r="AE104">
        <f>ROUND((EU104),0)</f>
        <v>0</v>
      </c>
      <c r="AF104">
        <f>ROUND((EV104),0)</f>
        <v>0</v>
      </c>
      <c r="AG104">
        <f t="shared" si="93"/>
        <v>0</v>
      </c>
      <c r="AH104">
        <f>(EW104)</f>
        <v>0</v>
      </c>
      <c r="AI104">
        <f>(EX104)</f>
        <v>0</v>
      </c>
      <c r="AJ104">
        <f t="shared" si="94"/>
        <v>0</v>
      </c>
      <c r="AK104">
        <v>2123.75</v>
      </c>
      <c r="AL104">
        <v>2123.75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1</v>
      </c>
      <c r="AW104">
        <v>1</v>
      </c>
      <c r="AZ104">
        <v>1</v>
      </c>
      <c r="BA104">
        <v>1</v>
      </c>
      <c r="BB104">
        <v>1</v>
      </c>
      <c r="BC104">
        <v>1</v>
      </c>
      <c r="BD104" t="s">
        <v>3</v>
      </c>
      <c r="BE104" t="s">
        <v>3</v>
      </c>
      <c r="BF104" t="s">
        <v>3</v>
      </c>
      <c r="BG104" t="s">
        <v>3</v>
      </c>
      <c r="BH104">
        <v>3</v>
      </c>
      <c r="BI104">
        <v>1</v>
      </c>
      <c r="BJ104" t="s">
        <v>227</v>
      </c>
      <c r="BM104">
        <v>500001</v>
      </c>
      <c r="BN104">
        <v>0</v>
      </c>
      <c r="BO104" t="s">
        <v>29</v>
      </c>
      <c r="BP104">
        <v>1</v>
      </c>
      <c r="BQ104">
        <v>8</v>
      </c>
      <c r="BR104">
        <v>1</v>
      </c>
      <c r="BS104">
        <v>1</v>
      </c>
      <c r="BT104">
        <v>1</v>
      </c>
      <c r="BU104">
        <v>1</v>
      </c>
      <c r="BV104">
        <v>1</v>
      </c>
      <c r="BW104">
        <v>1</v>
      </c>
      <c r="BX104">
        <v>1</v>
      </c>
      <c r="BY104" t="s">
        <v>3</v>
      </c>
      <c r="BZ104">
        <v>0</v>
      </c>
      <c r="CA104">
        <v>0</v>
      </c>
      <c r="CB104" t="s">
        <v>3</v>
      </c>
      <c r="CE104">
        <v>0</v>
      </c>
      <c r="CF104">
        <v>0</v>
      </c>
      <c r="CG104">
        <v>0</v>
      </c>
      <c r="CM104">
        <v>0</v>
      </c>
      <c r="CN104" t="s">
        <v>30</v>
      </c>
      <c r="CO104">
        <v>0</v>
      </c>
      <c r="CP104">
        <f t="shared" si="95"/>
        <v>-382.32</v>
      </c>
      <c r="CQ104">
        <f t="shared" si="96"/>
        <v>2124</v>
      </c>
      <c r="CR104">
        <f t="shared" si="97"/>
        <v>0</v>
      </c>
      <c r="CS104">
        <f t="shared" si="98"/>
        <v>0</v>
      </c>
      <c r="CT104">
        <f t="shared" si="99"/>
        <v>0</v>
      </c>
      <c r="CU104">
        <f t="shared" si="100"/>
        <v>0</v>
      </c>
      <c r="CV104">
        <f t="shared" si="101"/>
        <v>0</v>
      </c>
      <c r="CW104">
        <f t="shared" si="102"/>
        <v>0</v>
      </c>
      <c r="CX104">
        <f t="shared" si="103"/>
        <v>0</v>
      </c>
      <c r="CY104">
        <f t="shared" si="104"/>
        <v>0</v>
      </c>
      <c r="CZ104">
        <f t="shared" si="105"/>
        <v>0</v>
      </c>
      <c r="DC104" t="s">
        <v>3</v>
      </c>
      <c r="DD104" t="s">
        <v>3</v>
      </c>
      <c r="DE104" t="s">
        <v>3</v>
      </c>
      <c r="DF104" t="s">
        <v>3</v>
      </c>
      <c r="DG104" t="s">
        <v>3</v>
      </c>
      <c r="DH104" t="s">
        <v>3</v>
      </c>
      <c r="DI104" t="s">
        <v>3</v>
      </c>
      <c r="DJ104" t="s">
        <v>3</v>
      </c>
      <c r="DK104" t="s">
        <v>3</v>
      </c>
      <c r="DL104" t="s">
        <v>3</v>
      </c>
      <c r="DM104" t="s">
        <v>3</v>
      </c>
      <c r="DN104">
        <v>0</v>
      </c>
      <c r="DO104">
        <v>0</v>
      </c>
      <c r="DP104">
        <v>1</v>
      </c>
      <c r="DQ104">
        <v>1</v>
      </c>
      <c r="DU104">
        <v>1009</v>
      </c>
      <c r="DV104" t="s">
        <v>84</v>
      </c>
      <c r="DW104" t="s">
        <v>84</v>
      </c>
      <c r="DX104">
        <v>1000</v>
      </c>
      <c r="DZ104" t="s">
        <v>3</v>
      </c>
      <c r="EA104" t="s">
        <v>3</v>
      </c>
      <c r="EB104" t="s">
        <v>3</v>
      </c>
      <c r="EC104" t="s">
        <v>3</v>
      </c>
      <c r="EE104">
        <v>29577929</v>
      </c>
      <c r="EF104">
        <v>8</v>
      </c>
      <c r="EG104" t="s">
        <v>58</v>
      </c>
      <c r="EH104">
        <v>0</v>
      </c>
      <c r="EI104" t="s">
        <v>3</v>
      </c>
      <c r="EJ104">
        <v>1</v>
      </c>
      <c r="EK104">
        <v>500001</v>
      </c>
      <c r="EL104" t="s">
        <v>59</v>
      </c>
      <c r="EM104" t="s">
        <v>60</v>
      </c>
      <c r="EO104" t="s">
        <v>37</v>
      </c>
      <c r="EQ104">
        <v>33280</v>
      </c>
      <c r="ER104">
        <v>2123.75</v>
      </c>
      <c r="ES104">
        <v>2123.75</v>
      </c>
      <c r="ET104">
        <v>0</v>
      </c>
      <c r="EU104">
        <v>0</v>
      </c>
      <c r="EV104">
        <v>0</v>
      </c>
      <c r="EW104">
        <v>0</v>
      </c>
      <c r="EX104">
        <v>0</v>
      </c>
      <c r="EY104">
        <v>0</v>
      </c>
      <c r="FQ104">
        <v>0</v>
      </c>
      <c r="FR104">
        <f t="shared" si="76"/>
        <v>0</v>
      </c>
      <c r="FS104">
        <v>0</v>
      </c>
      <c r="FX104">
        <v>0</v>
      </c>
      <c r="FY104">
        <v>0</v>
      </c>
      <c r="GA104" t="s">
        <v>3</v>
      </c>
      <c r="GD104">
        <v>1</v>
      </c>
      <c r="GF104">
        <v>-994642722</v>
      </c>
      <c r="GG104">
        <v>2</v>
      </c>
      <c r="GH104">
        <v>1</v>
      </c>
      <c r="GI104">
        <v>4</v>
      </c>
      <c r="GJ104">
        <v>0</v>
      </c>
      <c r="GK104">
        <v>0</v>
      </c>
      <c r="GL104">
        <f t="shared" si="77"/>
        <v>0</v>
      </c>
      <c r="GM104">
        <f t="shared" si="106"/>
        <v>-382.32</v>
      </c>
      <c r="GN104">
        <f t="shared" si="107"/>
        <v>-382.32</v>
      </c>
      <c r="GO104">
        <f t="shared" si="108"/>
        <v>0</v>
      </c>
      <c r="GP104">
        <f t="shared" si="109"/>
        <v>0</v>
      </c>
      <c r="GR104">
        <v>0</v>
      </c>
      <c r="GS104">
        <v>3</v>
      </c>
      <c r="GT104">
        <v>0</v>
      </c>
      <c r="GU104" t="s">
        <v>3</v>
      </c>
      <c r="GV104">
        <f t="shared" si="110"/>
        <v>0</v>
      </c>
      <c r="GW104">
        <v>1</v>
      </c>
      <c r="GX104">
        <f t="shared" si="111"/>
        <v>0</v>
      </c>
      <c r="HA104">
        <v>0</v>
      </c>
      <c r="HB104">
        <v>0</v>
      </c>
      <c r="HC104">
        <f t="shared" si="112"/>
        <v>0</v>
      </c>
      <c r="HE104" t="s">
        <v>3</v>
      </c>
      <c r="HF104" t="s">
        <v>3</v>
      </c>
      <c r="HI104">
        <f t="shared" si="78"/>
        <v>0</v>
      </c>
      <c r="HJ104">
        <f t="shared" si="79"/>
        <v>0</v>
      </c>
      <c r="HK104">
        <f t="shared" si="113"/>
        <v>0</v>
      </c>
      <c r="HL104">
        <f t="shared" si="114"/>
        <v>0</v>
      </c>
      <c r="HM104" t="s">
        <v>3</v>
      </c>
      <c r="HN104" t="s">
        <v>3</v>
      </c>
      <c r="HO104" t="s">
        <v>3</v>
      </c>
      <c r="HP104" t="s">
        <v>3</v>
      </c>
      <c r="HQ104" t="s">
        <v>3</v>
      </c>
      <c r="IK104">
        <v>0</v>
      </c>
    </row>
    <row r="105" spans="1:245" x14ac:dyDescent="0.2">
      <c r="A105">
        <v>17</v>
      </c>
      <c r="B105">
        <v>1</v>
      </c>
      <c r="C105">
        <f>ROW(SmtRes!A122)</f>
        <v>122</v>
      </c>
      <c r="D105">
        <f>ROW(EtalonRes!A130)</f>
        <v>130</v>
      </c>
      <c r="E105" t="s">
        <v>228</v>
      </c>
      <c r="F105" t="s">
        <v>229</v>
      </c>
      <c r="G105" t="s">
        <v>230</v>
      </c>
      <c r="H105" t="s">
        <v>208</v>
      </c>
      <c r="I105">
        <f>ROUND(ROUND(300/100,4),7)</f>
        <v>3</v>
      </c>
      <c r="J105">
        <v>0</v>
      </c>
      <c r="K105">
        <f>ROUND(ROUND(300/100,4),7)</f>
        <v>3</v>
      </c>
      <c r="O105">
        <f t="shared" si="80"/>
        <v>369</v>
      </c>
      <c r="P105">
        <f t="shared" si="81"/>
        <v>0</v>
      </c>
      <c r="Q105">
        <f t="shared" si="82"/>
        <v>105</v>
      </c>
      <c r="R105">
        <f t="shared" si="83"/>
        <v>0</v>
      </c>
      <c r="S105">
        <f t="shared" si="84"/>
        <v>264</v>
      </c>
      <c r="T105">
        <f t="shared" si="85"/>
        <v>0</v>
      </c>
      <c r="U105">
        <f t="shared" si="86"/>
        <v>32.015999999999998</v>
      </c>
      <c r="V105">
        <f t="shared" si="87"/>
        <v>0</v>
      </c>
      <c r="W105">
        <f t="shared" si="88"/>
        <v>0</v>
      </c>
      <c r="X105">
        <f t="shared" si="89"/>
        <v>332.64</v>
      </c>
      <c r="Y105">
        <f t="shared" si="90"/>
        <v>250.8</v>
      </c>
      <c r="AA105">
        <v>29836452</v>
      </c>
      <c r="AB105">
        <f t="shared" si="91"/>
        <v>123</v>
      </c>
      <c r="AC105">
        <f>ROUND(((ES105*ROUND(4,7))),0)</f>
        <v>0</v>
      </c>
      <c r="AD105">
        <f>ROUND(((((ET105*ROUND(4,7)))-((EU105*ROUND(4,7))))+AE105),0)</f>
        <v>35</v>
      </c>
      <c r="AE105">
        <f>ROUND(((EU105*ROUND(4,7))),0)</f>
        <v>0</v>
      </c>
      <c r="AF105">
        <f>ROUND(((EV105*ROUND((4*1.15),7))),0)</f>
        <v>88</v>
      </c>
      <c r="AG105">
        <f t="shared" si="93"/>
        <v>0</v>
      </c>
      <c r="AH105">
        <f>((EW105*ROUND((4*1.15),7)))</f>
        <v>10.671999999999999</v>
      </c>
      <c r="AI105">
        <f>((EX105*ROUND(4,7)))</f>
        <v>0</v>
      </c>
      <c r="AJ105">
        <f t="shared" si="94"/>
        <v>0</v>
      </c>
      <c r="AK105">
        <v>27.99</v>
      </c>
      <c r="AL105">
        <v>0</v>
      </c>
      <c r="AM105">
        <v>8.76</v>
      </c>
      <c r="AN105">
        <v>0</v>
      </c>
      <c r="AO105">
        <v>19.23</v>
      </c>
      <c r="AP105">
        <v>0</v>
      </c>
      <c r="AQ105">
        <v>2.3199999999999998</v>
      </c>
      <c r="AR105">
        <v>0</v>
      </c>
      <c r="AS105">
        <v>0</v>
      </c>
      <c r="AT105">
        <v>126</v>
      </c>
      <c r="AU105">
        <v>95</v>
      </c>
      <c r="AV105">
        <v>1</v>
      </c>
      <c r="AW105">
        <v>1</v>
      </c>
      <c r="AZ105">
        <v>1</v>
      </c>
      <c r="BA105">
        <v>35.86</v>
      </c>
      <c r="BB105">
        <v>1</v>
      </c>
      <c r="BC105">
        <v>1</v>
      </c>
      <c r="BD105" t="s">
        <v>3</v>
      </c>
      <c r="BE105" t="s">
        <v>3</v>
      </c>
      <c r="BF105" t="s">
        <v>3</v>
      </c>
      <c r="BG105" t="s">
        <v>3</v>
      </c>
      <c r="BH105">
        <v>0</v>
      </c>
      <c r="BI105">
        <v>1</v>
      </c>
      <c r="BJ105" t="s">
        <v>231</v>
      </c>
      <c r="BM105">
        <v>27001</v>
      </c>
      <c r="BN105">
        <v>0</v>
      </c>
      <c r="BO105" t="s">
        <v>29</v>
      </c>
      <c r="BP105">
        <v>1</v>
      </c>
      <c r="BQ105">
        <v>2</v>
      </c>
      <c r="BR105">
        <v>0</v>
      </c>
      <c r="BS105">
        <v>35.86</v>
      </c>
      <c r="BT105">
        <v>1</v>
      </c>
      <c r="BU105">
        <v>1</v>
      </c>
      <c r="BV105">
        <v>1</v>
      </c>
      <c r="BW105">
        <v>1</v>
      </c>
      <c r="BX105">
        <v>1</v>
      </c>
      <c r="BY105" t="s">
        <v>3</v>
      </c>
      <c r="BZ105">
        <v>126</v>
      </c>
      <c r="CA105">
        <v>95</v>
      </c>
      <c r="CB105" t="s">
        <v>3</v>
      </c>
      <c r="CE105">
        <v>0</v>
      </c>
      <c r="CF105">
        <v>0</v>
      </c>
      <c r="CG105">
        <v>0</v>
      </c>
      <c r="CM105">
        <v>0</v>
      </c>
      <c r="CN105" t="s">
        <v>30</v>
      </c>
      <c r="CO105">
        <v>0</v>
      </c>
      <c r="CP105">
        <f t="shared" si="95"/>
        <v>369</v>
      </c>
      <c r="CQ105">
        <f t="shared" si="96"/>
        <v>0</v>
      </c>
      <c r="CR105">
        <f t="shared" si="97"/>
        <v>35</v>
      </c>
      <c r="CS105">
        <f t="shared" si="98"/>
        <v>0</v>
      </c>
      <c r="CT105">
        <f t="shared" si="99"/>
        <v>88</v>
      </c>
      <c r="CU105">
        <f t="shared" si="100"/>
        <v>0</v>
      </c>
      <c r="CV105">
        <f t="shared" si="101"/>
        <v>10.671999999999999</v>
      </c>
      <c r="CW105">
        <f t="shared" si="102"/>
        <v>0</v>
      </c>
      <c r="CX105">
        <f t="shared" si="103"/>
        <v>0</v>
      </c>
      <c r="CY105">
        <f t="shared" si="104"/>
        <v>332.64</v>
      </c>
      <c r="CZ105">
        <f t="shared" si="105"/>
        <v>250.8</v>
      </c>
      <c r="DC105" t="s">
        <v>3</v>
      </c>
      <c r="DD105" t="s">
        <v>92</v>
      </c>
      <c r="DE105" t="s">
        <v>92</v>
      </c>
      <c r="DF105" t="s">
        <v>92</v>
      </c>
      <c r="DG105" t="s">
        <v>232</v>
      </c>
      <c r="DH105" t="s">
        <v>3</v>
      </c>
      <c r="DI105" t="s">
        <v>232</v>
      </c>
      <c r="DJ105" t="s">
        <v>92</v>
      </c>
      <c r="DK105" t="s">
        <v>3</v>
      </c>
      <c r="DL105" t="s">
        <v>3</v>
      </c>
      <c r="DM105" t="s">
        <v>3</v>
      </c>
      <c r="DN105">
        <v>0</v>
      </c>
      <c r="DO105">
        <v>0</v>
      </c>
      <c r="DP105">
        <v>1</v>
      </c>
      <c r="DQ105">
        <v>1</v>
      </c>
      <c r="DU105">
        <v>1005</v>
      </c>
      <c r="DV105" t="s">
        <v>208</v>
      </c>
      <c r="DW105" t="s">
        <v>208</v>
      </c>
      <c r="DX105">
        <v>100</v>
      </c>
      <c r="DZ105" t="s">
        <v>3</v>
      </c>
      <c r="EA105" t="s">
        <v>3</v>
      </c>
      <c r="EB105" t="s">
        <v>3</v>
      </c>
      <c r="EC105" t="s">
        <v>3</v>
      </c>
      <c r="EE105">
        <v>29578057</v>
      </c>
      <c r="EF105">
        <v>2</v>
      </c>
      <c r="EG105" t="s">
        <v>33</v>
      </c>
      <c r="EH105">
        <v>21</v>
      </c>
      <c r="EI105" t="s">
        <v>51</v>
      </c>
      <c r="EJ105">
        <v>1</v>
      </c>
      <c r="EK105">
        <v>27001</v>
      </c>
      <c r="EL105" t="s">
        <v>51</v>
      </c>
      <c r="EM105" t="s">
        <v>52</v>
      </c>
      <c r="EO105" t="s">
        <v>37</v>
      </c>
      <c r="EQ105">
        <v>512</v>
      </c>
      <c r="ER105">
        <v>27.99</v>
      </c>
      <c r="ES105">
        <v>0</v>
      </c>
      <c r="ET105">
        <v>8.76</v>
      </c>
      <c r="EU105">
        <v>0</v>
      </c>
      <c r="EV105">
        <v>19.23</v>
      </c>
      <c r="EW105">
        <v>2.3199999999999998</v>
      </c>
      <c r="EX105">
        <v>0</v>
      </c>
      <c r="EY105">
        <v>0</v>
      </c>
      <c r="FQ105">
        <v>0</v>
      </c>
      <c r="FR105">
        <f t="shared" si="76"/>
        <v>0</v>
      </c>
      <c r="FS105">
        <v>0</v>
      </c>
      <c r="FX105">
        <v>126</v>
      </c>
      <c r="FY105">
        <v>95</v>
      </c>
      <c r="GA105" t="s">
        <v>3</v>
      </c>
      <c r="GD105">
        <v>1</v>
      </c>
      <c r="GF105">
        <v>-1829634373</v>
      </c>
      <c r="GG105">
        <v>2</v>
      </c>
      <c r="GH105">
        <v>1</v>
      </c>
      <c r="GI105">
        <v>4</v>
      </c>
      <c r="GJ105">
        <v>0</v>
      </c>
      <c r="GK105">
        <v>0</v>
      </c>
      <c r="GL105">
        <f t="shared" si="77"/>
        <v>0</v>
      </c>
      <c r="GM105">
        <f t="shared" si="106"/>
        <v>952.44</v>
      </c>
      <c r="GN105">
        <f t="shared" si="107"/>
        <v>952.44</v>
      </c>
      <c r="GO105">
        <f t="shared" si="108"/>
        <v>0</v>
      </c>
      <c r="GP105">
        <f t="shared" si="109"/>
        <v>0</v>
      </c>
      <c r="GR105">
        <v>0</v>
      </c>
      <c r="GS105">
        <v>3</v>
      </c>
      <c r="GT105">
        <v>0</v>
      </c>
      <c r="GU105" t="s">
        <v>3</v>
      </c>
      <c r="GV105">
        <f t="shared" si="110"/>
        <v>0</v>
      </c>
      <c r="GW105">
        <v>1</v>
      </c>
      <c r="GX105">
        <f t="shared" si="111"/>
        <v>0</v>
      </c>
      <c r="HA105">
        <v>0</v>
      </c>
      <c r="HB105">
        <v>0</v>
      </c>
      <c r="HC105">
        <f t="shared" si="112"/>
        <v>0</v>
      </c>
      <c r="HE105" t="s">
        <v>3</v>
      </c>
      <c r="HF105" t="s">
        <v>3</v>
      </c>
      <c r="HI105">
        <f t="shared" si="78"/>
        <v>0</v>
      </c>
      <c r="HJ105">
        <f t="shared" si="79"/>
        <v>9467.0400000000009</v>
      </c>
      <c r="HK105">
        <f t="shared" si="113"/>
        <v>11928.47</v>
      </c>
      <c r="HL105">
        <f t="shared" si="114"/>
        <v>8993.69</v>
      </c>
      <c r="HM105" t="s">
        <v>3</v>
      </c>
      <c r="HN105" t="s">
        <v>3</v>
      </c>
      <c r="HO105" t="s">
        <v>3</v>
      </c>
      <c r="HP105" t="s">
        <v>3</v>
      </c>
      <c r="HQ105" t="s">
        <v>3</v>
      </c>
      <c r="IK105">
        <v>0</v>
      </c>
    </row>
    <row r="106" spans="1:245" x14ac:dyDescent="0.2">
      <c r="A106">
        <v>18</v>
      </c>
      <c r="B106">
        <v>1</v>
      </c>
      <c r="C106">
        <v>122</v>
      </c>
      <c r="E106" t="s">
        <v>233</v>
      </c>
      <c r="F106" t="s">
        <v>86</v>
      </c>
      <c r="G106" t="s">
        <v>87</v>
      </c>
      <c r="H106" t="s">
        <v>84</v>
      </c>
      <c r="I106">
        <f>I105*J106</f>
        <v>21.42</v>
      </c>
      <c r="J106">
        <v>7.1400000000000006</v>
      </c>
      <c r="K106">
        <v>7.14</v>
      </c>
      <c r="O106">
        <f t="shared" si="80"/>
        <v>0</v>
      </c>
      <c r="P106">
        <f t="shared" si="81"/>
        <v>0</v>
      </c>
      <c r="Q106">
        <f t="shared" si="82"/>
        <v>0</v>
      </c>
      <c r="R106">
        <f t="shared" si="83"/>
        <v>0</v>
      </c>
      <c r="S106">
        <f t="shared" si="84"/>
        <v>0</v>
      </c>
      <c r="T106">
        <f t="shared" si="85"/>
        <v>0</v>
      </c>
      <c r="U106">
        <f t="shared" si="86"/>
        <v>0</v>
      </c>
      <c r="V106">
        <f t="shared" si="87"/>
        <v>0</v>
      </c>
      <c r="W106">
        <f t="shared" si="88"/>
        <v>0</v>
      </c>
      <c r="X106">
        <f t="shared" si="89"/>
        <v>0</v>
      </c>
      <c r="Y106">
        <f t="shared" si="90"/>
        <v>0</v>
      </c>
      <c r="AA106">
        <v>29836452</v>
      </c>
      <c r="AB106">
        <f t="shared" si="91"/>
        <v>0</v>
      </c>
      <c r="AC106">
        <f>ROUND((ES106),0)</f>
        <v>0</v>
      </c>
      <c r="AD106">
        <f>ROUND((((ET106)-(EU106))+AE106),0)</f>
        <v>0</v>
      </c>
      <c r="AE106">
        <f t="shared" ref="AE106:AF108" si="115">ROUND((EU106),0)</f>
        <v>0</v>
      </c>
      <c r="AF106">
        <f t="shared" si="115"/>
        <v>0</v>
      </c>
      <c r="AG106">
        <f t="shared" si="93"/>
        <v>0</v>
      </c>
      <c r="AH106">
        <f t="shared" ref="AH106:AI108" si="116">(EW106)</f>
        <v>0</v>
      </c>
      <c r="AI106">
        <f t="shared" si="116"/>
        <v>0</v>
      </c>
      <c r="AJ106">
        <f t="shared" si="94"/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126</v>
      </c>
      <c r="AU106">
        <v>95</v>
      </c>
      <c r="AV106">
        <v>1</v>
      </c>
      <c r="AW106">
        <v>1</v>
      </c>
      <c r="AZ106">
        <v>1</v>
      </c>
      <c r="BA106">
        <v>1</v>
      </c>
      <c r="BB106">
        <v>1</v>
      </c>
      <c r="BC106">
        <v>1</v>
      </c>
      <c r="BD106" t="s">
        <v>3</v>
      </c>
      <c r="BE106" t="s">
        <v>3</v>
      </c>
      <c r="BF106" t="s">
        <v>3</v>
      </c>
      <c r="BG106" t="s">
        <v>3</v>
      </c>
      <c r="BH106">
        <v>3</v>
      </c>
      <c r="BI106">
        <v>1</v>
      </c>
      <c r="BJ106" t="s">
        <v>3</v>
      </c>
      <c r="BM106">
        <v>27001</v>
      </c>
      <c r="BN106">
        <v>0</v>
      </c>
      <c r="BO106" t="s">
        <v>29</v>
      </c>
      <c r="BP106">
        <v>1</v>
      </c>
      <c r="BQ106">
        <v>2</v>
      </c>
      <c r="BR106">
        <v>0</v>
      </c>
      <c r="BS106">
        <v>1</v>
      </c>
      <c r="BT106">
        <v>1</v>
      </c>
      <c r="BU106">
        <v>1</v>
      </c>
      <c r="BV106">
        <v>1</v>
      </c>
      <c r="BW106">
        <v>1</v>
      </c>
      <c r="BX106">
        <v>1</v>
      </c>
      <c r="BY106" t="s">
        <v>3</v>
      </c>
      <c r="BZ106">
        <v>126</v>
      </c>
      <c r="CA106">
        <v>95</v>
      </c>
      <c r="CB106" t="s">
        <v>3</v>
      </c>
      <c r="CE106">
        <v>0</v>
      </c>
      <c r="CF106">
        <v>0</v>
      </c>
      <c r="CG106">
        <v>0</v>
      </c>
      <c r="CM106">
        <v>0</v>
      </c>
      <c r="CN106" t="s">
        <v>30</v>
      </c>
      <c r="CO106">
        <v>0</v>
      </c>
      <c r="CP106">
        <f t="shared" si="95"/>
        <v>0</v>
      </c>
      <c r="CQ106">
        <f t="shared" si="96"/>
        <v>0</v>
      </c>
      <c r="CR106">
        <f t="shared" si="97"/>
        <v>0</v>
      </c>
      <c r="CS106">
        <f t="shared" si="98"/>
        <v>0</v>
      </c>
      <c r="CT106">
        <f t="shared" si="99"/>
        <v>0</v>
      </c>
      <c r="CU106">
        <f t="shared" si="100"/>
        <v>0</v>
      </c>
      <c r="CV106">
        <f t="shared" si="101"/>
        <v>0</v>
      </c>
      <c r="CW106">
        <f t="shared" si="102"/>
        <v>0</v>
      </c>
      <c r="CX106">
        <f t="shared" si="103"/>
        <v>0</v>
      </c>
      <c r="CY106">
        <f t="shared" si="104"/>
        <v>0</v>
      </c>
      <c r="CZ106">
        <f t="shared" si="105"/>
        <v>0</v>
      </c>
      <c r="DC106" t="s">
        <v>3</v>
      </c>
      <c r="DD106" t="s">
        <v>3</v>
      </c>
      <c r="DE106" t="s">
        <v>3</v>
      </c>
      <c r="DF106" t="s">
        <v>3</v>
      </c>
      <c r="DG106" t="s">
        <v>3</v>
      </c>
      <c r="DH106" t="s">
        <v>3</v>
      </c>
      <c r="DI106" t="s">
        <v>3</v>
      </c>
      <c r="DJ106" t="s">
        <v>3</v>
      </c>
      <c r="DK106" t="s">
        <v>3</v>
      </c>
      <c r="DL106" t="s">
        <v>3</v>
      </c>
      <c r="DM106" t="s">
        <v>3</v>
      </c>
      <c r="DN106">
        <v>0</v>
      </c>
      <c r="DO106">
        <v>0</v>
      </c>
      <c r="DP106">
        <v>1</v>
      </c>
      <c r="DQ106">
        <v>1</v>
      </c>
      <c r="DU106">
        <v>1009</v>
      </c>
      <c r="DV106" t="s">
        <v>84</v>
      </c>
      <c r="DW106" t="s">
        <v>84</v>
      </c>
      <c r="DX106">
        <v>1000</v>
      </c>
      <c r="DZ106" t="s">
        <v>3</v>
      </c>
      <c r="EA106" t="s">
        <v>3</v>
      </c>
      <c r="EB106" t="s">
        <v>3</v>
      </c>
      <c r="EC106" t="s">
        <v>3</v>
      </c>
      <c r="EE106">
        <v>29578057</v>
      </c>
      <c r="EF106">
        <v>2</v>
      </c>
      <c r="EG106" t="s">
        <v>33</v>
      </c>
      <c r="EH106">
        <v>21</v>
      </c>
      <c r="EI106" t="s">
        <v>51</v>
      </c>
      <c r="EJ106">
        <v>1</v>
      </c>
      <c r="EK106">
        <v>27001</v>
      </c>
      <c r="EL106" t="s">
        <v>51</v>
      </c>
      <c r="EM106" t="s">
        <v>52</v>
      </c>
      <c r="EO106" t="s">
        <v>37</v>
      </c>
      <c r="EQ106">
        <v>512</v>
      </c>
      <c r="ER106">
        <v>0</v>
      </c>
      <c r="ES106">
        <v>0</v>
      </c>
      <c r="ET106">
        <v>0</v>
      </c>
      <c r="EU106">
        <v>0</v>
      </c>
      <c r="EV106">
        <v>0</v>
      </c>
      <c r="EW106">
        <v>0</v>
      </c>
      <c r="EX106">
        <v>0</v>
      </c>
      <c r="FQ106">
        <v>0</v>
      </c>
      <c r="FR106">
        <f t="shared" si="76"/>
        <v>0</v>
      </c>
      <c r="FS106">
        <v>0</v>
      </c>
      <c r="FX106">
        <v>126</v>
      </c>
      <c r="FY106">
        <v>95</v>
      </c>
      <c r="GA106" t="s">
        <v>3</v>
      </c>
      <c r="GD106">
        <v>1</v>
      </c>
      <c r="GF106">
        <v>1670663622</v>
      </c>
      <c r="GG106">
        <v>2</v>
      </c>
      <c r="GH106">
        <v>1</v>
      </c>
      <c r="GI106">
        <v>4</v>
      </c>
      <c r="GJ106">
        <v>0</v>
      </c>
      <c r="GK106">
        <v>0</v>
      </c>
      <c r="GL106">
        <f t="shared" si="77"/>
        <v>0</v>
      </c>
      <c r="GM106">
        <f t="shared" si="106"/>
        <v>0</v>
      </c>
      <c r="GN106">
        <f t="shared" si="107"/>
        <v>0</v>
      </c>
      <c r="GO106">
        <f t="shared" si="108"/>
        <v>0</v>
      </c>
      <c r="GP106">
        <f t="shared" si="109"/>
        <v>0</v>
      </c>
      <c r="GR106">
        <v>0</v>
      </c>
      <c r="GS106">
        <v>3</v>
      </c>
      <c r="GT106">
        <v>0</v>
      </c>
      <c r="GU106" t="s">
        <v>3</v>
      </c>
      <c r="GV106">
        <f t="shared" si="110"/>
        <v>0</v>
      </c>
      <c r="GW106">
        <v>1</v>
      </c>
      <c r="GX106">
        <f t="shared" si="111"/>
        <v>0</v>
      </c>
      <c r="HA106">
        <v>0</v>
      </c>
      <c r="HB106">
        <v>0</v>
      </c>
      <c r="HC106">
        <f t="shared" si="112"/>
        <v>0</v>
      </c>
      <c r="HE106" t="s">
        <v>3</v>
      </c>
      <c r="HF106" t="s">
        <v>3</v>
      </c>
      <c r="HI106">
        <f t="shared" si="78"/>
        <v>0</v>
      </c>
      <c r="HJ106">
        <f t="shared" si="79"/>
        <v>0</v>
      </c>
      <c r="HK106">
        <f t="shared" si="113"/>
        <v>0</v>
      </c>
      <c r="HL106">
        <f t="shared" si="114"/>
        <v>0</v>
      </c>
      <c r="HM106" t="s">
        <v>3</v>
      </c>
      <c r="HN106" t="s">
        <v>3</v>
      </c>
      <c r="HO106" t="s">
        <v>3</v>
      </c>
      <c r="HP106" t="s">
        <v>3</v>
      </c>
      <c r="HQ106" t="s">
        <v>3</v>
      </c>
      <c r="IK106">
        <v>0</v>
      </c>
    </row>
    <row r="107" spans="1:245" x14ac:dyDescent="0.2">
      <c r="A107">
        <v>17</v>
      </c>
      <c r="B107">
        <v>1</v>
      </c>
      <c r="E107" t="s">
        <v>234</v>
      </c>
      <c r="F107" t="s">
        <v>117</v>
      </c>
      <c r="G107" t="s">
        <v>118</v>
      </c>
      <c r="H107" t="s">
        <v>84</v>
      </c>
      <c r="I107">
        <f>ROUND(ROUND(0.18,4),7)</f>
        <v>0.18</v>
      </c>
      <c r="J107">
        <v>0</v>
      </c>
      <c r="K107">
        <f>ROUND(ROUND(0.18,4),7)</f>
        <v>0.18</v>
      </c>
      <c r="O107">
        <f t="shared" si="80"/>
        <v>485.46</v>
      </c>
      <c r="P107">
        <f t="shared" si="81"/>
        <v>485.46</v>
      </c>
      <c r="Q107">
        <f t="shared" si="82"/>
        <v>0</v>
      </c>
      <c r="R107">
        <f t="shared" si="83"/>
        <v>0</v>
      </c>
      <c r="S107">
        <f t="shared" si="84"/>
        <v>0</v>
      </c>
      <c r="T107">
        <f t="shared" si="85"/>
        <v>0</v>
      </c>
      <c r="U107">
        <f t="shared" si="86"/>
        <v>0</v>
      </c>
      <c r="V107">
        <f t="shared" si="87"/>
        <v>0</v>
      </c>
      <c r="W107">
        <f t="shared" si="88"/>
        <v>0</v>
      </c>
      <c r="X107">
        <f t="shared" si="89"/>
        <v>0</v>
      </c>
      <c r="Y107">
        <f t="shared" si="90"/>
        <v>0</v>
      </c>
      <c r="AA107">
        <v>29836452</v>
      </c>
      <c r="AB107">
        <f t="shared" si="91"/>
        <v>2697</v>
      </c>
      <c r="AC107">
        <f>ROUND((ES107),0)</f>
        <v>2697</v>
      </c>
      <c r="AD107">
        <f>ROUND((((ET107)-(EU107))+AE107),0)</f>
        <v>0</v>
      </c>
      <c r="AE107">
        <f t="shared" si="115"/>
        <v>0</v>
      </c>
      <c r="AF107">
        <f t="shared" si="115"/>
        <v>0</v>
      </c>
      <c r="AG107">
        <f t="shared" si="93"/>
        <v>0</v>
      </c>
      <c r="AH107">
        <f t="shared" si="116"/>
        <v>0</v>
      </c>
      <c r="AI107">
        <f t="shared" si="116"/>
        <v>0</v>
      </c>
      <c r="AJ107">
        <f t="shared" si="94"/>
        <v>0</v>
      </c>
      <c r="AK107">
        <v>2696.76</v>
      </c>
      <c r="AL107">
        <v>2696.76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1</v>
      </c>
      <c r="AW107">
        <v>1</v>
      </c>
      <c r="AZ107">
        <v>1</v>
      </c>
      <c r="BA107">
        <v>1</v>
      </c>
      <c r="BB107">
        <v>1</v>
      </c>
      <c r="BC107">
        <v>1</v>
      </c>
      <c r="BD107" t="s">
        <v>3</v>
      </c>
      <c r="BE107" t="s">
        <v>3</v>
      </c>
      <c r="BF107" t="s">
        <v>3</v>
      </c>
      <c r="BG107" t="s">
        <v>3</v>
      </c>
      <c r="BH107">
        <v>3</v>
      </c>
      <c r="BI107">
        <v>1</v>
      </c>
      <c r="BJ107" t="s">
        <v>119</v>
      </c>
      <c r="BM107">
        <v>500001</v>
      </c>
      <c r="BN107">
        <v>0</v>
      </c>
      <c r="BO107" t="s">
        <v>29</v>
      </c>
      <c r="BP107">
        <v>1</v>
      </c>
      <c r="BQ107">
        <v>8</v>
      </c>
      <c r="BR107">
        <v>0</v>
      </c>
      <c r="BS107">
        <v>1</v>
      </c>
      <c r="BT107">
        <v>1</v>
      </c>
      <c r="BU107">
        <v>1</v>
      </c>
      <c r="BV107">
        <v>1</v>
      </c>
      <c r="BW107">
        <v>1</v>
      </c>
      <c r="BX107">
        <v>1</v>
      </c>
      <c r="BY107" t="s">
        <v>3</v>
      </c>
      <c r="BZ107">
        <v>0</v>
      </c>
      <c r="CA107">
        <v>0</v>
      </c>
      <c r="CB107" t="s">
        <v>3</v>
      </c>
      <c r="CE107">
        <v>0</v>
      </c>
      <c r="CF107">
        <v>0</v>
      </c>
      <c r="CG107">
        <v>0</v>
      </c>
      <c r="CM107">
        <v>0</v>
      </c>
      <c r="CN107" t="s">
        <v>3</v>
      </c>
      <c r="CO107">
        <v>0</v>
      </c>
      <c r="CP107">
        <f t="shared" si="95"/>
        <v>485.46</v>
      </c>
      <c r="CQ107">
        <f t="shared" si="96"/>
        <v>2697</v>
      </c>
      <c r="CR107">
        <f t="shared" si="97"/>
        <v>0</v>
      </c>
      <c r="CS107">
        <f t="shared" si="98"/>
        <v>0</v>
      </c>
      <c r="CT107">
        <f t="shared" si="99"/>
        <v>0</v>
      </c>
      <c r="CU107">
        <f t="shared" si="100"/>
        <v>0</v>
      </c>
      <c r="CV107">
        <f t="shared" si="101"/>
        <v>0</v>
      </c>
      <c r="CW107">
        <f t="shared" si="102"/>
        <v>0</v>
      </c>
      <c r="CX107">
        <f t="shared" si="103"/>
        <v>0</v>
      </c>
      <c r="CY107">
        <f t="shared" si="104"/>
        <v>0</v>
      </c>
      <c r="CZ107">
        <f t="shared" si="105"/>
        <v>0</v>
      </c>
      <c r="DC107" t="s">
        <v>3</v>
      </c>
      <c r="DD107" t="s">
        <v>3</v>
      </c>
      <c r="DE107" t="s">
        <v>3</v>
      </c>
      <c r="DF107" t="s">
        <v>3</v>
      </c>
      <c r="DG107" t="s">
        <v>3</v>
      </c>
      <c r="DH107" t="s">
        <v>3</v>
      </c>
      <c r="DI107" t="s">
        <v>3</v>
      </c>
      <c r="DJ107" t="s">
        <v>3</v>
      </c>
      <c r="DK107" t="s">
        <v>3</v>
      </c>
      <c r="DL107" t="s">
        <v>3</v>
      </c>
      <c r="DM107" t="s">
        <v>3</v>
      </c>
      <c r="DN107">
        <v>0</v>
      </c>
      <c r="DO107">
        <v>0</v>
      </c>
      <c r="DP107">
        <v>1</v>
      </c>
      <c r="DQ107">
        <v>1</v>
      </c>
      <c r="DU107">
        <v>1009</v>
      </c>
      <c r="DV107" t="s">
        <v>84</v>
      </c>
      <c r="DW107" t="s">
        <v>84</v>
      </c>
      <c r="DX107">
        <v>1000</v>
      </c>
      <c r="DZ107" t="s">
        <v>3</v>
      </c>
      <c r="EA107" t="s">
        <v>3</v>
      </c>
      <c r="EB107" t="s">
        <v>3</v>
      </c>
      <c r="EC107" t="s">
        <v>3</v>
      </c>
      <c r="EE107">
        <v>29577929</v>
      </c>
      <c r="EF107">
        <v>8</v>
      </c>
      <c r="EG107" t="s">
        <v>58</v>
      </c>
      <c r="EH107">
        <v>0</v>
      </c>
      <c r="EI107" t="s">
        <v>3</v>
      </c>
      <c r="EJ107">
        <v>1</v>
      </c>
      <c r="EK107">
        <v>500001</v>
      </c>
      <c r="EL107" t="s">
        <v>59</v>
      </c>
      <c r="EM107" t="s">
        <v>60</v>
      </c>
      <c r="EO107" t="s">
        <v>3</v>
      </c>
      <c r="EQ107">
        <v>0</v>
      </c>
      <c r="ER107">
        <v>2696.76</v>
      </c>
      <c r="ES107">
        <v>2696.76</v>
      </c>
      <c r="ET107">
        <v>0</v>
      </c>
      <c r="EU107">
        <v>0</v>
      </c>
      <c r="EV107">
        <v>0</v>
      </c>
      <c r="EW107">
        <v>0</v>
      </c>
      <c r="EX107">
        <v>0</v>
      </c>
      <c r="EY107">
        <v>0</v>
      </c>
      <c r="FQ107">
        <v>0</v>
      </c>
      <c r="FR107">
        <f t="shared" si="76"/>
        <v>0</v>
      </c>
      <c r="FS107">
        <v>0</v>
      </c>
      <c r="FX107">
        <v>0</v>
      </c>
      <c r="FY107">
        <v>0</v>
      </c>
      <c r="GA107" t="s">
        <v>3</v>
      </c>
      <c r="GD107">
        <v>1</v>
      </c>
      <c r="GF107">
        <v>-521417318</v>
      </c>
      <c r="GG107">
        <v>2</v>
      </c>
      <c r="GH107">
        <v>1</v>
      </c>
      <c r="GI107">
        <v>4</v>
      </c>
      <c r="GJ107">
        <v>0</v>
      </c>
      <c r="GK107">
        <v>0</v>
      </c>
      <c r="GL107">
        <f t="shared" si="77"/>
        <v>0</v>
      </c>
      <c r="GM107">
        <f t="shared" si="106"/>
        <v>485.46</v>
      </c>
      <c r="GN107">
        <f t="shared" si="107"/>
        <v>485.46</v>
      </c>
      <c r="GO107">
        <f t="shared" si="108"/>
        <v>0</v>
      </c>
      <c r="GP107">
        <f t="shared" si="109"/>
        <v>0</v>
      </c>
      <c r="GR107">
        <v>0</v>
      </c>
      <c r="GS107">
        <v>3</v>
      </c>
      <c r="GT107">
        <v>0</v>
      </c>
      <c r="GU107" t="s">
        <v>3</v>
      </c>
      <c r="GV107">
        <f t="shared" si="110"/>
        <v>0</v>
      </c>
      <c r="GW107">
        <v>1</v>
      </c>
      <c r="GX107">
        <f t="shared" si="111"/>
        <v>0</v>
      </c>
      <c r="HA107">
        <v>0</v>
      </c>
      <c r="HB107">
        <v>0</v>
      </c>
      <c r="HC107">
        <f t="shared" si="112"/>
        <v>0</v>
      </c>
      <c r="HE107" t="s">
        <v>3</v>
      </c>
      <c r="HF107" t="s">
        <v>3</v>
      </c>
      <c r="HI107">
        <f t="shared" si="78"/>
        <v>0</v>
      </c>
      <c r="HJ107">
        <f t="shared" si="79"/>
        <v>0</v>
      </c>
      <c r="HK107">
        <f t="shared" si="113"/>
        <v>0</v>
      </c>
      <c r="HL107">
        <f t="shared" si="114"/>
        <v>0</v>
      </c>
      <c r="HM107" t="s">
        <v>3</v>
      </c>
      <c r="HN107" t="s">
        <v>3</v>
      </c>
      <c r="HO107" t="s">
        <v>3</v>
      </c>
      <c r="HP107" t="s">
        <v>3</v>
      </c>
      <c r="HQ107" t="s">
        <v>3</v>
      </c>
      <c r="IK107">
        <v>0</v>
      </c>
    </row>
    <row r="108" spans="1:245" x14ac:dyDescent="0.2">
      <c r="A108">
        <v>17</v>
      </c>
      <c r="B108">
        <v>1</v>
      </c>
      <c r="E108" t="s">
        <v>235</v>
      </c>
      <c r="F108" t="s">
        <v>236</v>
      </c>
      <c r="G108" t="s">
        <v>237</v>
      </c>
      <c r="H108" t="s">
        <v>84</v>
      </c>
      <c r="I108">
        <f>ROUND(ROUND(42.84,4),7)</f>
        <v>42.84</v>
      </c>
      <c r="J108">
        <v>0</v>
      </c>
      <c r="K108">
        <f>ROUND(ROUND(42.84,4),7)</f>
        <v>42.84</v>
      </c>
      <c r="O108">
        <f t="shared" si="80"/>
        <v>27888.84</v>
      </c>
      <c r="P108">
        <f t="shared" si="81"/>
        <v>27888.84</v>
      </c>
      <c r="Q108">
        <f t="shared" si="82"/>
        <v>0</v>
      </c>
      <c r="R108">
        <f t="shared" si="83"/>
        <v>0</v>
      </c>
      <c r="S108">
        <f t="shared" si="84"/>
        <v>0</v>
      </c>
      <c r="T108">
        <f t="shared" si="85"/>
        <v>0</v>
      </c>
      <c r="U108">
        <f t="shared" si="86"/>
        <v>0</v>
      </c>
      <c r="V108">
        <f t="shared" si="87"/>
        <v>0</v>
      </c>
      <c r="W108">
        <f t="shared" si="88"/>
        <v>0</v>
      </c>
      <c r="X108">
        <f t="shared" si="89"/>
        <v>0</v>
      </c>
      <c r="Y108">
        <f t="shared" si="90"/>
        <v>0</v>
      </c>
      <c r="AA108">
        <v>29836452</v>
      </c>
      <c r="AB108">
        <f t="shared" si="91"/>
        <v>651</v>
      </c>
      <c r="AC108">
        <f>ROUND((ES108),0)</f>
        <v>651</v>
      </c>
      <c r="AD108">
        <f>ROUND((((ET108)-(EU108))+AE108),0)</f>
        <v>0</v>
      </c>
      <c r="AE108">
        <f t="shared" si="115"/>
        <v>0</v>
      </c>
      <c r="AF108">
        <f t="shared" si="115"/>
        <v>0</v>
      </c>
      <c r="AG108">
        <f t="shared" si="93"/>
        <v>0</v>
      </c>
      <c r="AH108">
        <f t="shared" si="116"/>
        <v>0</v>
      </c>
      <c r="AI108">
        <f t="shared" si="116"/>
        <v>0</v>
      </c>
      <c r="AJ108">
        <f t="shared" si="94"/>
        <v>0</v>
      </c>
      <c r="AK108">
        <v>650.54999999999995</v>
      </c>
      <c r="AL108">
        <v>650.54999999999995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1</v>
      </c>
      <c r="AW108">
        <v>1</v>
      </c>
      <c r="AZ108">
        <v>1</v>
      </c>
      <c r="BA108">
        <v>1</v>
      </c>
      <c r="BB108">
        <v>1</v>
      </c>
      <c r="BC108">
        <v>1</v>
      </c>
      <c r="BD108" t="s">
        <v>3</v>
      </c>
      <c r="BE108" t="s">
        <v>3</v>
      </c>
      <c r="BF108" t="s">
        <v>3</v>
      </c>
      <c r="BG108" t="s">
        <v>3</v>
      </c>
      <c r="BH108">
        <v>3</v>
      </c>
      <c r="BI108">
        <v>1</v>
      </c>
      <c r="BJ108" t="s">
        <v>238</v>
      </c>
      <c r="BM108">
        <v>500001</v>
      </c>
      <c r="BN108">
        <v>0</v>
      </c>
      <c r="BO108" t="s">
        <v>29</v>
      </c>
      <c r="BP108">
        <v>1</v>
      </c>
      <c r="BQ108">
        <v>8</v>
      </c>
      <c r="BR108">
        <v>0</v>
      </c>
      <c r="BS108">
        <v>1</v>
      </c>
      <c r="BT108">
        <v>1</v>
      </c>
      <c r="BU108">
        <v>1</v>
      </c>
      <c r="BV108">
        <v>1</v>
      </c>
      <c r="BW108">
        <v>1</v>
      </c>
      <c r="BX108">
        <v>1</v>
      </c>
      <c r="BY108" t="s">
        <v>3</v>
      </c>
      <c r="BZ108">
        <v>0</v>
      </c>
      <c r="CA108">
        <v>0</v>
      </c>
      <c r="CB108" t="s">
        <v>3</v>
      </c>
      <c r="CE108">
        <v>0</v>
      </c>
      <c r="CF108">
        <v>0</v>
      </c>
      <c r="CG108">
        <v>0</v>
      </c>
      <c r="CM108">
        <v>0</v>
      </c>
      <c r="CN108" t="s">
        <v>3</v>
      </c>
      <c r="CO108">
        <v>0</v>
      </c>
      <c r="CP108">
        <f t="shared" si="95"/>
        <v>27888.84</v>
      </c>
      <c r="CQ108">
        <f t="shared" si="96"/>
        <v>651</v>
      </c>
      <c r="CR108">
        <f t="shared" si="97"/>
        <v>0</v>
      </c>
      <c r="CS108">
        <f t="shared" si="98"/>
        <v>0</v>
      </c>
      <c r="CT108">
        <f t="shared" si="99"/>
        <v>0</v>
      </c>
      <c r="CU108">
        <f t="shared" si="100"/>
        <v>0</v>
      </c>
      <c r="CV108">
        <f t="shared" si="101"/>
        <v>0</v>
      </c>
      <c r="CW108">
        <f t="shared" si="102"/>
        <v>0</v>
      </c>
      <c r="CX108">
        <f t="shared" si="103"/>
        <v>0</v>
      </c>
      <c r="CY108">
        <f t="shared" si="104"/>
        <v>0</v>
      </c>
      <c r="CZ108">
        <f t="shared" si="105"/>
        <v>0</v>
      </c>
      <c r="DC108" t="s">
        <v>3</v>
      </c>
      <c r="DD108" t="s">
        <v>3</v>
      </c>
      <c r="DE108" t="s">
        <v>3</v>
      </c>
      <c r="DF108" t="s">
        <v>3</v>
      </c>
      <c r="DG108" t="s">
        <v>3</v>
      </c>
      <c r="DH108" t="s">
        <v>3</v>
      </c>
      <c r="DI108" t="s">
        <v>3</v>
      </c>
      <c r="DJ108" t="s">
        <v>3</v>
      </c>
      <c r="DK108" t="s">
        <v>3</v>
      </c>
      <c r="DL108" t="s">
        <v>3</v>
      </c>
      <c r="DM108" t="s">
        <v>3</v>
      </c>
      <c r="DN108">
        <v>0</v>
      </c>
      <c r="DO108">
        <v>0</v>
      </c>
      <c r="DP108">
        <v>1</v>
      </c>
      <c r="DQ108">
        <v>1</v>
      </c>
      <c r="DU108">
        <v>1009</v>
      </c>
      <c r="DV108" t="s">
        <v>84</v>
      </c>
      <c r="DW108" t="s">
        <v>84</v>
      </c>
      <c r="DX108">
        <v>1000</v>
      </c>
      <c r="DZ108" t="s">
        <v>3</v>
      </c>
      <c r="EA108" t="s">
        <v>3</v>
      </c>
      <c r="EB108" t="s">
        <v>3</v>
      </c>
      <c r="EC108" t="s">
        <v>3</v>
      </c>
      <c r="EE108">
        <v>29577929</v>
      </c>
      <c r="EF108">
        <v>8</v>
      </c>
      <c r="EG108" t="s">
        <v>58</v>
      </c>
      <c r="EH108">
        <v>0</v>
      </c>
      <c r="EI108" t="s">
        <v>3</v>
      </c>
      <c r="EJ108">
        <v>1</v>
      </c>
      <c r="EK108">
        <v>500001</v>
      </c>
      <c r="EL108" t="s">
        <v>59</v>
      </c>
      <c r="EM108" t="s">
        <v>60</v>
      </c>
      <c r="EO108" t="s">
        <v>3</v>
      </c>
      <c r="EQ108">
        <v>0</v>
      </c>
      <c r="ER108">
        <v>650.54999999999995</v>
      </c>
      <c r="ES108">
        <v>650.54999999999995</v>
      </c>
      <c r="ET108">
        <v>0</v>
      </c>
      <c r="EU108">
        <v>0</v>
      </c>
      <c r="EV108">
        <v>0</v>
      </c>
      <c r="EW108">
        <v>0</v>
      </c>
      <c r="EX108">
        <v>0</v>
      </c>
      <c r="EY108">
        <v>0</v>
      </c>
      <c r="FQ108">
        <v>0</v>
      </c>
      <c r="FR108">
        <f t="shared" si="76"/>
        <v>0</v>
      </c>
      <c r="FS108">
        <v>0</v>
      </c>
      <c r="FX108">
        <v>0</v>
      </c>
      <c r="FY108">
        <v>0</v>
      </c>
      <c r="GA108" t="s">
        <v>3</v>
      </c>
      <c r="GD108">
        <v>1</v>
      </c>
      <c r="GF108">
        <v>702422558</v>
      </c>
      <c r="GG108">
        <v>2</v>
      </c>
      <c r="GH108">
        <v>1</v>
      </c>
      <c r="GI108">
        <v>4</v>
      </c>
      <c r="GJ108">
        <v>0</v>
      </c>
      <c r="GK108">
        <v>0</v>
      </c>
      <c r="GL108">
        <f t="shared" si="77"/>
        <v>0</v>
      </c>
      <c r="GM108">
        <f t="shared" si="106"/>
        <v>27888.84</v>
      </c>
      <c r="GN108">
        <f t="shared" si="107"/>
        <v>27888.84</v>
      </c>
      <c r="GO108">
        <f t="shared" si="108"/>
        <v>0</v>
      </c>
      <c r="GP108">
        <f t="shared" si="109"/>
        <v>0</v>
      </c>
      <c r="GR108">
        <v>0</v>
      </c>
      <c r="GS108">
        <v>3</v>
      </c>
      <c r="GT108">
        <v>0</v>
      </c>
      <c r="GU108" t="s">
        <v>3</v>
      </c>
      <c r="GV108">
        <f t="shared" si="110"/>
        <v>0</v>
      </c>
      <c r="GW108">
        <v>1</v>
      </c>
      <c r="GX108">
        <f t="shared" si="111"/>
        <v>0</v>
      </c>
      <c r="HA108">
        <v>0</v>
      </c>
      <c r="HB108">
        <v>0</v>
      </c>
      <c r="HC108">
        <f t="shared" si="112"/>
        <v>0</v>
      </c>
      <c r="HE108" t="s">
        <v>3</v>
      </c>
      <c r="HF108" t="s">
        <v>3</v>
      </c>
      <c r="HI108">
        <f t="shared" si="78"/>
        <v>0</v>
      </c>
      <c r="HJ108">
        <f t="shared" si="79"/>
        <v>0</v>
      </c>
      <c r="HK108">
        <f t="shared" si="113"/>
        <v>0</v>
      </c>
      <c r="HL108">
        <f t="shared" si="114"/>
        <v>0</v>
      </c>
      <c r="HM108" t="s">
        <v>3</v>
      </c>
      <c r="HN108" t="s">
        <v>3</v>
      </c>
      <c r="HO108" t="s">
        <v>3</v>
      </c>
      <c r="HP108" t="s">
        <v>3</v>
      </c>
      <c r="HQ108" t="s">
        <v>3</v>
      </c>
      <c r="IK108">
        <v>0</v>
      </c>
    </row>
    <row r="109" spans="1:245" x14ac:dyDescent="0.2">
      <c r="A109">
        <v>17</v>
      </c>
      <c r="B109">
        <v>1</v>
      </c>
      <c r="C109">
        <f>ROW(SmtRes!A130)</f>
        <v>130</v>
      </c>
      <c r="D109">
        <f>ROW(EtalonRes!A139)</f>
        <v>139</v>
      </c>
      <c r="E109" t="s">
        <v>239</v>
      </c>
      <c r="F109" t="s">
        <v>125</v>
      </c>
      <c r="G109" t="s">
        <v>126</v>
      </c>
      <c r="H109" t="s">
        <v>127</v>
      </c>
      <c r="I109">
        <f>ROUND(ROUND(14/100,4),7)</f>
        <v>0.14000000000000001</v>
      </c>
      <c r="J109">
        <v>0</v>
      </c>
      <c r="K109">
        <f>ROUND(ROUND(14/100,4),7)</f>
        <v>0.14000000000000001</v>
      </c>
      <c r="O109">
        <f t="shared" si="80"/>
        <v>702.8</v>
      </c>
      <c r="P109">
        <f t="shared" si="81"/>
        <v>596.12</v>
      </c>
      <c r="Q109">
        <f t="shared" si="82"/>
        <v>14.14</v>
      </c>
      <c r="R109">
        <f t="shared" si="83"/>
        <v>1.54</v>
      </c>
      <c r="S109">
        <f t="shared" si="84"/>
        <v>92.54</v>
      </c>
      <c r="T109">
        <f t="shared" si="85"/>
        <v>0</v>
      </c>
      <c r="U109">
        <f t="shared" si="86"/>
        <v>12.24888</v>
      </c>
      <c r="V109">
        <f t="shared" si="87"/>
        <v>0</v>
      </c>
      <c r="W109">
        <f t="shared" si="88"/>
        <v>0</v>
      </c>
      <c r="X109">
        <f t="shared" si="89"/>
        <v>118.54</v>
      </c>
      <c r="Y109">
        <f t="shared" si="90"/>
        <v>89.38</v>
      </c>
      <c r="AA109">
        <v>29836452</v>
      </c>
      <c r="AB109">
        <f t="shared" si="91"/>
        <v>5020</v>
      </c>
      <c r="AC109">
        <f>ROUND((ES109),0)</f>
        <v>4258</v>
      </c>
      <c r="AD109">
        <f>ROUND(((((ET109*ROUND(1.25,7)))-((EU109*ROUND(1.25,7))))+AE109),0)</f>
        <v>101</v>
      </c>
      <c r="AE109">
        <f>ROUND(((EU109*ROUND(1.25,7))),0)</f>
        <v>11</v>
      </c>
      <c r="AF109">
        <f>ROUND(((EV109*ROUND(1.15,7))),0)</f>
        <v>661</v>
      </c>
      <c r="AG109">
        <f t="shared" si="93"/>
        <v>0</v>
      </c>
      <c r="AH109">
        <f>((EW109*ROUND(1.15,7)))</f>
        <v>87.49199999999999</v>
      </c>
      <c r="AI109">
        <f>((EX109*ROUND(1.25,7)))</f>
        <v>0</v>
      </c>
      <c r="AJ109">
        <f t="shared" si="94"/>
        <v>0</v>
      </c>
      <c r="AK109">
        <v>4912.6400000000003</v>
      </c>
      <c r="AL109">
        <v>4258.09</v>
      </c>
      <c r="AM109">
        <v>80.150000000000006</v>
      </c>
      <c r="AN109">
        <v>8.4600000000000009</v>
      </c>
      <c r="AO109">
        <v>574.4</v>
      </c>
      <c r="AP109">
        <v>0</v>
      </c>
      <c r="AQ109">
        <v>76.08</v>
      </c>
      <c r="AR109">
        <v>0</v>
      </c>
      <c r="AS109">
        <v>0</v>
      </c>
      <c r="AT109">
        <v>126</v>
      </c>
      <c r="AU109">
        <v>95</v>
      </c>
      <c r="AV109">
        <v>1</v>
      </c>
      <c r="AW109">
        <v>1</v>
      </c>
      <c r="AZ109">
        <v>1</v>
      </c>
      <c r="BA109">
        <v>35.86</v>
      </c>
      <c r="BB109">
        <v>1</v>
      </c>
      <c r="BC109">
        <v>1</v>
      </c>
      <c r="BD109" t="s">
        <v>3</v>
      </c>
      <c r="BE109" t="s">
        <v>3</v>
      </c>
      <c r="BF109" t="s">
        <v>3</v>
      </c>
      <c r="BG109" t="s">
        <v>3</v>
      </c>
      <c r="BH109">
        <v>0</v>
      </c>
      <c r="BI109">
        <v>1</v>
      </c>
      <c r="BJ109" t="s">
        <v>128</v>
      </c>
      <c r="BM109">
        <v>27001</v>
      </c>
      <c r="BN109">
        <v>0</v>
      </c>
      <c r="BO109" t="s">
        <v>29</v>
      </c>
      <c r="BP109">
        <v>1</v>
      </c>
      <c r="BQ109">
        <v>2</v>
      </c>
      <c r="BR109">
        <v>0</v>
      </c>
      <c r="BS109">
        <v>35.86</v>
      </c>
      <c r="BT109">
        <v>1</v>
      </c>
      <c r="BU109">
        <v>1</v>
      </c>
      <c r="BV109">
        <v>1</v>
      </c>
      <c r="BW109">
        <v>1</v>
      </c>
      <c r="BX109">
        <v>1</v>
      </c>
      <c r="BY109" t="s">
        <v>3</v>
      </c>
      <c r="BZ109">
        <v>126</v>
      </c>
      <c r="CA109">
        <v>95</v>
      </c>
      <c r="CB109" t="s">
        <v>3</v>
      </c>
      <c r="CE109">
        <v>0</v>
      </c>
      <c r="CF109">
        <v>0</v>
      </c>
      <c r="CG109">
        <v>0</v>
      </c>
      <c r="CM109">
        <v>0</v>
      </c>
      <c r="CN109" t="s">
        <v>30</v>
      </c>
      <c r="CO109">
        <v>0</v>
      </c>
      <c r="CP109">
        <f t="shared" si="95"/>
        <v>702.8</v>
      </c>
      <c r="CQ109">
        <f t="shared" si="96"/>
        <v>4258</v>
      </c>
      <c r="CR109">
        <f t="shared" si="97"/>
        <v>101</v>
      </c>
      <c r="CS109">
        <f t="shared" si="98"/>
        <v>11</v>
      </c>
      <c r="CT109">
        <f t="shared" si="99"/>
        <v>661</v>
      </c>
      <c r="CU109">
        <f t="shared" si="100"/>
        <v>0</v>
      </c>
      <c r="CV109">
        <f t="shared" si="101"/>
        <v>87.49199999999999</v>
      </c>
      <c r="CW109">
        <f t="shared" si="102"/>
        <v>0</v>
      </c>
      <c r="CX109">
        <f t="shared" si="103"/>
        <v>0</v>
      </c>
      <c r="CY109">
        <f t="shared" si="104"/>
        <v>118.54080000000002</v>
      </c>
      <c r="CZ109">
        <f t="shared" si="105"/>
        <v>89.376000000000005</v>
      </c>
      <c r="DC109" t="s">
        <v>3</v>
      </c>
      <c r="DD109" t="s">
        <v>3</v>
      </c>
      <c r="DE109" t="s">
        <v>31</v>
      </c>
      <c r="DF109" t="s">
        <v>31</v>
      </c>
      <c r="DG109" t="s">
        <v>32</v>
      </c>
      <c r="DH109" t="s">
        <v>3</v>
      </c>
      <c r="DI109" t="s">
        <v>32</v>
      </c>
      <c r="DJ109" t="s">
        <v>31</v>
      </c>
      <c r="DK109" t="s">
        <v>3</v>
      </c>
      <c r="DL109" t="s">
        <v>3</v>
      </c>
      <c r="DM109" t="s">
        <v>3</v>
      </c>
      <c r="DN109">
        <v>0</v>
      </c>
      <c r="DO109">
        <v>0</v>
      </c>
      <c r="DP109">
        <v>1</v>
      </c>
      <c r="DQ109">
        <v>1</v>
      </c>
      <c r="DU109">
        <v>1003</v>
      </c>
      <c r="DV109" t="s">
        <v>127</v>
      </c>
      <c r="DW109" t="s">
        <v>127</v>
      </c>
      <c r="DX109">
        <v>100</v>
      </c>
      <c r="DZ109" t="s">
        <v>3</v>
      </c>
      <c r="EA109" t="s">
        <v>3</v>
      </c>
      <c r="EB109" t="s">
        <v>3</v>
      </c>
      <c r="EC109" t="s">
        <v>3</v>
      </c>
      <c r="EE109">
        <v>29578057</v>
      </c>
      <c r="EF109">
        <v>2</v>
      </c>
      <c r="EG109" t="s">
        <v>33</v>
      </c>
      <c r="EH109">
        <v>21</v>
      </c>
      <c r="EI109" t="s">
        <v>51</v>
      </c>
      <c r="EJ109">
        <v>1</v>
      </c>
      <c r="EK109">
        <v>27001</v>
      </c>
      <c r="EL109" t="s">
        <v>51</v>
      </c>
      <c r="EM109" t="s">
        <v>52</v>
      </c>
      <c r="EO109" t="s">
        <v>37</v>
      </c>
      <c r="EQ109">
        <v>512</v>
      </c>
      <c r="ER109">
        <v>4912.6400000000003</v>
      </c>
      <c r="ES109">
        <v>4258.09</v>
      </c>
      <c r="ET109">
        <v>80.150000000000006</v>
      </c>
      <c r="EU109">
        <v>8.4600000000000009</v>
      </c>
      <c r="EV109">
        <v>574.4</v>
      </c>
      <c r="EW109">
        <v>76.08</v>
      </c>
      <c r="EX109">
        <v>0</v>
      </c>
      <c r="EY109">
        <v>0</v>
      </c>
      <c r="FQ109">
        <v>0</v>
      </c>
      <c r="FR109">
        <f t="shared" si="76"/>
        <v>0</v>
      </c>
      <c r="FS109">
        <v>0</v>
      </c>
      <c r="FX109">
        <v>126</v>
      </c>
      <c r="FY109">
        <v>95</v>
      </c>
      <c r="GA109" t="s">
        <v>3</v>
      </c>
      <c r="GD109">
        <v>1</v>
      </c>
      <c r="GF109">
        <v>-1872542013</v>
      </c>
      <c r="GG109">
        <v>2</v>
      </c>
      <c r="GH109">
        <v>1</v>
      </c>
      <c r="GI109">
        <v>4</v>
      </c>
      <c r="GJ109">
        <v>0</v>
      </c>
      <c r="GK109">
        <v>0</v>
      </c>
      <c r="GL109">
        <f t="shared" si="77"/>
        <v>0</v>
      </c>
      <c r="GM109">
        <f t="shared" si="106"/>
        <v>910.72</v>
      </c>
      <c r="GN109">
        <f t="shared" si="107"/>
        <v>910.72</v>
      </c>
      <c r="GO109">
        <f t="shared" si="108"/>
        <v>0</v>
      </c>
      <c r="GP109">
        <f t="shared" si="109"/>
        <v>0</v>
      </c>
      <c r="GR109">
        <v>0</v>
      </c>
      <c r="GS109">
        <v>3</v>
      </c>
      <c r="GT109">
        <v>0</v>
      </c>
      <c r="GU109" t="s">
        <v>3</v>
      </c>
      <c r="GV109">
        <f t="shared" si="110"/>
        <v>0</v>
      </c>
      <c r="GW109">
        <v>1</v>
      </c>
      <c r="GX109">
        <f t="shared" si="111"/>
        <v>0</v>
      </c>
      <c r="HA109">
        <v>0</v>
      </c>
      <c r="HB109">
        <v>0</v>
      </c>
      <c r="HC109">
        <f t="shared" si="112"/>
        <v>0</v>
      </c>
      <c r="HE109" t="s">
        <v>3</v>
      </c>
      <c r="HF109" t="s">
        <v>3</v>
      </c>
      <c r="HI109">
        <f t="shared" si="78"/>
        <v>55.22</v>
      </c>
      <c r="HJ109">
        <f t="shared" si="79"/>
        <v>3318.48</v>
      </c>
      <c r="HK109">
        <f t="shared" si="113"/>
        <v>4250.8599999999997</v>
      </c>
      <c r="HL109">
        <f t="shared" si="114"/>
        <v>3205.02</v>
      </c>
      <c r="HM109" t="s">
        <v>3</v>
      </c>
      <c r="HN109" t="s">
        <v>3</v>
      </c>
      <c r="HO109" t="s">
        <v>3</v>
      </c>
      <c r="HP109" t="s">
        <v>3</v>
      </c>
      <c r="HQ109" t="s">
        <v>3</v>
      </c>
      <c r="IK109">
        <v>0</v>
      </c>
    </row>
    <row r="110" spans="1:245" x14ac:dyDescent="0.2">
      <c r="A110">
        <v>17</v>
      </c>
      <c r="B110">
        <v>1</v>
      </c>
      <c r="E110" t="s">
        <v>240</v>
      </c>
      <c r="F110" t="s">
        <v>241</v>
      </c>
      <c r="G110" t="s">
        <v>242</v>
      </c>
      <c r="H110" t="s">
        <v>132</v>
      </c>
      <c r="I110">
        <f>ROUND(ROUND(7,4),7)</f>
        <v>7</v>
      </c>
      <c r="J110">
        <v>0</v>
      </c>
      <c r="K110">
        <f>ROUND(ROUND(7,4),7)</f>
        <v>7</v>
      </c>
      <c r="O110">
        <f t="shared" si="80"/>
        <v>154</v>
      </c>
      <c r="P110">
        <f t="shared" si="81"/>
        <v>154</v>
      </c>
      <c r="Q110">
        <f t="shared" si="82"/>
        <v>0</v>
      </c>
      <c r="R110">
        <f t="shared" si="83"/>
        <v>0</v>
      </c>
      <c r="S110">
        <f t="shared" si="84"/>
        <v>0</v>
      </c>
      <c r="T110">
        <f t="shared" si="85"/>
        <v>0</v>
      </c>
      <c r="U110">
        <f t="shared" si="86"/>
        <v>0</v>
      </c>
      <c r="V110">
        <f t="shared" si="87"/>
        <v>0</v>
      </c>
      <c r="W110">
        <f t="shared" si="88"/>
        <v>0</v>
      </c>
      <c r="X110">
        <f t="shared" si="89"/>
        <v>0</v>
      </c>
      <c r="Y110">
        <f t="shared" si="90"/>
        <v>0</v>
      </c>
      <c r="AA110">
        <v>29836452</v>
      </c>
      <c r="AB110">
        <f t="shared" si="91"/>
        <v>22</v>
      </c>
      <c r="AC110">
        <f>ROUND((ES110),0)</f>
        <v>22</v>
      </c>
      <c r="AD110">
        <f>ROUND((((ET110)-(EU110))+AE110),0)</f>
        <v>0</v>
      </c>
      <c r="AE110">
        <f>ROUND((EU110),0)</f>
        <v>0</v>
      </c>
      <c r="AF110">
        <f>ROUND((EV110),0)</f>
        <v>0</v>
      </c>
      <c r="AG110">
        <f t="shared" si="93"/>
        <v>0</v>
      </c>
      <c r="AH110">
        <f>(EW110)</f>
        <v>0</v>
      </c>
      <c r="AI110">
        <f>(EX110)</f>
        <v>0</v>
      </c>
      <c r="AJ110">
        <f t="shared" si="94"/>
        <v>0</v>
      </c>
      <c r="AK110">
        <v>22.36</v>
      </c>
      <c r="AL110">
        <v>22.36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1</v>
      </c>
      <c r="AW110">
        <v>1</v>
      </c>
      <c r="AZ110">
        <v>1</v>
      </c>
      <c r="BA110">
        <v>1</v>
      </c>
      <c r="BB110">
        <v>1</v>
      </c>
      <c r="BC110">
        <v>1</v>
      </c>
      <c r="BD110" t="s">
        <v>3</v>
      </c>
      <c r="BE110" t="s">
        <v>3</v>
      </c>
      <c r="BF110" t="s">
        <v>3</v>
      </c>
      <c r="BG110" t="s">
        <v>3</v>
      </c>
      <c r="BH110">
        <v>3</v>
      </c>
      <c r="BI110">
        <v>1</v>
      </c>
      <c r="BJ110" t="s">
        <v>243</v>
      </c>
      <c r="BM110">
        <v>500001</v>
      </c>
      <c r="BN110">
        <v>0</v>
      </c>
      <c r="BO110" t="s">
        <v>29</v>
      </c>
      <c r="BP110">
        <v>1</v>
      </c>
      <c r="BQ110">
        <v>8</v>
      </c>
      <c r="BR110">
        <v>0</v>
      </c>
      <c r="BS110">
        <v>1</v>
      </c>
      <c r="BT110">
        <v>1</v>
      </c>
      <c r="BU110">
        <v>1</v>
      </c>
      <c r="BV110">
        <v>1</v>
      </c>
      <c r="BW110">
        <v>1</v>
      </c>
      <c r="BX110">
        <v>1</v>
      </c>
      <c r="BY110" t="s">
        <v>3</v>
      </c>
      <c r="BZ110">
        <v>0</v>
      </c>
      <c r="CA110">
        <v>0</v>
      </c>
      <c r="CB110" t="s">
        <v>3</v>
      </c>
      <c r="CE110">
        <v>0</v>
      </c>
      <c r="CF110">
        <v>0</v>
      </c>
      <c r="CG110">
        <v>0</v>
      </c>
      <c r="CM110">
        <v>0</v>
      </c>
      <c r="CN110" t="s">
        <v>3</v>
      </c>
      <c r="CO110">
        <v>0</v>
      </c>
      <c r="CP110">
        <f t="shared" si="95"/>
        <v>154</v>
      </c>
      <c r="CQ110">
        <f t="shared" si="96"/>
        <v>22</v>
      </c>
      <c r="CR110">
        <f t="shared" si="97"/>
        <v>0</v>
      </c>
      <c r="CS110">
        <f t="shared" si="98"/>
        <v>0</v>
      </c>
      <c r="CT110">
        <f t="shared" si="99"/>
        <v>0</v>
      </c>
      <c r="CU110">
        <f t="shared" si="100"/>
        <v>0</v>
      </c>
      <c r="CV110">
        <f t="shared" si="101"/>
        <v>0</v>
      </c>
      <c r="CW110">
        <f t="shared" si="102"/>
        <v>0</v>
      </c>
      <c r="CX110">
        <f t="shared" si="103"/>
        <v>0</v>
      </c>
      <c r="CY110">
        <f t="shared" si="104"/>
        <v>0</v>
      </c>
      <c r="CZ110">
        <f t="shared" si="105"/>
        <v>0</v>
      </c>
      <c r="DC110" t="s">
        <v>3</v>
      </c>
      <c r="DD110" t="s">
        <v>3</v>
      </c>
      <c r="DE110" t="s">
        <v>3</v>
      </c>
      <c r="DF110" t="s">
        <v>3</v>
      </c>
      <c r="DG110" t="s">
        <v>3</v>
      </c>
      <c r="DH110" t="s">
        <v>3</v>
      </c>
      <c r="DI110" t="s">
        <v>3</v>
      </c>
      <c r="DJ110" t="s">
        <v>3</v>
      </c>
      <c r="DK110" t="s">
        <v>3</v>
      </c>
      <c r="DL110" t="s">
        <v>3</v>
      </c>
      <c r="DM110" t="s">
        <v>3</v>
      </c>
      <c r="DN110">
        <v>0</v>
      </c>
      <c r="DO110">
        <v>0</v>
      </c>
      <c r="DP110">
        <v>1</v>
      </c>
      <c r="DQ110">
        <v>1</v>
      </c>
      <c r="DU110">
        <v>1010</v>
      </c>
      <c r="DV110" t="s">
        <v>132</v>
      </c>
      <c r="DW110" t="s">
        <v>132</v>
      </c>
      <c r="DX110">
        <v>1</v>
      </c>
      <c r="DZ110" t="s">
        <v>3</v>
      </c>
      <c r="EA110" t="s">
        <v>3</v>
      </c>
      <c r="EB110" t="s">
        <v>3</v>
      </c>
      <c r="EC110" t="s">
        <v>3</v>
      </c>
      <c r="EE110">
        <v>29577929</v>
      </c>
      <c r="EF110">
        <v>8</v>
      </c>
      <c r="EG110" t="s">
        <v>58</v>
      </c>
      <c r="EH110">
        <v>0</v>
      </c>
      <c r="EI110" t="s">
        <v>3</v>
      </c>
      <c r="EJ110">
        <v>1</v>
      </c>
      <c r="EK110">
        <v>500001</v>
      </c>
      <c r="EL110" t="s">
        <v>59</v>
      </c>
      <c r="EM110" t="s">
        <v>60</v>
      </c>
      <c r="EO110" t="s">
        <v>3</v>
      </c>
      <c r="EQ110">
        <v>0</v>
      </c>
      <c r="ER110">
        <v>22.36</v>
      </c>
      <c r="ES110">
        <v>22.36</v>
      </c>
      <c r="ET110">
        <v>0</v>
      </c>
      <c r="EU110">
        <v>0</v>
      </c>
      <c r="EV110">
        <v>0</v>
      </c>
      <c r="EW110">
        <v>0</v>
      </c>
      <c r="EX110">
        <v>0</v>
      </c>
      <c r="EY110">
        <v>0</v>
      </c>
      <c r="FQ110">
        <v>0</v>
      </c>
      <c r="FR110">
        <f t="shared" si="76"/>
        <v>0</v>
      </c>
      <c r="FS110">
        <v>0</v>
      </c>
      <c r="FX110">
        <v>0</v>
      </c>
      <c r="FY110">
        <v>0</v>
      </c>
      <c r="GA110" t="s">
        <v>3</v>
      </c>
      <c r="GD110">
        <v>1</v>
      </c>
      <c r="GF110">
        <v>1427367095</v>
      </c>
      <c r="GG110">
        <v>2</v>
      </c>
      <c r="GH110">
        <v>1</v>
      </c>
      <c r="GI110">
        <v>4</v>
      </c>
      <c r="GJ110">
        <v>0</v>
      </c>
      <c r="GK110">
        <v>0</v>
      </c>
      <c r="GL110">
        <f t="shared" si="77"/>
        <v>0</v>
      </c>
      <c r="GM110">
        <f t="shared" si="106"/>
        <v>154</v>
      </c>
      <c r="GN110">
        <f t="shared" si="107"/>
        <v>154</v>
      </c>
      <c r="GO110">
        <f t="shared" si="108"/>
        <v>0</v>
      </c>
      <c r="GP110">
        <f t="shared" si="109"/>
        <v>0</v>
      </c>
      <c r="GR110">
        <v>0</v>
      </c>
      <c r="GS110">
        <v>3</v>
      </c>
      <c r="GT110">
        <v>0</v>
      </c>
      <c r="GU110" t="s">
        <v>3</v>
      </c>
      <c r="GV110">
        <f t="shared" si="110"/>
        <v>0</v>
      </c>
      <c r="GW110">
        <v>1</v>
      </c>
      <c r="GX110">
        <f t="shared" si="111"/>
        <v>0</v>
      </c>
      <c r="HA110">
        <v>0</v>
      </c>
      <c r="HB110">
        <v>0</v>
      </c>
      <c r="HC110">
        <f t="shared" si="112"/>
        <v>0</v>
      </c>
      <c r="HE110" t="s">
        <v>3</v>
      </c>
      <c r="HF110" t="s">
        <v>3</v>
      </c>
      <c r="HI110">
        <f t="shared" si="78"/>
        <v>0</v>
      </c>
      <c r="HJ110">
        <f t="shared" si="79"/>
        <v>0</v>
      </c>
      <c r="HK110">
        <f t="shared" si="113"/>
        <v>0</v>
      </c>
      <c r="HL110">
        <f t="shared" si="114"/>
        <v>0</v>
      </c>
      <c r="HM110" t="s">
        <v>3</v>
      </c>
      <c r="HN110" t="s">
        <v>3</v>
      </c>
      <c r="HO110" t="s">
        <v>3</v>
      </c>
      <c r="HP110" t="s">
        <v>3</v>
      </c>
      <c r="HQ110" t="s">
        <v>3</v>
      </c>
      <c r="IK110">
        <v>0</v>
      </c>
    </row>
    <row r="111" spans="1:245" x14ac:dyDescent="0.2">
      <c r="A111">
        <v>17</v>
      </c>
      <c r="B111">
        <v>1</v>
      </c>
      <c r="E111" t="s">
        <v>244</v>
      </c>
      <c r="F111" t="s">
        <v>245</v>
      </c>
      <c r="G111" t="s">
        <v>246</v>
      </c>
      <c r="H111" t="s">
        <v>41</v>
      </c>
      <c r="I111">
        <f>ROUND(ROUND(270,4),7)</f>
        <v>270</v>
      </c>
      <c r="J111">
        <v>0</v>
      </c>
      <c r="K111">
        <f>ROUND(ROUND(270,4),7)</f>
        <v>270</v>
      </c>
      <c r="O111">
        <f>0</f>
        <v>0</v>
      </c>
      <c r="P111">
        <f>0</f>
        <v>0</v>
      </c>
      <c r="Q111">
        <f>0</f>
        <v>0</v>
      </c>
      <c r="R111">
        <f>0</f>
        <v>0</v>
      </c>
      <c r="S111">
        <f>0</f>
        <v>0</v>
      </c>
      <c r="T111">
        <f>0</f>
        <v>0</v>
      </c>
      <c r="U111">
        <f>0</f>
        <v>0</v>
      </c>
      <c r="V111">
        <f>0</f>
        <v>0</v>
      </c>
      <c r="W111">
        <f>0</f>
        <v>0</v>
      </c>
      <c r="X111">
        <f>0</f>
        <v>0</v>
      </c>
      <c r="Y111">
        <f>0</f>
        <v>0</v>
      </c>
      <c r="AA111">
        <v>29836452</v>
      </c>
      <c r="AB111">
        <f>ROUND((AK111),0)</f>
        <v>26</v>
      </c>
      <c r="AC111">
        <f>0</f>
        <v>0</v>
      </c>
      <c r="AD111">
        <f>0</f>
        <v>0</v>
      </c>
      <c r="AE111">
        <f>0</f>
        <v>0</v>
      </c>
      <c r="AF111">
        <f>0</f>
        <v>0</v>
      </c>
      <c r="AG111">
        <f>0</f>
        <v>0</v>
      </c>
      <c r="AH111">
        <f>0</f>
        <v>0</v>
      </c>
      <c r="AI111">
        <f>0</f>
        <v>0</v>
      </c>
      <c r="AJ111">
        <f>0</f>
        <v>0</v>
      </c>
      <c r="AK111">
        <v>26.38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1</v>
      </c>
      <c r="AW111">
        <v>1</v>
      </c>
      <c r="AZ111">
        <v>1</v>
      </c>
      <c r="BA111">
        <v>1</v>
      </c>
      <c r="BB111">
        <v>1</v>
      </c>
      <c r="BC111">
        <v>1</v>
      </c>
      <c r="BD111" t="s">
        <v>3</v>
      </c>
      <c r="BE111" t="s">
        <v>3</v>
      </c>
      <c r="BF111" t="s">
        <v>3</v>
      </c>
      <c r="BG111" t="s">
        <v>3</v>
      </c>
      <c r="BH111">
        <v>0</v>
      </c>
      <c r="BI111">
        <v>1</v>
      </c>
      <c r="BJ111" t="s">
        <v>247</v>
      </c>
      <c r="BM111">
        <v>700005</v>
      </c>
      <c r="BN111">
        <v>0</v>
      </c>
      <c r="BO111" t="s">
        <v>29</v>
      </c>
      <c r="BP111">
        <v>1</v>
      </c>
      <c r="BQ111">
        <v>10</v>
      </c>
      <c r="BR111">
        <v>0</v>
      </c>
      <c r="BS111">
        <v>1</v>
      </c>
      <c r="BT111">
        <v>1</v>
      </c>
      <c r="BU111">
        <v>1</v>
      </c>
      <c r="BV111">
        <v>1</v>
      </c>
      <c r="BW111">
        <v>1</v>
      </c>
      <c r="BX111">
        <v>1</v>
      </c>
      <c r="BY111" t="s">
        <v>3</v>
      </c>
      <c r="BZ111">
        <v>0</v>
      </c>
      <c r="CA111">
        <v>0</v>
      </c>
      <c r="CB111" t="s">
        <v>3</v>
      </c>
      <c r="CE111">
        <v>0</v>
      </c>
      <c r="CF111">
        <v>0</v>
      </c>
      <c r="CG111">
        <v>0</v>
      </c>
      <c r="CM111">
        <v>0</v>
      </c>
      <c r="CN111" t="s">
        <v>3</v>
      </c>
      <c r="CO111">
        <v>0</v>
      </c>
      <c r="CP111">
        <f>AB111*AZ111</f>
        <v>26</v>
      </c>
      <c r="CQ111">
        <v>0</v>
      </c>
      <c r="CR111">
        <v>0</v>
      </c>
      <c r="CS111">
        <v>0</v>
      </c>
      <c r="CT111">
        <v>0</v>
      </c>
      <c r="CU111">
        <v>0</v>
      </c>
      <c r="CV111">
        <v>0</v>
      </c>
      <c r="CW111">
        <v>0</v>
      </c>
      <c r="CX111">
        <v>0</v>
      </c>
      <c r="CY111">
        <v>0</v>
      </c>
      <c r="CZ111">
        <v>0</v>
      </c>
      <c r="DC111" t="s">
        <v>3</v>
      </c>
      <c r="DD111" t="s">
        <v>3</v>
      </c>
      <c r="DE111" t="s">
        <v>3</v>
      </c>
      <c r="DF111" t="s">
        <v>3</v>
      </c>
      <c r="DG111" t="s">
        <v>3</v>
      </c>
      <c r="DH111" t="s">
        <v>3</v>
      </c>
      <c r="DI111" t="s">
        <v>3</v>
      </c>
      <c r="DJ111" t="s">
        <v>3</v>
      </c>
      <c r="DK111" t="s">
        <v>3</v>
      </c>
      <c r="DL111" t="s">
        <v>3</v>
      </c>
      <c r="DM111" t="s">
        <v>3</v>
      </c>
      <c r="DN111">
        <v>0</v>
      </c>
      <c r="DO111">
        <v>0</v>
      </c>
      <c r="DP111">
        <v>1</v>
      </c>
      <c r="DQ111">
        <v>1</v>
      </c>
      <c r="DU111">
        <v>1013</v>
      </c>
      <c r="DV111" t="s">
        <v>41</v>
      </c>
      <c r="DW111" t="s">
        <v>41</v>
      </c>
      <c r="DX111">
        <v>1</v>
      </c>
      <c r="DZ111" t="s">
        <v>3</v>
      </c>
      <c r="EA111" t="s">
        <v>3</v>
      </c>
      <c r="EB111" t="s">
        <v>3</v>
      </c>
      <c r="EC111" t="s">
        <v>3</v>
      </c>
      <c r="EE111">
        <v>29578226</v>
      </c>
      <c r="EF111">
        <v>10</v>
      </c>
      <c r="EG111" t="s">
        <v>43</v>
      </c>
      <c r="EH111">
        <v>107</v>
      </c>
      <c r="EI111" t="s">
        <v>44</v>
      </c>
      <c r="EJ111">
        <v>1</v>
      </c>
      <c r="EK111">
        <v>700005</v>
      </c>
      <c r="EL111" t="s">
        <v>44</v>
      </c>
      <c r="EM111" t="s">
        <v>45</v>
      </c>
      <c r="EO111" t="s">
        <v>3</v>
      </c>
      <c r="EQ111">
        <v>0</v>
      </c>
      <c r="ER111">
        <v>0</v>
      </c>
      <c r="ES111">
        <v>0</v>
      </c>
      <c r="ET111">
        <v>0</v>
      </c>
      <c r="EU111">
        <v>0</v>
      </c>
      <c r="EV111">
        <v>0</v>
      </c>
      <c r="EW111">
        <v>0</v>
      </c>
      <c r="EX111">
        <v>0</v>
      </c>
      <c r="EY111">
        <v>0</v>
      </c>
      <c r="FQ111">
        <v>0</v>
      </c>
      <c r="FR111">
        <f t="shared" si="76"/>
        <v>0</v>
      </c>
      <c r="FS111">
        <v>0</v>
      </c>
      <c r="FX111">
        <v>0</v>
      </c>
      <c r="FY111">
        <v>0</v>
      </c>
      <c r="GA111" t="s">
        <v>3</v>
      </c>
      <c r="GD111">
        <v>1</v>
      </c>
      <c r="GF111">
        <v>-798724343</v>
      </c>
      <c r="GG111">
        <v>2</v>
      </c>
      <c r="GH111">
        <v>1</v>
      </c>
      <c r="GI111">
        <v>4</v>
      </c>
      <c r="GJ111">
        <v>2</v>
      </c>
      <c r="GK111">
        <v>0</v>
      </c>
      <c r="GL111">
        <f t="shared" si="77"/>
        <v>0</v>
      </c>
      <c r="GM111">
        <f>ROUND(CP111*I111,2)</f>
        <v>7020</v>
      </c>
      <c r="GN111">
        <f>IF(OR(BI111=0,BI111=1),ROUND(CP111*I111,2),0)</f>
        <v>7020</v>
      </c>
      <c r="GO111">
        <f>IF(BI111=2,ROUND(CP111*I111,2),0)</f>
        <v>0</v>
      </c>
      <c r="GP111">
        <f>IF(BI111=4,ROUND(CP111*I111,2)+GX111,0)</f>
        <v>0</v>
      </c>
      <c r="GR111">
        <v>0</v>
      </c>
      <c r="GS111">
        <v>3</v>
      </c>
      <c r="GT111">
        <v>0</v>
      </c>
      <c r="GU111" t="s">
        <v>3</v>
      </c>
      <c r="GV111">
        <f>0</f>
        <v>0</v>
      </c>
      <c r="GW111">
        <v>1</v>
      </c>
      <c r="GX111">
        <f>0</f>
        <v>0</v>
      </c>
      <c r="HA111">
        <v>0</v>
      </c>
      <c r="HB111">
        <v>0</v>
      </c>
      <c r="HC111">
        <v>0</v>
      </c>
      <c r="HE111" t="s">
        <v>3</v>
      </c>
      <c r="HF111" t="s">
        <v>3</v>
      </c>
      <c r="HI111">
        <f t="shared" si="78"/>
        <v>0</v>
      </c>
      <c r="HJ111">
        <f t="shared" si="79"/>
        <v>0</v>
      </c>
      <c r="HM111" t="s">
        <v>3</v>
      </c>
      <c r="HN111" t="s">
        <v>3</v>
      </c>
      <c r="HO111" t="s">
        <v>3</v>
      </c>
      <c r="HP111" t="s">
        <v>3</v>
      </c>
      <c r="HQ111" t="s">
        <v>3</v>
      </c>
      <c r="IK111">
        <v>0</v>
      </c>
    </row>
    <row r="113" spans="1:206" x14ac:dyDescent="0.2">
      <c r="A113" s="2">
        <v>51</v>
      </c>
      <c r="B113" s="2">
        <f>B90</f>
        <v>1</v>
      </c>
      <c r="C113" s="2">
        <f>A90</f>
        <v>4</v>
      </c>
      <c r="D113" s="2">
        <f>ROW(A90)</f>
        <v>90</v>
      </c>
      <c r="E113" s="2"/>
      <c r="F113" s="2" t="str">
        <f>IF(F90&lt;&gt;"",F90,"")</f>
        <v>02</v>
      </c>
      <c r="G113" s="2" t="str">
        <f>IF(G90&lt;&gt;"",G90,"")</f>
        <v>тротуары с асфальтобетонным покрытием (щебень-13см, а/б - 5см)</v>
      </c>
      <c r="H113" s="2">
        <v>0</v>
      </c>
      <c r="I113" s="2"/>
      <c r="J113" s="2"/>
      <c r="K113" s="2"/>
      <c r="L113" s="2"/>
      <c r="M113" s="2"/>
      <c r="N113" s="2"/>
      <c r="O113" s="2">
        <f t="shared" ref="O113:T113" si="117">ROUND(AB113,2)</f>
        <v>44648.57</v>
      </c>
      <c r="P113" s="2">
        <f t="shared" si="117"/>
        <v>39265.480000000003</v>
      </c>
      <c r="Q113" s="2">
        <f t="shared" si="117"/>
        <v>3679.6</v>
      </c>
      <c r="R113" s="2">
        <f t="shared" si="117"/>
        <v>245.85</v>
      </c>
      <c r="S113" s="2">
        <f t="shared" si="117"/>
        <v>1703.49</v>
      </c>
      <c r="T113" s="2">
        <f t="shared" si="117"/>
        <v>0</v>
      </c>
      <c r="U113" s="2">
        <f>AH113</f>
        <v>218.45570199999997</v>
      </c>
      <c r="V113" s="2">
        <f>AI113</f>
        <v>0</v>
      </c>
      <c r="W113" s="2">
        <f>ROUND(AJ113,2)</f>
        <v>0</v>
      </c>
      <c r="X113" s="2">
        <f>ROUND(AK113,2)</f>
        <v>2430.62</v>
      </c>
      <c r="Y113" s="2">
        <f>ROUND(AL113,2)</f>
        <v>1815.05</v>
      </c>
      <c r="Z113" s="2"/>
      <c r="AA113" s="2"/>
      <c r="AB113" s="2">
        <f>ROUND(SUMIF(AA94:AA111,"=29836452",O94:O111),2)</f>
        <v>44648.57</v>
      </c>
      <c r="AC113" s="2">
        <f>ROUND(SUMIF(AA94:AA111,"=29836452",P94:P111),2)</f>
        <v>39265.480000000003</v>
      </c>
      <c r="AD113" s="2">
        <f>ROUND(SUMIF(AA94:AA111,"=29836452",Q94:Q111),2)</f>
        <v>3679.6</v>
      </c>
      <c r="AE113" s="2">
        <f>ROUND(SUMIF(AA94:AA111,"=29836452",R94:R111),2)</f>
        <v>245.85</v>
      </c>
      <c r="AF113" s="2">
        <f>ROUND(SUMIF(AA94:AA111,"=29836452",S94:S111),2)</f>
        <v>1703.49</v>
      </c>
      <c r="AG113" s="2">
        <f>ROUND(SUMIF(AA94:AA111,"=29836452",T94:T111),2)</f>
        <v>0</v>
      </c>
      <c r="AH113" s="2">
        <f>SUMIF(AA94:AA111,"=29836452",U94:U111)</f>
        <v>218.45570199999997</v>
      </c>
      <c r="AI113" s="2">
        <f>SUMIF(AA94:AA111,"=29836452",V94:V111)</f>
        <v>0</v>
      </c>
      <c r="AJ113" s="2">
        <f>ROUND(SUMIF(AA94:AA111,"=29836452",W94:W111),2)</f>
        <v>0</v>
      </c>
      <c r="AK113" s="2">
        <f>ROUND(SUMIF(AA94:AA111,"=29836452",X94:X111),2)</f>
        <v>2430.62</v>
      </c>
      <c r="AL113" s="2">
        <f>ROUND(SUMIF(AA94:AA111,"=29836452",Y94:Y111),2)</f>
        <v>1815.05</v>
      </c>
      <c r="AM113" s="2"/>
      <c r="AN113" s="2"/>
      <c r="AO113" s="2">
        <f t="shared" ref="AO113:BD113" si="118">ROUND(BX113,2)</f>
        <v>0</v>
      </c>
      <c r="AP113" s="2">
        <f t="shared" si="118"/>
        <v>0</v>
      </c>
      <c r="AQ113" s="2">
        <f t="shared" si="118"/>
        <v>0</v>
      </c>
      <c r="AR113" s="2">
        <f t="shared" si="118"/>
        <v>57202.239999999998</v>
      </c>
      <c r="AS113" s="2">
        <f t="shared" si="118"/>
        <v>57202.239999999998</v>
      </c>
      <c r="AT113" s="2">
        <f t="shared" si="118"/>
        <v>0</v>
      </c>
      <c r="AU113" s="2">
        <f t="shared" si="118"/>
        <v>0</v>
      </c>
      <c r="AV113" s="2">
        <f t="shared" si="118"/>
        <v>39265.480000000003</v>
      </c>
      <c r="AW113" s="2">
        <f t="shared" si="118"/>
        <v>39265.480000000003</v>
      </c>
      <c r="AX113" s="2">
        <f t="shared" si="118"/>
        <v>0</v>
      </c>
      <c r="AY113" s="2">
        <f t="shared" si="118"/>
        <v>39265.480000000003</v>
      </c>
      <c r="AZ113" s="2">
        <f t="shared" si="118"/>
        <v>0</v>
      </c>
      <c r="BA113" s="2">
        <f t="shared" si="118"/>
        <v>0</v>
      </c>
      <c r="BB113" s="2">
        <f t="shared" si="118"/>
        <v>0</v>
      </c>
      <c r="BC113" s="2">
        <f t="shared" si="118"/>
        <v>0</v>
      </c>
      <c r="BD113" s="2">
        <f t="shared" si="118"/>
        <v>0</v>
      </c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>
        <f>ROUND(SUMIF(AA94:AA111,"=29836452",FQ94:FQ111),2)</f>
        <v>0</v>
      </c>
      <c r="BY113" s="2">
        <f>ROUND(SUMIF(AA94:AA111,"=29836452",FR94:FR111),2)</f>
        <v>0</v>
      </c>
      <c r="BZ113" s="2">
        <f>ROUND(SUMIF(AA94:AA111,"=29836452",GL94:GL111),2)</f>
        <v>0</v>
      </c>
      <c r="CA113" s="2">
        <f>ROUND(SUMIF(AA94:AA111,"=29836452",GM94:GM111),2)</f>
        <v>57202.239999999998</v>
      </c>
      <c r="CB113" s="2">
        <f>ROUND(SUMIF(AA94:AA111,"=29836452",GN94:GN111),2)</f>
        <v>57202.239999999998</v>
      </c>
      <c r="CC113" s="2">
        <f>ROUND(SUMIF(AA94:AA111,"=29836452",GO94:GO111),2)</f>
        <v>0</v>
      </c>
      <c r="CD113" s="2">
        <f>ROUND(SUMIF(AA94:AA111,"=29836452",GP94:GP111),2)</f>
        <v>0</v>
      </c>
      <c r="CE113" s="2">
        <f>AC113-BX113</f>
        <v>39265.480000000003</v>
      </c>
      <c r="CF113" s="2">
        <f>AC113-BY113</f>
        <v>39265.480000000003</v>
      </c>
      <c r="CG113" s="2">
        <f>BX113-BZ113</f>
        <v>0</v>
      </c>
      <c r="CH113" s="2">
        <f>AC113-BX113-BY113+BZ113</f>
        <v>39265.480000000003</v>
      </c>
      <c r="CI113" s="2">
        <f>BY113-BZ113</f>
        <v>0</v>
      </c>
      <c r="CJ113" s="2">
        <f>ROUND(SUMIF(AA94:AA111,"=29836452",GX94:GX111),2)</f>
        <v>0</v>
      </c>
      <c r="CK113" s="2">
        <f>ROUND(SUMIF(AA94:AA111,"=29836452",GY94:GY111),2)</f>
        <v>0</v>
      </c>
      <c r="CL113" s="2">
        <f>ROUND(SUMIF(AA94:AA111,"=29836452",GZ94:GZ111),2)</f>
        <v>0</v>
      </c>
      <c r="CM113" s="2">
        <f>ROUND(SUMIF(AA94:AA111,"=29836452",HD94:HD111),2)</f>
        <v>0</v>
      </c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>
        <v>0</v>
      </c>
    </row>
    <row r="115" spans="1:206" x14ac:dyDescent="0.2">
      <c r="A115" s="4">
        <v>50</v>
      </c>
      <c r="B115" s="4">
        <v>0</v>
      </c>
      <c r="C115" s="4">
        <v>0</v>
      </c>
      <c r="D115" s="4">
        <v>1</v>
      </c>
      <c r="E115" s="4">
        <v>201</v>
      </c>
      <c r="F115" s="4">
        <f>ROUND(Source!O113,O115)</f>
        <v>44648.57</v>
      </c>
      <c r="G115" s="4" t="s">
        <v>146</v>
      </c>
      <c r="H115" s="4" t="s">
        <v>147</v>
      </c>
      <c r="I115" s="4"/>
      <c r="J115" s="4"/>
      <c r="K115" s="4">
        <v>201</v>
      </c>
      <c r="L115" s="4">
        <v>1</v>
      </c>
      <c r="M115" s="4">
        <v>3</v>
      </c>
      <c r="N115" s="4" t="s">
        <v>3</v>
      </c>
      <c r="O115" s="4">
        <v>2</v>
      </c>
      <c r="P115" s="4"/>
      <c r="Q115" s="4"/>
      <c r="R115" s="4"/>
      <c r="S115" s="4"/>
      <c r="T115" s="4"/>
      <c r="U115" s="4"/>
      <c r="V115" s="4"/>
      <c r="W115" s="4">
        <v>44648.57</v>
      </c>
      <c r="X115" s="4">
        <v>1</v>
      </c>
      <c r="Y115" s="4">
        <v>385268.67000000004</v>
      </c>
      <c r="Z115" s="4"/>
      <c r="AA115" s="4"/>
      <c r="AB115" s="4"/>
    </row>
    <row r="116" spans="1:206" x14ac:dyDescent="0.2">
      <c r="A116" s="4">
        <v>50</v>
      </c>
      <c r="B116" s="4">
        <v>0</v>
      </c>
      <c r="C116" s="4">
        <v>0</v>
      </c>
      <c r="D116" s="4">
        <v>1</v>
      </c>
      <c r="E116" s="4">
        <v>202</v>
      </c>
      <c r="F116" s="4">
        <f>ROUND(Source!P113,O116)</f>
        <v>39265.480000000003</v>
      </c>
      <c r="G116" s="4" t="s">
        <v>148</v>
      </c>
      <c r="H116" s="4" t="s">
        <v>149</v>
      </c>
      <c r="I116" s="4"/>
      <c r="J116" s="4"/>
      <c r="K116" s="4">
        <v>202</v>
      </c>
      <c r="L116" s="4">
        <v>2</v>
      </c>
      <c r="M116" s="4">
        <v>3</v>
      </c>
      <c r="N116" s="4" t="s">
        <v>3</v>
      </c>
      <c r="O116" s="4">
        <v>2</v>
      </c>
      <c r="P116" s="4"/>
      <c r="Q116" s="4"/>
      <c r="R116" s="4"/>
      <c r="S116" s="4"/>
      <c r="T116" s="4"/>
      <c r="U116" s="4"/>
      <c r="V116" s="4"/>
      <c r="W116" s="4">
        <v>39265.480000000003</v>
      </c>
      <c r="X116" s="4">
        <v>1</v>
      </c>
      <c r="Y116" s="4">
        <v>0</v>
      </c>
      <c r="Z116" s="4"/>
      <c r="AA116" s="4"/>
      <c r="AB116" s="4"/>
    </row>
    <row r="117" spans="1:206" x14ac:dyDescent="0.2">
      <c r="A117" s="4">
        <v>50</v>
      </c>
      <c r="B117" s="4">
        <v>0</v>
      </c>
      <c r="C117" s="4">
        <v>0</v>
      </c>
      <c r="D117" s="4">
        <v>1</v>
      </c>
      <c r="E117" s="4">
        <v>222</v>
      </c>
      <c r="F117" s="4">
        <f>ROUND(Source!AO113,O117)</f>
        <v>0</v>
      </c>
      <c r="G117" s="4" t="s">
        <v>150</v>
      </c>
      <c r="H117" s="4" t="s">
        <v>151</v>
      </c>
      <c r="I117" s="4"/>
      <c r="J117" s="4"/>
      <c r="K117" s="4">
        <v>222</v>
      </c>
      <c r="L117" s="4">
        <v>3</v>
      </c>
      <c r="M117" s="4">
        <v>3</v>
      </c>
      <c r="N117" s="4" t="s">
        <v>3</v>
      </c>
      <c r="O117" s="4">
        <v>2</v>
      </c>
      <c r="P117" s="4"/>
      <c r="Q117" s="4"/>
      <c r="R117" s="4"/>
      <c r="S117" s="4"/>
      <c r="T117" s="4"/>
      <c r="U117" s="4"/>
      <c r="V117" s="4"/>
      <c r="W117" s="4">
        <v>0</v>
      </c>
      <c r="X117" s="4">
        <v>1</v>
      </c>
      <c r="Y117" s="4">
        <v>0</v>
      </c>
      <c r="Z117" s="4"/>
      <c r="AA117" s="4"/>
      <c r="AB117" s="4"/>
    </row>
    <row r="118" spans="1:206" x14ac:dyDescent="0.2">
      <c r="A118" s="4">
        <v>50</v>
      </c>
      <c r="B118" s="4">
        <v>0</v>
      </c>
      <c r="C118" s="4">
        <v>0</v>
      </c>
      <c r="D118" s="4">
        <v>1</v>
      </c>
      <c r="E118" s="4">
        <v>225</v>
      </c>
      <c r="F118" s="4">
        <f>ROUND(Source!AV113,O118)</f>
        <v>39265.480000000003</v>
      </c>
      <c r="G118" s="4" t="s">
        <v>152</v>
      </c>
      <c r="H118" s="4" t="s">
        <v>153</v>
      </c>
      <c r="I118" s="4"/>
      <c r="J118" s="4"/>
      <c r="K118" s="4">
        <v>225</v>
      </c>
      <c r="L118" s="4">
        <v>4</v>
      </c>
      <c r="M118" s="4">
        <v>3</v>
      </c>
      <c r="N118" s="4" t="s">
        <v>3</v>
      </c>
      <c r="O118" s="4">
        <v>2</v>
      </c>
      <c r="P118" s="4"/>
      <c r="Q118" s="4"/>
      <c r="R118" s="4"/>
      <c r="S118" s="4"/>
      <c r="T118" s="4"/>
      <c r="U118" s="4"/>
      <c r="V118" s="4"/>
      <c r="W118" s="4">
        <v>39265.480000000003</v>
      </c>
      <c r="X118" s="4">
        <v>1</v>
      </c>
      <c r="Y118" s="4">
        <v>0</v>
      </c>
      <c r="Z118" s="4"/>
      <c r="AA118" s="4"/>
      <c r="AB118" s="4"/>
    </row>
    <row r="119" spans="1:206" x14ac:dyDescent="0.2">
      <c r="A119" s="4">
        <v>50</v>
      </c>
      <c r="B119" s="4">
        <v>0</v>
      </c>
      <c r="C119" s="4">
        <v>0</v>
      </c>
      <c r="D119" s="4">
        <v>1</v>
      </c>
      <c r="E119" s="4">
        <v>226</v>
      </c>
      <c r="F119" s="4">
        <f>ROUND(Source!AW113,O119)</f>
        <v>39265.480000000003</v>
      </c>
      <c r="G119" s="4" t="s">
        <v>154</v>
      </c>
      <c r="H119" s="4" t="s">
        <v>155</v>
      </c>
      <c r="I119" s="4"/>
      <c r="J119" s="4"/>
      <c r="K119" s="4">
        <v>226</v>
      </c>
      <c r="L119" s="4">
        <v>5</v>
      </c>
      <c r="M119" s="4">
        <v>3</v>
      </c>
      <c r="N119" s="4" t="s">
        <v>3</v>
      </c>
      <c r="O119" s="4">
        <v>2</v>
      </c>
      <c r="P119" s="4"/>
      <c r="Q119" s="4"/>
      <c r="R119" s="4"/>
      <c r="S119" s="4"/>
      <c r="T119" s="4"/>
      <c r="U119" s="4"/>
      <c r="V119" s="4"/>
      <c r="W119" s="4">
        <v>39265.480000000003</v>
      </c>
      <c r="X119" s="4">
        <v>1</v>
      </c>
      <c r="Y119" s="4">
        <v>285067.38</v>
      </c>
      <c r="Z119" s="4"/>
      <c r="AA119" s="4"/>
      <c r="AB119" s="4"/>
    </row>
    <row r="120" spans="1:206" x14ac:dyDescent="0.2">
      <c r="A120" s="4">
        <v>50</v>
      </c>
      <c r="B120" s="4">
        <v>0</v>
      </c>
      <c r="C120" s="4">
        <v>0</v>
      </c>
      <c r="D120" s="4">
        <v>1</v>
      </c>
      <c r="E120" s="4">
        <v>227</v>
      </c>
      <c r="F120" s="4">
        <f>ROUND(Source!AX113,O120)</f>
        <v>0</v>
      </c>
      <c r="G120" s="4" t="s">
        <v>156</v>
      </c>
      <c r="H120" s="4" t="s">
        <v>157</v>
      </c>
      <c r="I120" s="4"/>
      <c r="J120" s="4"/>
      <c r="K120" s="4">
        <v>227</v>
      </c>
      <c r="L120" s="4">
        <v>6</v>
      </c>
      <c r="M120" s="4">
        <v>3</v>
      </c>
      <c r="N120" s="4" t="s">
        <v>3</v>
      </c>
      <c r="O120" s="4">
        <v>2</v>
      </c>
      <c r="P120" s="4"/>
      <c r="Q120" s="4"/>
      <c r="R120" s="4"/>
      <c r="S120" s="4"/>
      <c r="T120" s="4"/>
      <c r="U120" s="4"/>
      <c r="V120" s="4"/>
      <c r="W120" s="4">
        <v>0</v>
      </c>
      <c r="X120" s="4">
        <v>1</v>
      </c>
      <c r="Y120" s="4">
        <v>0</v>
      </c>
      <c r="Z120" s="4"/>
      <c r="AA120" s="4"/>
      <c r="AB120" s="4"/>
    </row>
    <row r="121" spans="1:206" x14ac:dyDescent="0.2">
      <c r="A121" s="4">
        <v>50</v>
      </c>
      <c r="B121" s="4">
        <v>0</v>
      </c>
      <c r="C121" s="4">
        <v>0</v>
      </c>
      <c r="D121" s="4">
        <v>1</v>
      </c>
      <c r="E121" s="4">
        <v>228</v>
      </c>
      <c r="F121" s="4">
        <f>ROUND(Source!AY113,O121)</f>
        <v>39265.480000000003</v>
      </c>
      <c r="G121" s="4" t="s">
        <v>158</v>
      </c>
      <c r="H121" s="4" t="s">
        <v>159</v>
      </c>
      <c r="I121" s="4"/>
      <c r="J121" s="4"/>
      <c r="K121" s="4">
        <v>228</v>
      </c>
      <c r="L121" s="4">
        <v>7</v>
      </c>
      <c r="M121" s="4">
        <v>3</v>
      </c>
      <c r="N121" s="4" t="s">
        <v>3</v>
      </c>
      <c r="O121" s="4">
        <v>2</v>
      </c>
      <c r="P121" s="4"/>
      <c r="Q121" s="4"/>
      <c r="R121" s="4"/>
      <c r="S121" s="4"/>
      <c r="T121" s="4"/>
      <c r="U121" s="4"/>
      <c r="V121" s="4"/>
      <c r="W121" s="4">
        <v>39265.480000000003</v>
      </c>
      <c r="X121" s="4">
        <v>1</v>
      </c>
      <c r="Y121" s="4">
        <v>285067.38</v>
      </c>
      <c r="Z121" s="4"/>
      <c r="AA121" s="4"/>
      <c r="AB121" s="4"/>
    </row>
    <row r="122" spans="1:206" x14ac:dyDescent="0.2">
      <c r="A122" s="4">
        <v>50</v>
      </c>
      <c r="B122" s="4">
        <v>0</v>
      </c>
      <c r="C122" s="4">
        <v>0</v>
      </c>
      <c r="D122" s="4">
        <v>1</v>
      </c>
      <c r="E122" s="4">
        <v>216</v>
      </c>
      <c r="F122" s="4">
        <f>ROUND(Source!AP113,O122)</f>
        <v>0</v>
      </c>
      <c r="G122" s="4" t="s">
        <v>160</v>
      </c>
      <c r="H122" s="4" t="s">
        <v>161</v>
      </c>
      <c r="I122" s="4"/>
      <c r="J122" s="4"/>
      <c r="K122" s="4">
        <v>216</v>
      </c>
      <c r="L122" s="4">
        <v>8</v>
      </c>
      <c r="M122" s="4">
        <v>3</v>
      </c>
      <c r="N122" s="4" t="s">
        <v>3</v>
      </c>
      <c r="O122" s="4">
        <v>2</v>
      </c>
      <c r="P122" s="4"/>
      <c r="Q122" s="4"/>
      <c r="R122" s="4"/>
      <c r="S122" s="4"/>
      <c r="T122" s="4"/>
      <c r="U122" s="4"/>
      <c r="V122" s="4"/>
      <c r="W122" s="4">
        <v>0</v>
      </c>
      <c r="X122" s="4">
        <v>1</v>
      </c>
      <c r="Y122" s="4">
        <v>0</v>
      </c>
      <c r="Z122" s="4"/>
      <c r="AA122" s="4"/>
      <c r="AB122" s="4"/>
    </row>
    <row r="123" spans="1:206" x14ac:dyDescent="0.2">
      <c r="A123" s="4">
        <v>50</v>
      </c>
      <c r="B123" s="4">
        <v>0</v>
      </c>
      <c r="C123" s="4">
        <v>0</v>
      </c>
      <c r="D123" s="4">
        <v>1</v>
      </c>
      <c r="E123" s="4">
        <v>223</v>
      </c>
      <c r="F123" s="4">
        <f>ROUND(Source!AQ113,O123)</f>
        <v>0</v>
      </c>
      <c r="G123" s="4" t="s">
        <v>162</v>
      </c>
      <c r="H123" s="4" t="s">
        <v>163</v>
      </c>
      <c r="I123" s="4"/>
      <c r="J123" s="4"/>
      <c r="K123" s="4">
        <v>223</v>
      </c>
      <c r="L123" s="4">
        <v>9</v>
      </c>
      <c r="M123" s="4">
        <v>3</v>
      </c>
      <c r="N123" s="4" t="s">
        <v>3</v>
      </c>
      <c r="O123" s="4">
        <v>2</v>
      </c>
      <c r="P123" s="4"/>
      <c r="Q123" s="4"/>
      <c r="R123" s="4"/>
      <c r="S123" s="4"/>
      <c r="T123" s="4"/>
      <c r="U123" s="4"/>
      <c r="V123" s="4"/>
      <c r="W123" s="4">
        <v>0</v>
      </c>
      <c r="X123" s="4">
        <v>1</v>
      </c>
      <c r="Y123" s="4">
        <v>0</v>
      </c>
      <c r="Z123" s="4"/>
      <c r="AA123" s="4"/>
      <c r="AB123" s="4"/>
    </row>
    <row r="124" spans="1:206" x14ac:dyDescent="0.2">
      <c r="A124" s="4">
        <v>50</v>
      </c>
      <c r="B124" s="4">
        <v>0</v>
      </c>
      <c r="C124" s="4">
        <v>0</v>
      </c>
      <c r="D124" s="4">
        <v>1</v>
      </c>
      <c r="E124" s="4">
        <v>229</v>
      </c>
      <c r="F124" s="4">
        <f>ROUND(Source!AZ113,O124)</f>
        <v>0</v>
      </c>
      <c r="G124" s="4" t="s">
        <v>164</v>
      </c>
      <c r="H124" s="4" t="s">
        <v>165</v>
      </c>
      <c r="I124" s="4"/>
      <c r="J124" s="4"/>
      <c r="K124" s="4">
        <v>229</v>
      </c>
      <c r="L124" s="4">
        <v>10</v>
      </c>
      <c r="M124" s="4">
        <v>3</v>
      </c>
      <c r="N124" s="4" t="s">
        <v>3</v>
      </c>
      <c r="O124" s="4">
        <v>2</v>
      </c>
      <c r="P124" s="4"/>
      <c r="Q124" s="4"/>
      <c r="R124" s="4"/>
      <c r="S124" s="4"/>
      <c r="T124" s="4"/>
      <c r="U124" s="4"/>
      <c r="V124" s="4"/>
      <c r="W124" s="4">
        <v>0</v>
      </c>
      <c r="X124" s="4">
        <v>1</v>
      </c>
      <c r="Y124" s="4">
        <v>0</v>
      </c>
      <c r="Z124" s="4"/>
      <c r="AA124" s="4"/>
      <c r="AB124" s="4"/>
    </row>
    <row r="125" spans="1:206" x14ac:dyDescent="0.2">
      <c r="A125" s="4">
        <v>50</v>
      </c>
      <c r="B125" s="4">
        <v>0</v>
      </c>
      <c r="C125" s="4">
        <v>0</v>
      </c>
      <c r="D125" s="4">
        <v>1</v>
      </c>
      <c r="E125" s="4">
        <v>203</v>
      </c>
      <c r="F125" s="4">
        <f>ROUND(Source!Q113,O125)</f>
        <v>3679.6</v>
      </c>
      <c r="G125" s="4" t="s">
        <v>166</v>
      </c>
      <c r="H125" s="4" t="s">
        <v>167</v>
      </c>
      <c r="I125" s="4"/>
      <c r="J125" s="4"/>
      <c r="K125" s="4">
        <v>203</v>
      </c>
      <c r="L125" s="4">
        <v>11</v>
      </c>
      <c r="M125" s="4">
        <v>3</v>
      </c>
      <c r="N125" s="4" t="s">
        <v>3</v>
      </c>
      <c r="O125" s="4">
        <v>2</v>
      </c>
      <c r="P125" s="4"/>
      <c r="Q125" s="4"/>
      <c r="R125" s="4"/>
      <c r="S125" s="4"/>
      <c r="T125" s="4"/>
      <c r="U125" s="4"/>
      <c r="V125" s="4"/>
      <c r="W125" s="4">
        <v>3679.6</v>
      </c>
      <c r="X125" s="4">
        <v>1</v>
      </c>
      <c r="Y125" s="4">
        <v>39114.15</v>
      </c>
      <c r="Z125" s="4"/>
      <c r="AA125" s="4"/>
      <c r="AB125" s="4"/>
    </row>
    <row r="126" spans="1:206" x14ac:dyDescent="0.2">
      <c r="A126" s="4">
        <v>50</v>
      </c>
      <c r="B126" s="4">
        <v>0</v>
      </c>
      <c r="C126" s="4">
        <v>0</v>
      </c>
      <c r="D126" s="4">
        <v>1</v>
      </c>
      <c r="E126" s="4">
        <v>231</v>
      </c>
      <c r="F126" s="4">
        <f>ROUND(Source!BB113,O126)</f>
        <v>0</v>
      </c>
      <c r="G126" s="4" t="s">
        <v>168</v>
      </c>
      <c r="H126" s="4" t="s">
        <v>169</v>
      </c>
      <c r="I126" s="4"/>
      <c r="J126" s="4"/>
      <c r="K126" s="4">
        <v>231</v>
      </c>
      <c r="L126" s="4">
        <v>12</v>
      </c>
      <c r="M126" s="4">
        <v>3</v>
      </c>
      <c r="N126" s="4" t="s">
        <v>3</v>
      </c>
      <c r="O126" s="4">
        <v>2</v>
      </c>
      <c r="P126" s="4"/>
      <c r="Q126" s="4"/>
      <c r="R126" s="4"/>
      <c r="S126" s="4"/>
      <c r="T126" s="4"/>
      <c r="U126" s="4"/>
      <c r="V126" s="4"/>
      <c r="W126" s="4">
        <v>0</v>
      </c>
      <c r="X126" s="4">
        <v>1</v>
      </c>
      <c r="Y126" s="4">
        <v>0</v>
      </c>
      <c r="Z126" s="4"/>
      <c r="AA126" s="4"/>
      <c r="AB126" s="4"/>
    </row>
    <row r="127" spans="1:206" x14ac:dyDescent="0.2">
      <c r="A127" s="4">
        <v>50</v>
      </c>
      <c r="B127" s="4">
        <v>0</v>
      </c>
      <c r="C127" s="4">
        <v>0</v>
      </c>
      <c r="D127" s="4">
        <v>1</v>
      </c>
      <c r="E127" s="4">
        <v>204</v>
      </c>
      <c r="F127" s="4">
        <f>ROUND(Source!R113,O127)</f>
        <v>245.85</v>
      </c>
      <c r="G127" s="4" t="s">
        <v>170</v>
      </c>
      <c r="H127" s="4" t="s">
        <v>171</v>
      </c>
      <c r="I127" s="4"/>
      <c r="J127" s="4"/>
      <c r="K127" s="4">
        <v>204</v>
      </c>
      <c r="L127" s="4">
        <v>13</v>
      </c>
      <c r="M127" s="4">
        <v>3</v>
      </c>
      <c r="N127" s="4" t="s">
        <v>3</v>
      </c>
      <c r="O127" s="4">
        <v>2</v>
      </c>
      <c r="P127" s="4"/>
      <c r="Q127" s="4"/>
      <c r="R127" s="4"/>
      <c r="S127" s="4"/>
      <c r="T127" s="4"/>
      <c r="U127" s="4"/>
      <c r="V127" s="4"/>
      <c r="W127" s="4">
        <v>245.85</v>
      </c>
      <c r="X127" s="4">
        <v>1</v>
      </c>
      <c r="Y127" s="4">
        <v>8816.17</v>
      </c>
      <c r="Z127" s="4"/>
      <c r="AA127" s="4"/>
      <c r="AB127" s="4"/>
    </row>
    <row r="128" spans="1:206" x14ac:dyDescent="0.2">
      <c r="A128" s="4">
        <v>50</v>
      </c>
      <c r="B128" s="4">
        <v>0</v>
      </c>
      <c r="C128" s="4">
        <v>0</v>
      </c>
      <c r="D128" s="4">
        <v>1</v>
      </c>
      <c r="E128" s="4">
        <v>205</v>
      </c>
      <c r="F128" s="4">
        <f>ROUND(Source!S113,O128)</f>
        <v>1703.49</v>
      </c>
      <c r="G128" s="4" t="s">
        <v>172</v>
      </c>
      <c r="H128" s="4" t="s">
        <v>173</v>
      </c>
      <c r="I128" s="4"/>
      <c r="J128" s="4"/>
      <c r="K128" s="4">
        <v>205</v>
      </c>
      <c r="L128" s="4">
        <v>14</v>
      </c>
      <c r="M128" s="4">
        <v>3</v>
      </c>
      <c r="N128" s="4" t="s">
        <v>3</v>
      </c>
      <c r="O128" s="4">
        <v>2</v>
      </c>
      <c r="P128" s="4"/>
      <c r="Q128" s="4"/>
      <c r="R128" s="4"/>
      <c r="S128" s="4"/>
      <c r="T128" s="4"/>
      <c r="U128" s="4"/>
      <c r="V128" s="4"/>
      <c r="W128" s="4">
        <v>1703.49</v>
      </c>
      <c r="X128" s="4">
        <v>1</v>
      </c>
      <c r="Y128" s="4">
        <v>61087.14</v>
      </c>
      <c r="Z128" s="4"/>
      <c r="AA128" s="4"/>
      <c r="AB128" s="4"/>
    </row>
    <row r="129" spans="1:206" x14ac:dyDescent="0.2">
      <c r="A129" s="4">
        <v>50</v>
      </c>
      <c r="B129" s="4">
        <v>0</v>
      </c>
      <c r="C129" s="4">
        <v>0</v>
      </c>
      <c r="D129" s="4">
        <v>1</v>
      </c>
      <c r="E129" s="4">
        <v>232</v>
      </c>
      <c r="F129" s="4">
        <f>ROUND(Source!BC113,O129)</f>
        <v>0</v>
      </c>
      <c r="G129" s="4" t="s">
        <v>174</v>
      </c>
      <c r="H129" s="4" t="s">
        <v>175</v>
      </c>
      <c r="I129" s="4"/>
      <c r="J129" s="4"/>
      <c r="K129" s="4">
        <v>232</v>
      </c>
      <c r="L129" s="4">
        <v>15</v>
      </c>
      <c r="M129" s="4">
        <v>3</v>
      </c>
      <c r="N129" s="4" t="s">
        <v>3</v>
      </c>
      <c r="O129" s="4">
        <v>2</v>
      </c>
      <c r="P129" s="4"/>
      <c r="Q129" s="4"/>
      <c r="R129" s="4"/>
      <c r="S129" s="4"/>
      <c r="T129" s="4"/>
      <c r="U129" s="4"/>
      <c r="V129" s="4"/>
      <c r="W129" s="4">
        <v>0</v>
      </c>
      <c r="X129" s="4">
        <v>1</v>
      </c>
      <c r="Y129" s="4">
        <v>0</v>
      </c>
      <c r="Z129" s="4"/>
      <c r="AA129" s="4"/>
      <c r="AB129" s="4"/>
    </row>
    <row r="130" spans="1:206" x14ac:dyDescent="0.2">
      <c r="A130" s="4">
        <v>50</v>
      </c>
      <c r="B130" s="4">
        <v>0</v>
      </c>
      <c r="C130" s="4">
        <v>0</v>
      </c>
      <c r="D130" s="4">
        <v>1</v>
      </c>
      <c r="E130" s="4">
        <v>214</v>
      </c>
      <c r="F130" s="4">
        <f>ROUND(Source!AS113,O130)</f>
        <v>57202.239999999998</v>
      </c>
      <c r="G130" s="4" t="s">
        <v>176</v>
      </c>
      <c r="H130" s="4" t="s">
        <v>177</v>
      </c>
      <c r="I130" s="4"/>
      <c r="J130" s="4"/>
      <c r="K130" s="4">
        <v>214</v>
      </c>
      <c r="L130" s="4">
        <v>16</v>
      </c>
      <c r="M130" s="4">
        <v>3</v>
      </c>
      <c r="N130" s="4" t="s">
        <v>3</v>
      </c>
      <c r="O130" s="4">
        <v>2</v>
      </c>
      <c r="P130" s="4"/>
      <c r="Q130" s="4"/>
      <c r="R130" s="4"/>
      <c r="S130" s="4"/>
      <c r="T130" s="4"/>
      <c r="U130" s="4"/>
      <c r="V130" s="4"/>
      <c r="W130" s="4">
        <v>57202.239999999998</v>
      </c>
      <c r="X130" s="4">
        <v>1</v>
      </c>
      <c r="Y130" s="4">
        <v>537517.96</v>
      </c>
      <c r="Z130" s="4"/>
      <c r="AA130" s="4"/>
      <c r="AB130" s="4"/>
    </row>
    <row r="131" spans="1:206" x14ac:dyDescent="0.2">
      <c r="A131" s="4">
        <v>50</v>
      </c>
      <c r="B131" s="4">
        <v>0</v>
      </c>
      <c r="C131" s="4">
        <v>0</v>
      </c>
      <c r="D131" s="4">
        <v>1</v>
      </c>
      <c r="E131" s="4">
        <v>215</v>
      </c>
      <c r="F131" s="4">
        <f>ROUND(Source!AT113,O131)</f>
        <v>0</v>
      </c>
      <c r="G131" s="4" t="s">
        <v>178</v>
      </c>
      <c r="H131" s="4" t="s">
        <v>179</v>
      </c>
      <c r="I131" s="4"/>
      <c r="J131" s="4"/>
      <c r="K131" s="4">
        <v>215</v>
      </c>
      <c r="L131" s="4">
        <v>17</v>
      </c>
      <c r="M131" s="4">
        <v>3</v>
      </c>
      <c r="N131" s="4" t="s">
        <v>3</v>
      </c>
      <c r="O131" s="4">
        <v>2</v>
      </c>
      <c r="P131" s="4"/>
      <c r="Q131" s="4"/>
      <c r="R131" s="4"/>
      <c r="S131" s="4"/>
      <c r="T131" s="4"/>
      <c r="U131" s="4"/>
      <c r="V131" s="4"/>
      <c r="W131" s="4">
        <v>0</v>
      </c>
      <c r="X131" s="4">
        <v>1</v>
      </c>
      <c r="Y131" s="4">
        <v>0</v>
      </c>
      <c r="Z131" s="4"/>
      <c r="AA131" s="4"/>
      <c r="AB131" s="4"/>
    </row>
    <row r="132" spans="1:206" x14ac:dyDescent="0.2">
      <c r="A132" s="4">
        <v>50</v>
      </c>
      <c r="B132" s="4">
        <v>0</v>
      </c>
      <c r="C132" s="4">
        <v>0</v>
      </c>
      <c r="D132" s="4">
        <v>1</v>
      </c>
      <c r="E132" s="4">
        <v>217</v>
      </c>
      <c r="F132" s="4">
        <f>ROUND(Source!AU113,O132)</f>
        <v>0</v>
      </c>
      <c r="G132" s="4" t="s">
        <v>180</v>
      </c>
      <c r="H132" s="4" t="s">
        <v>181</v>
      </c>
      <c r="I132" s="4"/>
      <c r="J132" s="4"/>
      <c r="K132" s="4">
        <v>217</v>
      </c>
      <c r="L132" s="4">
        <v>18</v>
      </c>
      <c r="M132" s="4">
        <v>3</v>
      </c>
      <c r="N132" s="4" t="s">
        <v>3</v>
      </c>
      <c r="O132" s="4">
        <v>2</v>
      </c>
      <c r="P132" s="4"/>
      <c r="Q132" s="4"/>
      <c r="R132" s="4"/>
      <c r="S132" s="4"/>
      <c r="T132" s="4"/>
      <c r="U132" s="4"/>
      <c r="V132" s="4"/>
      <c r="W132" s="4">
        <v>0</v>
      </c>
      <c r="X132" s="4">
        <v>1</v>
      </c>
      <c r="Y132" s="4">
        <v>0</v>
      </c>
      <c r="Z132" s="4"/>
      <c r="AA132" s="4"/>
      <c r="AB132" s="4"/>
    </row>
    <row r="133" spans="1:206" x14ac:dyDescent="0.2">
      <c r="A133" s="4">
        <v>50</v>
      </c>
      <c r="B133" s="4">
        <v>0</v>
      </c>
      <c r="C133" s="4">
        <v>0</v>
      </c>
      <c r="D133" s="4">
        <v>1</v>
      </c>
      <c r="E133" s="4">
        <v>230</v>
      </c>
      <c r="F133" s="4">
        <f>ROUND(Source!BA113,O133)</f>
        <v>0</v>
      </c>
      <c r="G133" s="4" t="s">
        <v>182</v>
      </c>
      <c r="H133" s="4" t="s">
        <v>183</v>
      </c>
      <c r="I133" s="4"/>
      <c r="J133" s="4"/>
      <c r="K133" s="4">
        <v>230</v>
      </c>
      <c r="L133" s="4">
        <v>19</v>
      </c>
      <c r="M133" s="4">
        <v>3</v>
      </c>
      <c r="N133" s="4" t="s">
        <v>3</v>
      </c>
      <c r="O133" s="4">
        <v>2</v>
      </c>
      <c r="P133" s="4"/>
      <c r="Q133" s="4"/>
      <c r="R133" s="4"/>
      <c r="S133" s="4"/>
      <c r="T133" s="4"/>
      <c r="U133" s="4"/>
      <c r="V133" s="4"/>
      <c r="W133" s="4">
        <v>0</v>
      </c>
      <c r="X133" s="4">
        <v>1</v>
      </c>
      <c r="Y133" s="4">
        <v>0</v>
      </c>
      <c r="Z133" s="4"/>
      <c r="AA133" s="4"/>
      <c r="AB133" s="4"/>
    </row>
    <row r="134" spans="1:206" x14ac:dyDescent="0.2">
      <c r="A134" s="4">
        <v>50</v>
      </c>
      <c r="B134" s="4">
        <v>0</v>
      </c>
      <c r="C134" s="4">
        <v>0</v>
      </c>
      <c r="D134" s="4">
        <v>1</v>
      </c>
      <c r="E134" s="4">
        <v>206</v>
      </c>
      <c r="F134" s="4">
        <f>ROUND(Source!T113,O134)</f>
        <v>0</v>
      </c>
      <c r="G134" s="4" t="s">
        <v>184</v>
      </c>
      <c r="H134" s="4" t="s">
        <v>185</v>
      </c>
      <c r="I134" s="4"/>
      <c r="J134" s="4"/>
      <c r="K134" s="4">
        <v>206</v>
      </c>
      <c r="L134" s="4">
        <v>20</v>
      </c>
      <c r="M134" s="4">
        <v>3</v>
      </c>
      <c r="N134" s="4" t="s">
        <v>3</v>
      </c>
      <c r="O134" s="4">
        <v>2</v>
      </c>
      <c r="P134" s="4"/>
      <c r="Q134" s="4"/>
      <c r="R134" s="4"/>
      <c r="S134" s="4"/>
      <c r="T134" s="4"/>
      <c r="U134" s="4"/>
      <c r="V134" s="4"/>
      <c r="W134" s="4">
        <v>0</v>
      </c>
      <c r="X134" s="4">
        <v>1</v>
      </c>
      <c r="Y134" s="4">
        <v>0</v>
      </c>
      <c r="Z134" s="4"/>
      <c r="AA134" s="4"/>
      <c r="AB134" s="4"/>
    </row>
    <row r="135" spans="1:206" x14ac:dyDescent="0.2">
      <c r="A135" s="4">
        <v>50</v>
      </c>
      <c r="B135" s="4">
        <v>0</v>
      </c>
      <c r="C135" s="4">
        <v>0</v>
      </c>
      <c r="D135" s="4">
        <v>1</v>
      </c>
      <c r="E135" s="4">
        <v>207</v>
      </c>
      <c r="F135" s="4">
        <f>Source!U113</f>
        <v>218.45570199999997</v>
      </c>
      <c r="G135" s="4" t="s">
        <v>186</v>
      </c>
      <c r="H135" s="4" t="s">
        <v>187</v>
      </c>
      <c r="I135" s="4"/>
      <c r="J135" s="4"/>
      <c r="K135" s="4">
        <v>207</v>
      </c>
      <c r="L135" s="4">
        <v>21</v>
      </c>
      <c r="M135" s="4">
        <v>3</v>
      </c>
      <c r="N135" s="4" t="s">
        <v>3</v>
      </c>
      <c r="O135" s="4">
        <v>-1</v>
      </c>
      <c r="P135" s="4"/>
      <c r="Q135" s="4"/>
      <c r="R135" s="4"/>
      <c r="S135" s="4"/>
      <c r="T135" s="4"/>
      <c r="U135" s="4"/>
      <c r="V135" s="4"/>
      <c r="W135" s="4">
        <v>218.45570200000003</v>
      </c>
      <c r="X135" s="4">
        <v>1</v>
      </c>
      <c r="Y135" s="4">
        <v>218.45570200000003</v>
      </c>
      <c r="Z135" s="4"/>
      <c r="AA135" s="4"/>
      <c r="AB135" s="4"/>
    </row>
    <row r="136" spans="1:206" x14ac:dyDescent="0.2">
      <c r="A136" s="4">
        <v>50</v>
      </c>
      <c r="B136" s="4">
        <v>0</v>
      </c>
      <c r="C136" s="4">
        <v>0</v>
      </c>
      <c r="D136" s="4">
        <v>1</v>
      </c>
      <c r="E136" s="4">
        <v>208</v>
      </c>
      <c r="F136" s="4">
        <f>Source!V113</f>
        <v>0</v>
      </c>
      <c r="G136" s="4" t="s">
        <v>188</v>
      </c>
      <c r="H136" s="4" t="s">
        <v>189</v>
      </c>
      <c r="I136" s="4"/>
      <c r="J136" s="4"/>
      <c r="K136" s="4">
        <v>208</v>
      </c>
      <c r="L136" s="4">
        <v>22</v>
      </c>
      <c r="M136" s="4">
        <v>3</v>
      </c>
      <c r="N136" s="4" t="s">
        <v>3</v>
      </c>
      <c r="O136" s="4">
        <v>-1</v>
      </c>
      <c r="P136" s="4"/>
      <c r="Q136" s="4"/>
      <c r="R136" s="4"/>
      <c r="S136" s="4"/>
      <c r="T136" s="4"/>
      <c r="U136" s="4"/>
      <c r="V136" s="4"/>
      <c r="W136" s="4">
        <v>0</v>
      </c>
      <c r="X136" s="4">
        <v>1</v>
      </c>
      <c r="Y136" s="4">
        <v>0</v>
      </c>
      <c r="Z136" s="4"/>
      <c r="AA136" s="4"/>
      <c r="AB136" s="4"/>
    </row>
    <row r="137" spans="1:206" x14ac:dyDescent="0.2">
      <c r="A137" s="4">
        <v>50</v>
      </c>
      <c r="B137" s="4">
        <v>0</v>
      </c>
      <c r="C137" s="4">
        <v>0</v>
      </c>
      <c r="D137" s="4">
        <v>1</v>
      </c>
      <c r="E137" s="4">
        <v>209</v>
      </c>
      <c r="F137" s="4">
        <f>ROUND(Source!W113,O137)</f>
        <v>0</v>
      </c>
      <c r="G137" s="4" t="s">
        <v>190</v>
      </c>
      <c r="H137" s="4" t="s">
        <v>191</v>
      </c>
      <c r="I137" s="4"/>
      <c r="J137" s="4"/>
      <c r="K137" s="4">
        <v>209</v>
      </c>
      <c r="L137" s="4">
        <v>23</v>
      </c>
      <c r="M137" s="4">
        <v>3</v>
      </c>
      <c r="N137" s="4" t="s">
        <v>3</v>
      </c>
      <c r="O137" s="4">
        <v>2</v>
      </c>
      <c r="P137" s="4"/>
      <c r="Q137" s="4"/>
      <c r="R137" s="4"/>
      <c r="S137" s="4"/>
      <c r="T137" s="4"/>
      <c r="U137" s="4"/>
      <c r="V137" s="4"/>
      <c r="W137" s="4">
        <v>0</v>
      </c>
      <c r="X137" s="4">
        <v>1</v>
      </c>
      <c r="Y137" s="4">
        <v>0</v>
      </c>
      <c r="Z137" s="4"/>
      <c r="AA137" s="4"/>
      <c r="AB137" s="4"/>
    </row>
    <row r="138" spans="1:206" x14ac:dyDescent="0.2">
      <c r="A138" s="4">
        <v>50</v>
      </c>
      <c r="B138" s="4">
        <v>0</v>
      </c>
      <c r="C138" s="4">
        <v>0</v>
      </c>
      <c r="D138" s="4">
        <v>1</v>
      </c>
      <c r="E138" s="4">
        <v>233</v>
      </c>
      <c r="F138" s="4">
        <f>ROUND(Source!BD113,O138)</f>
        <v>0</v>
      </c>
      <c r="G138" s="4" t="s">
        <v>192</v>
      </c>
      <c r="H138" s="4" t="s">
        <v>193</v>
      </c>
      <c r="I138" s="4"/>
      <c r="J138" s="4"/>
      <c r="K138" s="4">
        <v>233</v>
      </c>
      <c r="L138" s="4">
        <v>24</v>
      </c>
      <c r="M138" s="4">
        <v>3</v>
      </c>
      <c r="N138" s="4" t="s">
        <v>3</v>
      </c>
      <c r="O138" s="4">
        <v>2</v>
      </c>
      <c r="P138" s="4"/>
      <c r="Q138" s="4"/>
      <c r="R138" s="4"/>
      <c r="S138" s="4"/>
      <c r="T138" s="4"/>
      <c r="U138" s="4"/>
      <c r="V138" s="4"/>
      <c r="W138" s="4">
        <v>0</v>
      </c>
      <c r="X138" s="4">
        <v>1</v>
      </c>
      <c r="Y138" s="4">
        <v>0</v>
      </c>
      <c r="Z138" s="4"/>
      <c r="AA138" s="4"/>
      <c r="AB138" s="4"/>
    </row>
    <row r="139" spans="1:206" x14ac:dyDescent="0.2">
      <c r="A139" s="4">
        <v>50</v>
      </c>
      <c r="B139" s="4">
        <v>0</v>
      </c>
      <c r="C139" s="4">
        <v>0</v>
      </c>
      <c r="D139" s="4">
        <v>1</v>
      </c>
      <c r="E139" s="4">
        <v>210</v>
      </c>
      <c r="F139" s="4">
        <f>ROUND(Source!X113,O139)</f>
        <v>2430.62</v>
      </c>
      <c r="G139" s="4" t="s">
        <v>194</v>
      </c>
      <c r="H139" s="4" t="s">
        <v>195</v>
      </c>
      <c r="I139" s="4"/>
      <c r="J139" s="4"/>
      <c r="K139" s="4">
        <v>210</v>
      </c>
      <c r="L139" s="4">
        <v>25</v>
      </c>
      <c r="M139" s="4">
        <v>3</v>
      </c>
      <c r="N139" s="4" t="s">
        <v>3</v>
      </c>
      <c r="O139" s="4">
        <v>2</v>
      </c>
      <c r="P139" s="4"/>
      <c r="Q139" s="4"/>
      <c r="R139" s="4"/>
      <c r="S139" s="4"/>
      <c r="T139" s="4"/>
      <c r="U139" s="4"/>
      <c r="V139" s="4"/>
      <c r="W139" s="4">
        <v>2430.62</v>
      </c>
      <c r="X139" s="4">
        <v>1</v>
      </c>
      <c r="Y139" s="4">
        <v>87161.78</v>
      </c>
      <c r="Z139" s="4"/>
      <c r="AA139" s="4"/>
      <c r="AB139" s="4"/>
    </row>
    <row r="140" spans="1:206" x14ac:dyDescent="0.2">
      <c r="A140" s="4">
        <v>50</v>
      </c>
      <c r="B140" s="4">
        <v>0</v>
      </c>
      <c r="C140" s="4">
        <v>0</v>
      </c>
      <c r="D140" s="4">
        <v>1</v>
      </c>
      <c r="E140" s="4">
        <v>211</v>
      </c>
      <c r="F140" s="4">
        <f>ROUND(Source!Y113,O140)</f>
        <v>1815.05</v>
      </c>
      <c r="G140" s="4" t="s">
        <v>196</v>
      </c>
      <c r="H140" s="4" t="s">
        <v>197</v>
      </c>
      <c r="I140" s="4"/>
      <c r="J140" s="4"/>
      <c r="K140" s="4">
        <v>211</v>
      </c>
      <c r="L140" s="4">
        <v>26</v>
      </c>
      <c r="M140" s="4">
        <v>3</v>
      </c>
      <c r="N140" s="4" t="s">
        <v>3</v>
      </c>
      <c r="O140" s="4">
        <v>2</v>
      </c>
      <c r="P140" s="4"/>
      <c r="Q140" s="4"/>
      <c r="R140" s="4"/>
      <c r="S140" s="4"/>
      <c r="T140" s="4"/>
      <c r="U140" s="4"/>
      <c r="V140" s="4"/>
      <c r="W140" s="4">
        <v>1815.05</v>
      </c>
      <c r="X140" s="4">
        <v>1</v>
      </c>
      <c r="Y140" s="4">
        <v>65087.51</v>
      </c>
      <c r="Z140" s="4"/>
      <c r="AA140" s="4"/>
      <c r="AB140" s="4"/>
    </row>
    <row r="141" spans="1:206" x14ac:dyDescent="0.2">
      <c r="A141" s="4">
        <v>50</v>
      </c>
      <c r="B141" s="4">
        <v>0</v>
      </c>
      <c r="C141" s="4">
        <v>0</v>
      </c>
      <c r="D141" s="4">
        <v>1</v>
      </c>
      <c r="E141" s="4">
        <v>224</v>
      </c>
      <c r="F141" s="4">
        <f>ROUND(Source!AR113,O141)</f>
        <v>57202.239999999998</v>
      </c>
      <c r="G141" s="4" t="s">
        <v>198</v>
      </c>
      <c r="H141" s="4" t="s">
        <v>199</v>
      </c>
      <c r="I141" s="4"/>
      <c r="J141" s="4"/>
      <c r="K141" s="4">
        <v>224</v>
      </c>
      <c r="L141" s="4">
        <v>27</v>
      </c>
      <c r="M141" s="4">
        <v>3</v>
      </c>
      <c r="N141" s="4" t="s">
        <v>3</v>
      </c>
      <c r="O141" s="4">
        <v>2</v>
      </c>
      <c r="P141" s="4"/>
      <c r="Q141" s="4"/>
      <c r="R141" s="4"/>
      <c r="S141" s="4"/>
      <c r="T141" s="4"/>
      <c r="U141" s="4"/>
      <c r="V141" s="4"/>
      <c r="W141" s="4">
        <v>48894.240000000005</v>
      </c>
      <c r="X141" s="4">
        <v>1</v>
      </c>
      <c r="Y141" s="4">
        <v>537517.96000000008</v>
      </c>
      <c r="Z141" s="4"/>
      <c r="AA141" s="4"/>
      <c r="AB141" s="4"/>
    </row>
    <row r="143" spans="1:206" x14ac:dyDescent="0.2">
      <c r="A143" s="2">
        <v>51</v>
      </c>
      <c r="B143" s="2">
        <f>B20</f>
        <v>1</v>
      </c>
      <c r="C143" s="2">
        <f>A20</f>
        <v>3</v>
      </c>
      <c r="D143" s="2">
        <f>ROW(A20)</f>
        <v>20</v>
      </c>
      <c r="E143" s="2"/>
      <c r="F143" s="2" t="str">
        <f>IF(F20&lt;&gt;"",F20,"")</f>
        <v/>
      </c>
      <c r="G143" s="2" t="str">
        <f>IF(G20&lt;&gt;"",G20,"")</f>
        <v>восстановление асфальтобетонного покрытия после разрытий</v>
      </c>
      <c r="H143" s="2">
        <v>0</v>
      </c>
      <c r="I143" s="2"/>
      <c r="J143" s="2"/>
      <c r="K143" s="2"/>
      <c r="L143" s="2"/>
      <c r="M143" s="2"/>
      <c r="N143" s="2"/>
      <c r="O143" s="2">
        <f t="shared" ref="O143:T143" si="119">ROUND(O60+O113+AB143,2)</f>
        <v>459048.84</v>
      </c>
      <c r="P143" s="2">
        <f t="shared" si="119"/>
        <v>396766.43</v>
      </c>
      <c r="Q143" s="2">
        <f t="shared" si="119"/>
        <v>55844.91</v>
      </c>
      <c r="R143" s="2">
        <f t="shared" si="119"/>
        <v>3922.23</v>
      </c>
      <c r="S143" s="2">
        <f t="shared" si="119"/>
        <v>6437.5</v>
      </c>
      <c r="T143" s="2">
        <f t="shared" si="119"/>
        <v>0</v>
      </c>
      <c r="U143" s="2">
        <f>U60+U113+AH143</f>
        <v>837.1282369999999</v>
      </c>
      <c r="V143" s="2">
        <f>V60+V113+AI143</f>
        <v>26.31737</v>
      </c>
      <c r="W143" s="2">
        <f>ROUND(W60+W113+AJ143,2)</f>
        <v>0</v>
      </c>
      <c r="X143" s="2">
        <f>ROUND(X60+X113+AK143,2)</f>
        <v>12724.81</v>
      </c>
      <c r="Y143" s="2">
        <f>ROUND(Y60+Y113+AL143,2)</f>
        <v>9368.3799999999992</v>
      </c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>
        <f t="shared" ref="AO143:BD143" si="120">ROUND(AO60+AO113+BX143,2)</f>
        <v>0</v>
      </c>
      <c r="AP143" s="2">
        <f t="shared" si="120"/>
        <v>0</v>
      </c>
      <c r="AQ143" s="2">
        <f t="shared" si="120"/>
        <v>0</v>
      </c>
      <c r="AR143" s="2">
        <f t="shared" si="120"/>
        <v>504696.03</v>
      </c>
      <c r="AS143" s="2">
        <f t="shared" si="120"/>
        <v>504696.03</v>
      </c>
      <c r="AT143" s="2">
        <f t="shared" si="120"/>
        <v>0</v>
      </c>
      <c r="AU143" s="2">
        <f t="shared" si="120"/>
        <v>0</v>
      </c>
      <c r="AV143" s="2">
        <f t="shared" si="120"/>
        <v>396766.43</v>
      </c>
      <c r="AW143" s="2">
        <f t="shared" si="120"/>
        <v>396766.43</v>
      </c>
      <c r="AX143" s="2">
        <f t="shared" si="120"/>
        <v>0</v>
      </c>
      <c r="AY143" s="2">
        <f t="shared" si="120"/>
        <v>396766.43</v>
      </c>
      <c r="AZ143" s="2">
        <f t="shared" si="120"/>
        <v>0</v>
      </c>
      <c r="BA143" s="2">
        <f t="shared" si="120"/>
        <v>0</v>
      </c>
      <c r="BB143" s="2">
        <f t="shared" si="120"/>
        <v>0</v>
      </c>
      <c r="BC143" s="2">
        <f t="shared" si="120"/>
        <v>0</v>
      </c>
      <c r="BD143" s="2">
        <f t="shared" si="120"/>
        <v>0</v>
      </c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>
        <v>0</v>
      </c>
    </row>
    <row r="145" spans="1:28" x14ac:dyDescent="0.2">
      <c r="A145" s="4">
        <v>50</v>
      </c>
      <c r="B145" s="4">
        <v>1</v>
      </c>
      <c r="C145" s="4">
        <v>0</v>
      </c>
      <c r="D145" s="4">
        <v>1</v>
      </c>
      <c r="E145" s="4">
        <v>201</v>
      </c>
      <c r="F145" s="4">
        <f>ROUND(Source!O143,O145)</f>
        <v>459048.84</v>
      </c>
      <c r="G145" s="4" t="s">
        <v>146</v>
      </c>
      <c r="H145" s="4" t="s">
        <v>147</v>
      </c>
      <c r="I145" s="4"/>
      <c r="J145" s="4"/>
      <c r="K145" s="4">
        <v>201</v>
      </c>
      <c r="L145" s="4">
        <v>1</v>
      </c>
      <c r="M145" s="4">
        <v>0</v>
      </c>
      <c r="N145" s="4" t="s">
        <v>3</v>
      </c>
      <c r="O145" s="4">
        <v>2</v>
      </c>
      <c r="P145" s="4"/>
      <c r="Q145" s="4"/>
      <c r="R145" s="4"/>
      <c r="S145" s="4"/>
      <c r="T145" s="4"/>
      <c r="U145" s="4"/>
      <c r="V145" s="4"/>
      <c r="W145" s="4">
        <v>459048.83999999997</v>
      </c>
      <c r="X145" s="4">
        <v>1</v>
      </c>
      <c r="Y145" s="4">
        <v>3705004.4099999997</v>
      </c>
      <c r="Z145" s="4"/>
      <c r="AA145" s="4"/>
      <c r="AB145" s="4"/>
    </row>
    <row r="146" spans="1:28" x14ac:dyDescent="0.2">
      <c r="A146" s="4">
        <v>50</v>
      </c>
      <c r="B146" s="4">
        <v>1</v>
      </c>
      <c r="C146" s="4">
        <v>0</v>
      </c>
      <c r="D146" s="4">
        <v>1</v>
      </c>
      <c r="E146" s="4">
        <v>202</v>
      </c>
      <c r="F146" s="4">
        <f>ROUND(Source!P143,O146)</f>
        <v>396766.43</v>
      </c>
      <c r="G146" s="4" t="s">
        <v>148</v>
      </c>
      <c r="H146" s="4" t="s">
        <v>149</v>
      </c>
      <c r="I146" s="4"/>
      <c r="J146" s="4"/>
      <c r="K146" s="4">
        <v>202</v>
      </c>
      <c r="L146" s="4">
        <v>2</v>
      </c>
      <c r="M146" s="4">
        <v>0</v>
      </c>
      <c r="N146" s="4" t="s">
        <v>3</v>
      </c>
      <c r="O146" s="4">
        <v>2</v>
      </c>
      <c r="P146" s="4"/>
      <c r="Q146" s="4"/>
      <c r="R146" s="4"/>
      <c r="S146" s="4"/>
      <c r="T146" s="4"/>
      <c r="U146" s="4"/>
      <c r="V146" s="4"/>
      <c r="W146" s="4">
        <v>396766.43</v>
      </c>
      <c r="X146" s="4">
        <v>1</v>
      </c>
      <c r="Y146" s="4">
        <v>0</v>
      </c>
      <c r="Z146" s="4"/>
      <c r="AA146" s="4"/>
      <c r="AB146" s="4"/>
    </row>
    <row r="147" spans="1:28" x14ac:dyDescent="0.2">
      <c r="A147" s="4">
        <v>50</v>
      </c>
      <c r="B147" s="4">
        <v>0</v>
      </c>
      <c r="C147" s="4">
        <v>0</v>
      </c>
      <c r="D147" s="4">
        <v>1</v>
      </c>
      <c r="E147" s="4">
        <v>222</v>
      </c>
      <c r="F147" s="4">
        <f>ROUND(Source!AO143,O147)</f>
        <v>0</v>
      </c>
      <c r="G147" s="4" t="s">
        <v>150</v>
      </c>
      <c r="H147" s="4" t="s">
        <v>151</v>
      </c>
      <c r="I147" s="4"/>
      <c r="J147" s="4"/>
      <c r="K147" s="4">
        <v>222</v>
      </c>
      <c r="L147" s="4">
        <v>3</v>
      </c>
      <c r="M147" s="4">
        <v>3</v>
      </c>
      <c r="N147" s="4" t="s">
        <v>3</v>
      </c>
      <c r="O147" s="4">
        <v>2</v>
      </c>
      <c r="P147" s="4"/>
      <c r="Q147" s="4"/>
      <c r="R147" s="4"/>
      <c r="S147" s="4"/>
      <c r="T147" s="4"/>
      <c r="U147" s="4"/>
      <c r="V147" s="4"/>
      <c r="W147" s="4">
        <v>0</v>
      </c>
      <c r="X147" s="4">
        <v>1</v>
      </c>
      <c r="Y147" s="4">
        <v>0</v>
      </c>
      <c r="Z147" s="4"/>
      <c r="AA147" s="4"/>
      <c r="AB147" s="4"/>
    </row>
    <row r="148" spans="1:28" x14ac:dyDescent="0.2">
      <c r="A148" s="4">
        <v>50</v>
      </c>
      <c r="B148" s="4">
        <v>0</v>
      </c>
      <c r="C148" s="4">
        <v>0</v>
      </c>
      <c r="D148" s="4">
        <v>1</v>
      </c>
      <c r="E148" s="4">
        <v>225</v>
      </c>
      <c r="F148" s="4">
        <f>ROUND(Source!AV143,O148)</f>
        <v>396766.43</v>
      </c>
      <c r="G148" s="4" t="s">
        <v>152</v>
      </c>
      <c r="H148" s="4" t="s">
        <v>153</v>
      </c>
      <c r="I148" s="4"/>
      <c r="J148" s="4"/>
      <c r="K148" s="4">
        <v>225</v>
      </c>
      <c r="L148" s="4">
        <v>4</v>
      </c>
      <c r="M148" s="4">
        <v>3</v>
      </c>
      <c r="N148" s="4" t="s">
        <v>3</v>
      </c>
      <c r="O148" s="4">
        <v>2</v>
      </c>
      <c r="P148" s="4"/>
      <c r="Q148" s="4"/>
      <c r="R148" s="4"/>
      <c r="S148" s="4"/>
      <c r="T148" s="4"/>
      <c r="U148" s="4"/>
      <c r="V148" s="4"/>
      <c r="W148" s="4">
        <v>396766.43</v>
      </c>
      <c r="X148" s="4">
        <v>1</v>
      </c>
      <c r="Y148" s="4">
        <v>0</v>
      </c>
      <c r="Z148" s="4"/>
      <c r="AA148" s="4"/>
      <c r="AB148" s="4"/>
    </row>
    <row r="149" spans="1:28" x14ac:dyDescent="0.2">
      <c r="A149" s="4">
        <v>50</v>
      </c>
      <c r="B149" s="4">
        <v>0</v>
      </c>
      <c r="C149" s="4">
        <v>0</v>
      </c>
      <c r="D149" s="4">
        <v>1</v>
      </c>
      <c r="E149" s="4">
        <v>226</v>
      </c>
      <c r="F149" s="4">
        <f>ROUND(Source!AW143,O149)</f>
        <v>396766.43</v>
      </c>
      <c r="G149" s="4" t="s">
        <v>154</v>
      </c>
      <c r="H149" s="4" t="s">
        <v>155</v>
      </c>
      <c r="I149" s="4"/>
      <c r="J149" s="4"/>
      <c r="K149" s="4">
        <v>226</v>
      </c>
      <c r="L149" s="4">
        <v>5</v>
      </c>
      <c r="M149" s="4">
        <v>3</v>
      </c>
      <c r="N149" s="4" t="s">
        <v>3</v>
      </c>
      <c r="O149" s="4">
        <v>2</v>
      </c>
      <c r="P149" s="4"/>
      <c r="Q149" s="4"/>
      <c r="R149" s="4"/>
      <c r="S149" s="4"/>
      <c r="T149" s="4"/>
      <c r="U149" s="4"/>
      <c r="V149" s="4"/>
      <c r="W149" s="4">
        <v>396766.43</v>
      </c>
      <c r="X149" s="4">
        <v>1</v>
      </c>
      <c r="Y149" s="4">
        <v>2880524.28</v>
      </c>
      <c r="Z149" s="4"/>
      <c r="AA149" s="4"/>
      <c r="AB149" s="4"/>
    </row>
    <row r="150" spans="1:28" x14ac:dyDescent="0.2">
      <c r="A150" s="4">
        <v>50</v>
      </c>
      <c r="B150" s="4">
        <v>0</v>
      </c>
      <c r="C150" s="4">
        <v>0</v>
      </c>
      <c r="D150" s="4">
        <v>1</v>
      </c>
      <c r="E150" s="4">
        <v>227</v>
      </c>
      <c r="F150" s="4">
        <f>ROUND(Source!AX143,O150)</f>
        <v>0</v>
      </c>
      <c r="G150" s="4" t="s">
        <v>156</v>
      </c>
      <c r="H150" s="4" t="s">
        <v>157</v>
      </c>
      <c r="I150" s="4"/>
      <c r="J150" s="4"/>
      <c r="K150" s="4">
        <v>227</v>
      </c>
      <c r="L150" s="4">
        <v>6</v>
      </c>
      <c r="M150" s="4">
        <v>3</v>
      </c>
      <c r="N150" s="4" t="s">
        <v>3</v>
      </c>
      <c r="O150" s="4">
        <v>2</v>
      </c>
      <c r="P150" s="4"/>
      <c r="Q150" s="4"/>
      <c r="R150" s="4"/>
      <c r="S150" s="4"/>
      <c r="T150" s="4"/>
      <c r="U150" s="4"/>
      <c r="V150" s="4"/>
      <c r="W150" s="4">
        <v>0</v>
      </c>
      <c r="X150" s="4">
        <v>1</v>
      </c>
      <c r="Y150" s="4">
        <v>0</v>
      </c>
      <c r="Z150" s="4"/>
      <c r="AA150" s="4"/>
      <c r="AB150" s="4"/>
    </row>
    <row r="151" spans="1:28" x14ac:dyDescent="0.2">
      <c r="A151" s="4">
        <v>50</v>
      </c>
      <c r="B151" s="4">
        <v>0</v>
      </c>
      <c r="C151" s="4">
        <v>0</v>
      </c>
      <c r="D151" s="4">
        <v>1</v>
      </c>
      <c r="E151" s="4">
        <v>228</v>
      </c>
      <c r="F151" s="4">
        <f>ROUND(Source!AY143,O151)</f>
        <v>396766.43</v>
      </c>
      <c r="G151" s="4" t="s">
        <v>158</v>
      </c>
      <c r="H151" s="4" t="s">
        <v>159</v>
      </c>
      <c r="I151" s="4"/>
      <c r="J151" s="4"/>
      <c r="K151" s="4">
        <v>228</v>
      </c>
      <c r="L151" s="4">
        <v>7</v>
      </c>
      <c r="M151" s="4">
        <v>3</v>
      </c>
      <c r="N151" s="4" t="s">
        <v>3</v>
      </c>
      <c r="O151" s="4">
        <v>2</v>
      </c>
      <c r="P151" s="4"/>
      <c r="Q151" s="4"/>
      <c r="R151" s="4"/>
      <c r="S151" s="4"/>
      <c r="T151" s="4"/>
      <c r="U151" s="4"/>
      <c r="V151" s="4"/>
      <c r="W151" s="4">
        <v>396766.43</v>
      </c>
      <c r="X151" s="4">
        <v>1</v>
      </c>
      <c r="Y151" s="4">
        <v>2880524.28</v>
      </c>
      <c r="Z151" s="4"/>
      <c r="AA151" s="4"/>
      <c r="AB151" s="4"/>
    </row>
    <row r="152" spans="1:28" x14ac:dyDescent="0.2">
      <c r="A152" s="4">
        <v>50</v>
      </c>
      <c r="B152" s="4">
        <v>0</v>
      </c>
      <c r="C152" s="4">
        <v>0</v>
      </c>
      <c r="D152" s="4">
        <v>1</v>
      </c>
      <c r="E152" s="4">
        <v>216</v>
      </c>
      <c r="F152" s="4">
        <f>ROUND(Source!AP143,O152)</f>
        <v>0</v>
      </c>
      <c r="G152" s="4" t="s">
        <v>160</v>
      </c>
      <c r="H152" s="4" t="s">
        <v>161</v>
      </c>
      <c r="I152" s="4"/>
      <c r="J152" s="4"/>
      <c r="K152" s="4">
        <v>216</v>
      </c>
      <c r="L152" s="4">
        <v>8</v>
      </c>
      <c r="M152" s="4">
        <v>3</v>
      </c>
      <c r="N152" s="4" t="s">
        <v>3</v>
      </c>
      <c r="O152" s="4">
        <v>2</v>
      </c>
      <c r="P152" s="4"/>
      <c r="Q152" s="4"/>
      <c r="R152" s="4"/>
      <c r="S152" s="4"/>
      <c r="T152" s="4"/>
      <c r="U152" s="4"/>
      <c r="V152" s="4"/>
      <c r="W152" s="4">
        <v>0</v>
      </c>
      <c r="X152" s="4">
        <v>1</v>
      </c>
      <c r="Y152" s="4">
        <v>0</v>
      </c>
      <c r="Z152" s="4"/>
      <c r="AA152" s="4"/>
      <c r="AB152" s="4"/>
    </row>
    <row r="153" spans="1:28" x14ac:dyDescent="0.2">
      <c r="A153" s="4">
        <v>50</v>
      </c>
      <c r="B153" s="4">
        <v>0</v>
      </c>
      <c r="C153" s="4">
        <v>0</v>
      </c>
      <c r="D153" s="4">
        <v>1</v>
      </c>
      <c r="E153" s="4">
        <v>223</v>
      </c>
      <c r="F153" s="4">
        <f>ROUND(Source!AQ143,O153)</f>
        <v>0</v>
      </c>
      <c r="G153" s="4" t="s">
        <v>162</v>
      </c>
      <c r="H153" s="4" t="s">
        <v>163</v>
      </c>
      <c r="I153" s="4"/>
      <c r="J153" s="4"/>
      <c r="K153" s="4">
        <v>223</v>
      </c>
      <c r="L153" s="4">
        <v>9</v>
      </c>
      <c r="M153" s="4">
        <v>3</v>
      </c>
      <c r="N153" s="4" t="s">
        <v>3</v>
      </c>
      <c r="O153" s="4">
        <v>2</v>
      </c>
      <c r="P153" s="4"/>
      <c r="Q153" s="4"/>
      <c r="R153" s="4"/>
      <c r="S153" s="4"/>
      <c r="T153" s="4"/>
      <c r="U153" s="4"/>
      <c r="V153" s="4"/>
      <c r="W153" s="4">
        <v>0</v>
      </c>
      <c r="X153" s="4">
        <v>1</v>
      </c>
      <c r="Y153" s="4">
        <v>0</v>
      </c>
      <c r="Z153" s="4"/>
      <c r="AA153" s="4"/>
      <c r="AB153" s="4"/>
    </row>
    <row r="154" spans="1:28" x14ac:dyDescent="0.2">
      <c r="A154" s="4">
        <v>50</v>
      </c>
      <c r="B154" s="4">
        <v>0</v>
      </c>
      <c r="C154" s="4">
        <v>0</v>
      </c>
      <c r="D154" s="4">
        <v>1</v>
      </c>
      <c r="E154" s="4">
        <v>229</v>
      </c>
      <c r="F154" s="4">
        <f>ROUND(Source!AZ143,O154)</f>
        <v>0</v>
      </c>
      <c r="G154" s="4" t="s">
        <v>164</v>
      </c>
      <c r="H154" s="4" t="s">
        <v>165</v>
      </c>
      <c r="I154" s="4"/>
      <c r="J154" s="4"/>
      <c r="K154" s="4">
        <v>229</v>
      </c>
      <c r="L154" s="4">
        <v>10</v>
      </c>
      <c r="M154" s="4">
        <v>3</v>
      </c>
      <c r="N154" s="4" t="s">
        <v>3</v>
      </c>
      <c r="O154" s="4">
        <v>2</v>
      </c>
      <c r="P154" s="4"/>
      <c r="Q154" s="4"/>
      <c r="R154" s="4"/>
      <c r="S154" s="4"/>
      <c r="T154" s="4"/>
      <c r="U154" s="4"/>
      <c r="V154" s="4"/>
      <c r="W154" s="4">
        <v>0</v>
      </c>
      <c r="X154" s="4">
        <v>1</v>
      </c>
      <c r="Y154" s="4">
        <v>0</v>
      </c>
      <c r="Z154" s="4"/>
      <c r="AA154" s="4"/>
      <c r="AB154" s="4"/>
    </row>
    <row r="155" spans="1:28" x14ac:dyDescent="0.2">
      <c r="A155" s="4">
        <v>50</v>
      </c>
      <c r="B155" s="4">
        <v>1</v>
      </c>
      <c r="C155" s="4">
        <v>0</v>
      </c>
      <c r="D155" s="4">
        <v>1</v>
      </c>
      <c r="E155" s="4">
        <v>203</v>
      </c>
      <c r="F155" s="4">
        <f>ROUND(Source!Q143,O155)</f>
        <v>55844.91</v>
      </c>
      <c r="G155" s="4" t="s">
        <v>166</v>
      </c>
      <c r="H155" s="4" t="s">
        <v>167</v>
      </c>
      <c r="I155" s="4"/>
      <c r="J155" s="4"/>
      <c r="K155" s="4">
        <v>203</v>
      </c>
      <c r="L155" s="4">
        <v>11</v>
      </c>
      <c r="M155" s="4">
        <v>0</v>
      </c>
      <c r="N155" s="4" t="s">
        <v>3</v>
      </c>
      <c r="O155" s="4">
        <v>2</v>
      </c>
      <c r="P155" s="4"/>
      <c r="Q155" s="4"/>
      <c r="R155" s="4"/>
      <c r="S155" s="4"/>
      <c r="T155" s="4"/>
      <c r="U155" s="4"/>
      <c r="V155" s="4"/>
      <c r="W155" s="4">
        <v>55844.909999999996</v>
      </c>
      <c r="X155" s="4">
        <v>1</v>
      </c>
      <c r="Y155" s="4">
        <v>593631.39</v>
      </c>
      <c r="Z155" s="4"/>
      <c r="AA155" s="4"/>
      <c r="AB155" s="4"/>
    </row>
    <row r="156" spans="1:28" x14ac:dyDescent="0.2">
      <c r="A156" s="4">
        <v>50</v>
      </c>
      <c r="B156" s="4">
        <v>0</v>
      </c>
      <c r="C156" s="4">
        <v>0</v>
      </c>
      <c r="D156" s="4">
        <v>1</v>
      </c>
      <c r="E156" s="4">
        <v>231</v>
      </c>
      <c r="F156" s="4">
        <f>ROUND(Source!BB143,O156)</f>
        <v>0</v>
      </c>
      <c r="G156" s="4" t="s">
        <v>168</v>
      </c>
      <c r="H156" s="4" t="s">
        <v>169</v>
      </c>
      <c r="I156" s="4"/>
      <c r="J156" s="4"/>
      <c r="K156" s="4">
        <v>231</v>
      </c>
      <c r="L156" s="4">
        <v>12</v>
      </c>
      <c r="M156" s="4">
        <v>3</v>
      </c>
      <c r="N156" s="4" t="s">
        <v>3</v>
      </c>
      <c r="O156" s="4">
        <v>2</v>
      </c>
      <c r="P156" s="4"/>
      <c r="Q156" s="4"/>
      <c r="R156" s="4"/>
      <c r="S156" s="4"/>
      <c r="T156" s="4"/>
      <c r="U156" s="4"/>
      <c r="V156" s="4"/>
      <c r="W156" s="4">
        <v>0</v>
      </c>
      <c r="X156" s="4">
        <v>1</v>
      </c>
      <c r="Y156" s="4">
        <v>0</v>
      </c>
      <c r="Z156" s="4"/>
      <c r="AA156" s="4"/>
      <c r="AB156" s="4"/>
    </row>
    <row r="157" spans="1:28" x14ac:dyDescent="0.2">
      <c r="A157" s="4">
        <v>50</v>
      </c>
      <c r="B157" s="4">
        <v>1</v>
      </c>
      <c r="C157" s="4">
        <v>0</v>
      </c>
      <c r="D157" s="4">
        <v>1</v>
      </c>
      <c r="E157" s="4">
        <v>204</v>
      </c>
      <c r="F157" s="4">
        <f>ROUND(Source!R143,O157)</f>
        <v>3922.23</v>
      </c>
      <c r="G157" s="4" t="s">
        <v>170</v>
      </c>
      <c r="H157" s="4" t="s">
        <v>171</v>
      </c>
      <c r="I157" s="4"/>
      <c r="J157" s="4"/>
      <c r="K157" s="4">
        <v>204</v>
      </c>
      <c r="L157" s="4">
        <v>13</v>
      </c>
      <c r="M157" s="4">
        <v>0</v>
      </c>
      <c r="N157" s="4" t="s">
        <v>3</v>
      </c>
      <c r="O157" s="4">
        <v>2</v>
      </c>
      <c r="P157" s="4"/>
      <c r="Q157" s="4"/>
      <c r="R157" s="4"/>
      <c r="S157" s="4"/>
      <c r="T157" s="4"/>
      <c r="U157" s="4"/>
      <c r="V157" s="4"/>
      <c r="W157" s="4">
        <v>3922.23</v>
      </c>
      <c r="X157" s="4">
        <v>1</v>
      </c>
      <c r="Y157" s="4">
        <v>140651.16</v>
      </c>
      <c r="Z157" s="4"/>
      <c r="AA157" s="4"/>
      <c r="AB157" s="4"/>
    </row>
    <row r="158" spans="1:28" x14ac:dyDescent="0.2">
      <c r="A158" s="4">
        <v>50</v>
      </c>
      <c r="B158" s="4">
        <v>0</v>
      </c>
      <c r="C158" s="4">
        <v>0</v>
      </c>
      <c r="D158" s="4">
        <v>1</v>
      </c>
      <c r="E158" s="4">
        <v>205</v>
      </c>
      <c r="F158" s="4">
        <f>ROUND(Source!S143,O158)</f>
        <v>6437.5</v>
      </c>
      <c r="G158" s="4" t="s">
        <v>172</v>
      </c>
      <c r="H158" s="4" t="s">
        <v>173</v>
      </c>
      <c r="I158" s="4"/>
      <c r="J158" s="4"/>
      <c r="K158" s="4">
        <v>205</v>
      </c>
      <c r="L158" s="4">
        <v>14</v>
      </c>
      <c r="M158" s="4">
        <v>3</v>
      </c>
      <c r="N158" s="4" t="s">
        <v>3</v>
      </c>
      <c r="O158" s="4">
        <v>2</v>
      </c>
      <c r="P158" s="4"/>
      <c r="Q158" s="4"/>
      <c r="R158" s="4"/>
      <c r="S158" s="4"/>
      <c r="T158" s="4"/>
      <c r="U158" s="4"/>
      <c r="V158" s="4"/>
      <c r="W158" s="4">
        <v>6437.5</v>
      </c>
      <c r="X158" s="4">
        <v>1</v>
      </c>
      <c r="Y158" s="4">
        <v>230848.74</v>
      </c>
      <c r="Z158" s="4"/>
      <c r="AA158" s="4"/>
      <c r="AB158" s="4"/>
    </row>
    <row r="159" spans="1:28" x14ac:dyDescent="0.2">
      <c r="A159" s="4">
        <v>50</v>
      </c>
      <c r="B159" s="4">
        <v>0</v>
      </c>
      <c r="C159" s="4">
        <v>0</v>
      </c>
      <c r="D159" s="4">
        <v>1</v>
      </c>
      <c r="E159" s="4">
        <v>232</v>
      </c>
      <c r="F159" s="4">
        <f>ROUND(Source!BC143,O159)</f>
        <v>0</v>
      </c>
      <c r="G159" s="4" t="s">
        <v>174</v>
      </c>
      <c r="H159" s="4" t="s">
        <v>175</v>
      </c>
      <c r="I159" s="4"/>
      <c r="J159" s="4"/>
      <c r="K159" s="4">
        <v>232</v>
      </c>
      <c r="L159" s="4">
        <v>15</v>
      </c>
      <c r="M159" s="4">
        <v>3</v>
      </c>
      <c r="N159" s="4" t="s">
        <v>3</v>
      </c>
      <c r="O159" s="4">
        <v>2</v>
      </c>
      <c r="P159" s="4"/>
      <c r="Q159" s="4"/>
      <c r="R159" s="4"/>
      <c r="S159" s="4"/>
      <c r="T159" s="4"/>
      <c r="U159" s="4"/>
      <c r="V159" s="4"/>
      <c r="W159" s="4">
        <v>0</v>
      </c>
      <c r="X159" s="4">
        <v>1</v>
      </c>
      <c r="Y159" s="4">
        <v>0</v>
      </c>
      <c r="Z159" s="4"/>
      <c r="AA159" s="4"/>
      <c r="AB159" s="4"/>
    </row>
    <row r="160" spans="1:28" x14ac:dyDescent="0.2">
      <c r="A160" s="4">
        <v>50</v>
      </c>
      <c r="B160" s="4">
        <v>0</v>
      </c>
      <c r="C160" s="4">
        <v>0</v>
      </c>
      <c r="D160" s="4">
        <v>1</v>
      </c>
      <c r="E160" s="4">
        <v>214</v>
      </c>
      <c r="F160" s="4">
        <f>ROUND(Source!AS143,O160)</f>
        <v>504696.03</v>
      </c>
      <c r="G160" s="4" t="s">
        <v>176</v>
      </c>
      <c r="H160" s="4" t="s">
        <v>177</v>
      </c>
      <c r="I160" s="4"/>
      <c r="J160" s="4"/>
      <c r="K160" s="4">
        <v>214</v>
      </c>
      <c r="L160" s="4">
        <v>16</v>
      </c>
      <c r="M160" s="4">
        <v>3</v>
      </c>
      <c r="N160" s="4" t="s">
        <v>3</v>
      </c>
      <c r="O160" s="4">
        <v>2</v>
      </c>
      <c r="P160" s="4"/>
      <c r="Q160" s="4"/>
      <c r="R160" s="4"/>
      <c r="S160" s="4"/>
      <c r="T160" s="4"/>
      <c r="U160" s="4"/>
      <c r="V160" s="4"/>
      <c r="W160" s="4">
        <v>504696.03</v>
      </c>
      <c r="X160" s="4">
        <v>1</v>
      </c>
      <c r="Y160" s="4">
        <v>4497266.17</v>
      </c>
      <c r="Z160" s="4"/>
      <c r="AA160" s="4"/>
      <c r="AB160" s="4"/>
    </row>
    <row r="161" spans="1:206" x14ac:dyDescent="0.2">
      <c r="A161" s="4">
        <v>50</v>
      </c>
      <c r="B161" s="4">
        <v>0</v>
      </c>
      <c r="C161" s="4">
        <v>0</v>
      </c>
      <c r="D161" s="4">
        <v>1</v>
      </c>
      <c r="E161" s="4">
        <v>215</v>
      </c>
      <c r="F161" s="4">
        <f>ROUND(Source!AT143,O161)</f>
        <v>0</v>
      </c>
      <c r="G161" s="4" t="s">
        <v>178</v>
      </c>
      <c r="H161" s="4" t="s">
        <v>179</v>
      </c>
      <c r="I161" s="4"/>
      <c r="J161" s="4"/>
      <c r="K161" s="4">
        <v>215</v>
      </c>
      <c r="L161" s="4">
        <v>17</v>
      </c>
      <c r="M161" s="4">
        <v>3</v>
      </c>
      <c r="N161" s="4" t="s">
        <v>3</v>
      </c>
      <c r="O161" s="4">
        <v>2</v>
      </c>
      <c r="P161" s="4"/>
      <c r="Q161" s="4"/>
      <c r="R161" s="4"/>
      <c r="S161" s="4"/>
      <c r="T161" s="4"/>
      <c r="U161" s="4"/>
      <c r="V161" s="4"/>
      <c r="W161" s="4">
        <v>0</v>
      </c>
      <c r="X161" s="4">
        <v>1</v>
      </c>
      <c r="Y161" s="4">
        <v>0</v>
      </c>
      <c r="Z161" s="4"/>
      <c r="AA161" s="4"/>
      <c r="AB161" s="4"/>
    </row>
    <row r="162" spans="1:206" x14ac:dyDescent="0.2">
      <c r="A162" s="4">
        <v>50</v>
      </c>
      <c r="B162" s="4">
        <v>0</v>
      </c>
      <c r="C162" s="4">
        <v>0</v>
      </c>
      <c r="D162" s="4">
        <v>1</v>
      </c>
      <c r="E162" s="4">
        <v>217</v>
      </c>
      <c r="F162" s="4">
        <f>ROUND(Source!AU143,O162)</f>
        <v>0</v>
      </c>
      <c r="G162" s="4" t="s">
        <v>180</v>
      </c>
      <c r="H162" s="4" t="s">
        <v>181</v>
      </c>
      <c r="I162" s="4"/>
      <c r="J162" s="4"/>
      <c r="K162" s="4">
        <v>217</v>
      </c>
      <c r="L162" s="4">
        <v>18</v>
      </c>
      <c r="M162" s="4">
        <v>3</v>
      </c>
      <c r="N162" s="4" t="s">
        <v>3</v>
      </c>
      <c r="O162" s="4">
        <v>2</v>
      </c>
      <c r="P162" s="4"/>
      <c r="Q162" s="4"/>
      <c r="R162" s="4"/>
      <c r="S162" s="4"/>
      <c r="T162" s="4"/>
      <c r="U162" s="4"/>
      <c r="V162" s="4"/>
      <c r="W162" s="4">
        <v>0</v>
      </c>
      <c r="X162" s="4">
        <v>1</v>
      </c>
      <c r="Y162" s="4">
        <v>0</v>
      </c>
      <c r="Z162" s="4"/>
      <c r="AA162" s="4"/>
      <c r="AB162" s="4"/>
    </row>
    <row r="163" spans="1:206" x14ac:dyDescent="0.2">
      <c r="A163" s="4">
        <v>50</v>
      </c>
      <c r="B163" s="4">
        <v>0</v>
      </c>
      <c r="C163" s="4">
        <v>0</v>
      </c>
      <c r="D163" s="4">
        <v>1</v>
      </c>
      <c r="E163" s="4">
        <v>230</v>
      </c>
      <c r="F163" s="4">
        <f>ROUND(Source!BA143,O163)</f>
        <v>0</v>
      </c>
      <c r="G163" s="4" t="s">
        <v>182</v>
      </c>
      <c r="H163" s="4" t="s">
        <v>183</v>
      </c>
      <c r="I163" s="4"/>
      <c r="J163" s="4"/>
      <c r="K163" s="4">
        <v>230</v>
      </c>
      <c r="L163" s="4">
        <v>19</v>
      </c>
      <c r="M163" s="4">
        <v>3</v>
      </c>
      <c r="N163" s="4" t="s">
        <v>3</v>
      </c>
      <c r="O163" s="4">
        <v>2</v>
      </c>
      <c r="P163" s="4"/>
      <c r="Q163" s="4"/>
      <c r="R163" s="4"/>
      <c r="S163" s="4"/>
      <c r="T163" s="4"/>
      <c r="U163" s="4"/>
      <c r="V163" s="4"/>
      <c r="W163" s="4">
        <v>0</v>
      </c>
      <c r="X163" s="4">
        <v>1</v>
      </c>
      <c r="Y163" s="4">
        <v>0</v>
      </c>
      <c r="Z163" s="4"/>
      <c r="AA163" s="4"/>
      <c r="AB163" s="4"/>
    </row>
    <row r="164" spans="1:206" x14ac:dyDescent="0.2">
      <c r="A164" s="4">
        <v>50</v>
      </c>
      <c r="B164" s="4">
        <v>0</v>
      </c>
      <c r="C164" s="4">
        <v>0</v>
      </c>
      <c r="D164" s="4">
        <v>1</v>
      </c>
      <c r="E164" s="4">
        <v>206</v>
      </c>
      <c r="F164" s="4">
        <f>ROUND(Source!T143,O164)</f>
        <v>0</v>
      </c>
      <c r="G164" s="4" t="s">
        <v>184</v>
      </c>
      <c r="H164" s="4" t="s">
        <v>185</v>
      </c>
      <c r="I164" s="4"/>
      <c r="J164" s="4"/>
      <c r="K164" s="4">
        <v>206</v>
      </c>
      <c r="L164" s="4">
        <v>20</v>
      </c>
      <c r="M164" s="4">
        <v>3</v>
      </c>
      <c r="N164" s="4" t="s">
        <v>3</v>
      </c>
      <c r="O164" s="4">
        <v>2</v>
      </c>
      <c r="P164" s="4"/>
      <c r="Q164" s="4"/>
      <c r="R164" s="4"/>
      <c r="S164" s="4"/>
      <c r="T164" s="4"/>
      <c r="U164" s="4"/>
      <c r="V164" s="4"/>
      <c r="W164" s="4">
        <v>0</v>
      </c>
      <c r="X164" s="4">
        <v>1</v>
      </c>
      <c r="Y164" s="4">
        <v>0</v>
      </c>
      <c r="Z164" s="4"/>
      <c r="AA164" s="4"/>
      <c r="AB164" s="4"/>
    </row>
    <row r="165" spans="1:206" x14ac:dyDescent="0.2">
      <c r="A165" s="4">
        <v>50</v>
      </c>
      <c r="B165" s="4">
        <v>1</v>
      </c>
      <c r="C165" s="4">
        <v>0</v>
      </c>
      <c r="D165" s="4">
        <v>1</v>
      </c>
      <c r="E165" s="4">
        <v>207</v>
      </c>
      <c r="F165" s="4">
        <f>Source!U143</f>
        <v>837.1282369999999</v>
      </c>
      <c r="G165" s="4" t="s">
        <v>186</v>
      </c>
      <c r="H165" s="4" t="s">
        <v>187</v>
      </c>
      <c r="I165" s="4"/>
      <c r="J165" s="4"/>
      <c r="K165" s="4">
        <v>207</v>
      </c>
      <c r="L165" s="4">
        <v>21</v>
      </c>
      <c r="M165" s="4">
        <v>0</v>
      </c>
      <c r="N165" s="4" t="s">
        <v>3</v>
      </c>
      <c r="O165" s="4">
        <v>-1</v>
      </c>
      <c r="P165" s="4"/>
      <c r="Q165" s="4"/>
      <c r="R165" s="4"/>
      <c r="S165" s="4"/>
      <c r="T165" s="4"/>
      <c r="U165" s="4"/>
      <c r="V165" s="4"/>
      <c r="W165" s="4">
        <v>837.1282369999999</v>
      </c>
      <c r="X165" s="4">
        <v>1</v>
      </c>
      <c r="Y165" s="4">
        <v>837.1282369999999</v>
      </c>
      <c r="Z165" s="4"/>
      <c r="AA165" s="4"/>
      <c r="AB165" s="4"/>
    </row>
    <row r="166" spans="1:206" x14ac:dyDescent="0.2">
      <c r="A166" s="4">
        <v>50</v>
      </c>
      <c r="B166" s="4">
        <v>0</v>
      </c>
      <c r="C166" s="4">
        <v>0</v>
      </c>
      <c r="D166" s="4">
        <v>1</v>
      </c>
      <c r="E166" s="4">
        <v>208</v>
      </c>
      <c r="F166" s="4">
        <f>Source!V143</f>
        <v>26.31737</v>
      </c>
      <c r="G166" s="4" t="s">
        <v>188</v>
      </c>
      <c r="H166" s="4" t="s">
        <v>189</v>
      </c>
      <c r="I166" s="4"/>
      <c r="J166" s="4"/>
      <c r="K166" s="4">
        <v>208</v>
      </c>
      <c r="L166" s="4">
        <v>22</v>
      </c>
      <c r="M166" s="4">
        <v>3</v>
      </c>
      <c r="N166" s="4" t="s">
        <v>3</v>
      </c>
      <c r="O166" s="4">
        <v>-1</v>
      </c>
      <c r="P166" s="4"/>
      <c r="Q166" s="4"/>
      <c r="R166" s="4"/>
      <c r="S166" s="4"/>
      <c r="T166" s="4"/>
      <c r="U166" s="4"/>
      <c r="V166" s="4"/>
      <c r="W166" s="4">
        <v>26.31737</v>
      </c>
      <c r="X166" s="4">
        <v>1</v>
      </c>
      <c r="Y166" s="4">
        <v>26.31737</v>
      </c>
      <c r="Z166" s="4"/>
      <c r="AA166" s="4"/>
      <c r="AB166" s="4"/>
    </row>
    <row r="167" spans="1:206" x14ac:dyDescent="0.2">
      <c r="A167" s="4">
        <v>50</v>
      </c>
      <c r="B167" s="4">
        <v>0</v>
      </c>
      <c r="C167" s="4">
        <v>0</v>
      </c>
      <c r="D167" s="4">
        <v>1</v>
      </c>
      <c r="E167" s="4">
        <v>209</v>
      </c>
      <c r="F167" s="4">
        <f>ROUND(Source!W143,O167)</f>
        <v>0</v>
      </c>
      <c r="G167" s="4" t="s">
        <v>190</v>
      </c>
      <c r="H167" s="4" t="s">
        <v>191</v>
      </c>
      <c r="I167" s="4"/>
      <c r="J167" s="4"/>
      <c r="K167" s="4">
        <v>209</v>
      </c>
      <c r="L167" s="4">
        <v>23</v>
      </c>
      <c r="M167" s="4">
        <v>3</v>
      </c>
      <c r="N167" s="4" t="s">
        <v>3</v>
      </c>
      <c r="O167" s="4">
        <v>2</v>
      </c>
      <c r="P167" s="4"/>
      <c r="Q167" s="4"/>
      <c r="R167" s="4"/>
      <c r="S167" s="4"/>
      <c r="T167" s="4"/>
      <c r="U167" s="4"/>
      <c r="V167" s="4"/>
      <c r="W167" s="4">
        <v>0</v>
      </c>
      <c r="X167" s="4">
        <v>1</v>
      </c>
      <c r="Y167" s="4">
        <v>0</v>
      </c>
      <c r="Z167" s="4"/>
      <c r="AA167" s="4"/>
      <c r="AB167" s="4"/>
    </row>
    <row r="168" spans="1:206" x14ac:dyDescent="0.2">
      <c r="A168" s="4">
        <v>50</v>
      </c>
      <c r="B168" s="4">
        <v>0</v>
      </c>
      <c r="C168" s="4">
        <v>0</v>
      </c>
      <c r="D168" s="4">
        <v>1</v>
      </c>
      <c r="E168" s="4">
        <v>233</v>
      </c>
      <c r="F168" s="4">
        <f>ROUND(Source!BD143,O168)</f>
        <v>0</v>
      </c>
      <c r="G168" s="4" t="s">
        <v>192</v>
      </c>
      <c r="H168" s="4" t="s">
        <v>193</v>
      </c>
      <c r="I168" s="4"/>
      <c r="J168" s="4"/>
      <c r="K168" s="4">
        <v>233</v>
      </c>
      <c r="L168" s="4">
        <v>24</v>
      </c>
      <c r="M168" s="4">
        <v>3</v>
      </c>
      <c r="N168" s="4" t="s">
        <v>3</v>
      </c>
      <c r="O168" s="4">
        <v>2</v>
      </c>
      <c r="P168" s="4"/>
      <c r="Q168" s="4"/>
      <c r="R168" s="4"/>
      <c r="S168" s="4"/>
      <c r="T168" s="4"/>
      <c r="U168" s="4"/>
      <c r="V168" s="4"/>
      <c r="W168" s="4">
        <v>0</v>
      </c>
      <c r="X168" s="4">
        <v>1</v>
      </c>
      <c r="Y168" s="4">
        <v>0</v>
      </c>
      <c r="Z168" s="4"/>
      <c r="AA168" s="4"/>
      <c r="AB168" s="4"/>
    </row>
    <row r="169" spans="1:206" x14ac:dyDescent="0.2">
      <c r="A169" s="4">
        <v>50</v>
      </c>
      <c r="B169" s="4">
        <v>1</v>
      </c>
      <c r="C169" s="4">
        <v>0</v>
      </c>
      <c r="D169" s="4">
        <v>1</v>
      </c>
      <c r="E169" s="4">
        <v>210</v>
      </c>
      <c r="F169" s="4">
        <f>ROUND(Source!X143,O169)</f>
        <v>12724.81</v>
      </c>
      <c r="G169" s="4" t="s">
        <v>194</v>
      </c>
      <c r="H169" s="4" t="s">
        <v>195</v>
      </c>
      <c r="I169" s="4"/>
      <c r="J169" s="4"/>
      <c r="K169" s="4">
        <v>210</v>
      </c>
      <c r="L169" s="4">
        <v>25</v>
      </c>
      <c r="M169" s="4">
        <v>0</v>
      </c>
      <c r="N169" s="4" t="s">
        <v>3</v>
      </c>
      <c r="O169" s="4">
        <v>2</v>
      </c>
      <c r="P169" s="4"/>
      <c r="Q169" s="4"/>
      <c r="R169" s="4"/>
      <c r="S169" s="4"/>
      <c r="T169" s="4"/>
      <c r="U169" s="4"/>
      <c r="V169" s="4"/>
      <c r="W169" s="4">
        <v>12724.81</v>
      </c>
      <c r="X169" s="4">
        <v>1</v>
      </c>
      <c r="Y169" s="4">
        <v>456311.51</v>
      </c>
      <c r="Z169" s="4"/>
      <c r="AA169" s="4"/>
      <c r="AB169" s="4"/>
    </row>
    <row r="170" spans="1:206" x14ac:dyDescent="0.2">
      <c r="A170" s="4">
        <v>50</v>
      </c>
      <c r="B170" s="4">
        <v>1</v>
      </c>
      <c r="C170" s="4">
        <v>0</v>
      </c>
      <c r="D170" s="4">
        <v>1</v>
      </c>
      <c r="E170" s="4">
        <v>211</v>
      </c>
      <c r="F170" s="4">
        <f>ROUND(Source!Y143,O170)</f>
        <v>9368.3799999999992</v>
      </c>
      <c r="G170" s="4" t="s">
        <v>196</v>
      </c>
      <c r="H170" s="4" t="s">
        <v>197</v>
      </c>
      <c r="I170" s="4"/>
      <c r="J170" s="4"/>
      <c r="K170" s="4">
        <v>211</v>
      </c>
      <c r="L170" s="4">
        <v>26</v>
      </c>
      <c r="M170" s="4">
        <v>0</v>
      </c>
      <c r="N170" s="4" t="s">
        <v>3</v>
      </c>
      <c r="O170" s="4">
        <v>2</v>
      </c>
      <c r="P170" s="4"/>
      <c r="Q170" s="4"/>
      <c r="R170" s="4"/>
      <c r="S170" s="4"/>
      <c r="T170" s="4"/>
      <c r="U170" s="4"/>
      <c r="V170" s="4"/>
      <c r="W170" s="4">
        <v>9368.3799999999992</v>
      </c>
      <c r="X170" s="4">
        <v>1</v>
      </c>
      <c r="Y170" s="4">
        <v>335950.25</v>
      </c>
      <c r="Z170" s="4"/>
      <c r="AA170" s="4"/>
      <c r="AB170" s="4"/>
    </row>
    <row r="171" spans="1:206" x14ac:dyDescent="0.2">
      <c r="A171" s="4">
        <v>50</v>
      </c>
      <c r="B171" s="4">
        <v>1</v>
      </c>
      <c r="C171" s="4">
        <v>0</v>
      </c>
      <c r="D171" s="4">
        <v>1</v>
      </c>
      <c r="E171" s="4">
        <v>224</v>
      </c>
      <c r="F171" s="4">
        <f>ROUND(Source!AR143,O171)</f>
        <v>504696.03</v>
      </c>
      <c r="G171" s="4" t="s">
        <v>198</v>
      </c>
      <c r="H171" s="4" t="s">
        <v>199</v>
      </c>
      <c r="I171" s="4"/>
      <c r="J171" s="4"/>
      <c r="K171" s="4">
        <v>224</v>
      </c>
      <c r="L171" s="4">
        <v>27</v>
      </c>
      <c r="M171" s="4">
        <v>0</v>
      </c>
      <c r="N171" s="4" t="s">
        <v>3</v>
      </c>
      <c r="O171" s="4">
        <v>2</v>
      </c>
      <c r="P171" s="4"/>
      <c r="Q171" s="4"/>
      <c r="R171" s="4"/>
      <c r="S171" s="4"/>
      <c r="T171" s="4"/>
      <c r="U171" s="4"/>
      <c r="V171" s="4"/>
      <c r="W171" s="4">
        <v>481142.02999999997</v>
      </c>
      <c r="X171" s="4">
        <v>1</v>
      </c>
      <c r="Y171" s="4">
        <v>4497266.17</v>
      </c>
      <c r="Z171" s="4"/>
      <c r="AA171" s="4"/>
      <c r="AB171" s="4"/>
    </row>
    <row r="172" spans="1:206" x14ac:dyDescent="0.2">
      <c r="A172" s="4">
        <v>50</v>
      </c>
      <c r="B172" s="4">
        <v>1</v>
      </c>
      <c r="C172" s="4">
        <v>0</v>
      </c>
      <c r="D172" s="4">
        <v>2</v>
      </c>
      <c r="E172" s="4">
        <v>0</v>
      </c>
      <c r="F172" s="4">
        <f>ROUND(F171*20/100,O172)</f>
        <v>100939.21</v>
      </c>
      <c r="G172" s="4" t="s">
        <v>248</v>
      </c>
      <c r="H172" s="4" t="s">
        <v>249</v>
      </c>
      <c r="I172" s="4"/>
      <c r="J172" s="4"/>
      <c r="K172" s="4">
        <v>212</v>
      </c>
      <c r="L172" s="4">
        <v>28</v>
      </c>
      <c r="M172" s="4">
        <v>0</v>
      </c>
      <c r="N172" s="4" t="s">
        <v>3</v>
      </c>
      <c r="O172" s="4">
        <v>2</v>
      </c>
      <c r="P172" s="4"/>
      <c r="Q172" s="4"/>
      <c r="R172" s="4"/>
      <c r="S172" s="4"/>
      <c r="T172" s="4"/>
      <c r="U172" s="4"/>
      <c r="V172" s="4"/>
      <c r="W172" s="4">
        <v>96228.41</v>
      </c>
      <c r="X172" s="4">
        <v>1</v>
      </c>
      <c r="Y172" s="4">
        <v>899453.23</v>
      </c>
      <c r="Z172" s="4"/>
      <c r="AA172" s="4"/>
      <c r="AB172" s="4"/>
    </row>
    <row r="173" spans="1:206" x14ac:dyDescent="0.2">
      <c r="A173" s="4">
        <v>50</v>
      </c>
      <c r="B173" s="4">
        <v>1</v>
      </c>
      <c r="C173" s="4">
        <v>0</v>
      </c>
      <c r="D173" s="4">
        <v>2</v>
      </c>
      <c r="E173" s="4">
        <v>0</v>
      </c>
      <c r="F173" s="4">
        <f>ROUND(F171+F172,O173)</f>
        <v>605635.24</v>
      </c>
      <c r="G173" s="4" t="s">
        <v>250</v>
      </c>
      <c r="H173" s="4" t="s">
        <v>251</v>
      </c>
      <c r="I173" s="4"/>
      <c r="J173" s="4"/>
      <c r="K173" s="4">
        <v>212</v>
      </c>
      <c r="L173" s="4">
        <v>29</v>
      </c>
      <c r="M173" s="4">
        <v>0</v>
      </c>
      <c r="N173" s="4" t="s">
        <v>3</v>
      </c>
      <c r="O173" s="4">
        <v>2</v>
      </c>
      <c r="P173" s="4"/>
      <c r="Q173" s="4"/>
      <c r="R173" s="4"/>
      <c r="S173" s="4"/>
      <c r="T173" s="4"/>
      <c r="U173" s="4"/>
      <c r="V173" s="4"/>
      <c r="W173" s="4">
        <v>577370.43999999994</v>
      </c>
      <c r="X173" s="4">
        <v>1</v>
      </c>
      <c r="Y173" s="4">
        <v>5396719.4000000004</v>
      </c>
      <c r="Z173" s="4"/>
      <c r="AA173" s="4"/>
      <c r="AB173" s="4"/>
    </row>
    <row r="175" spans="1:206" x14ac:dyDescent="0.2">
      <c r="A175" s="2">
        <v>51</v>
      </c>
      <c r="B175" s="2">
        <f>B12</f>
        <v>227</v>
      </c>
      <c r="C175" s="2">
        <f>A12</f>
        <v>1</v>
      </c>
      <c r="D175" s="2">
        <f>ROW(A12)</f>
        <v>12</v>
      </c>
      <c r="E175" s="2"/>
      <c r="F175" s="2" t="str">
        <f>IF(F12&lt;&gt;"",F12,"")</f>
        <v>24.09.21</v>
      </c>
      <c r="G175" s="2" t="str">
        <f>IF(G12&lt;&gt;"",G12,"")</f>
        <v>сентябрь)Восстановление дорожного покрытия после проведения аварийных ремонтных работ на сетях теплоснабжения ГУП РК "Крымтеплокоммунэнерго" на 2021г._(Копия)</v>
      </c>
      <c r="H175" s="2">
        <v>0</v>
      </c>
      <c r="I175" s="2"/>
      <c r="J175" s="2"/>
      <c r="K175" s="2"/>
      <c r="L175" s="2"/>
      <c r="M175" s="2"/>
      <c r="N175" s="2"/>
      <c r="O175" s="2">
        <f t="shared" ref="O175:T175" si="121">ROUND(O143,2)</f>
        <v>459048.84</v>
      </c>
      <c r="P175" s="2">
        <f t="shared" si="121"/>
        <v>396766.43</v>
      </c>
      <c r="Q175" s="2">
        <f t="shared" si="121"/>
        <v>55844.91</v>
      </c>
      <c r="R175" s="2">
        <f t="shared" si="121"/>
        <v>3922.23</v>
      </c>
      <c r="S175" s="2">
        <f t="shared" si="121"/>
        <v>6437.5</v>
      </c>
      <c r="T175" s="2">
        <f t="shared" si="121"/>
        <v>0</v>
      </c>
      <c r="U175" s="2">
        <f>U143</f>
        <v>837.1282369999999</v>
      </c>
      <c r="V175" s="2">
        <f>V143</f>
        <v>26.31737</v>
      </c>
      <c r="W175" s="2">
        <f>ROUND(W143,2)</f>
        <v>0</v>
      </c>
      <c r="X175" s="2">
        <f>ROUND(X143,2)</f>
        <v>12724.81</v>
      </c>
      <c r="Y175" s="2">
        <f>ROUND(Y143,2)</f>
        <v>9368.3799999999992</v>
      </c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>
        <f t="shared" ref="AO175:BD175" si="122">ROUND(AO143,2)</f>
        <v>0</v>
      </c>
      <c r="AP175" s="2">
        <f t="shared" si="122"/>
        <v>0</v>
      </c>
      <c r="AQ175" s="2">
        <f t="shared" si="122"/>
        <v>0</v>
      </c>
      <c r="AR175" s="2">
        <f t="shared" si="122"/>
        <v>504696.03</v>
      </c>
      <c r="AS175" s="2">
        <f t="shared" si="122"/>
        <v>504696.03</v>
      </c>
      <c r="AT175" s="2">
        <f t="shared" si="122"/>
        <v>0</v>
      </c>
      <c r="AU175" s="2">
        <f t="shared" si="122"/>
        <v>0</v>
      </c>
      <c r="AV175" s="2">
        <f t="shared" si="122"/>
        <v>396766.43</v>
      </c>
      <c r="AW175" s="2">
        <f t="shared" si="122"/>
        <v>396766.43</v>
      </c>
      <c r="AX175" s="2">
        <f t="shared" si="122"/>
        <v>0</v>
      </c>
      <c r="AY175" s="2">
        <f t="shared" si="122"/>
        <v>396766.43</v>
      </c>
      <c r="AZ175" s="2">
        <f t="shared" si="122"/>
        <v>0</v>
      </c>
      <c r="BA175" s="2">
        <f t="shared" si="122"/>
        <v>0</v>
      </c>
      <c r="BB175" s="2">
        <f t="shared" si="122"/>
        <v>0</v>
      </c>
      <c r="BC175" s="2">
        <f t="shared" si="122"/>
        <v>0</v>
      </c>
      <c r="BD175" s="2">
        <f t="shared" si="122"/>
        <v>0</v>
      </c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>
        <v>0</v>
      </c>
    </row>
    <row r="177" spans="1:28" x14ac:dyDescent="0.2">
      <c r="A177" s="4">
        <v>50</v>
      </c>
      <c r="B177" s="4">
        <v>0</v>
      </c>
      <c r="C177" s="4">
        <v>0</v>
      </c>
      <c r="D177" s="4">
        <v>1</v>
      </c>
      <c r="E177" s="4">
        <v>201</v>
      </c>
      <c r="F177" s="4">
        <f>ROUND(Source!O175,O177)</f>
        <v>459048.84</v>
      </c>
      <c r="G177" s="4" t="s">
        <v>146</v>
      </c>
      <c r="H177" s="4" t="s">
        <v>147</v>
      </c>
      <c r="I177" s="4"/>
      <c r="J177" s="4"/>
      <c r="K177" s="4">
        <v>201</v>
      </c>
      <c r="L177" s="4">
        <v>1</v>
      </c>
      <c r="M177" s="4">
        <v>3</v>
      </c>
      <c r="N177" s="4" t="s">
        <v>3</v>
      </c>
      <c r="O177" s="4">
        <v>2</v>
      </c>
      <c r="P177" s="4"/>
      <c r="Q177" s="4"/>
      <c r="R177" s="4"/>
      <c r="S177" s="4"/>
      <c r="T177" s="4"/>
      <c r="U177" s="4"/>
      <c r="V177" s="4"/>
      <c r="W177" s="4">
        <v>459048.83999999997</v>
      </c>
      <c r="X177" s="4">
        <v>1</v>
      </c>
      <c r="Y177" s="4">
        <v>3705004.4099999997</v>
      </c>
      <c r="Z177" s="4"/>
      <c r="AA177" s="4"/>
      <c r="AB177" s="4"/>
    </row>
    <row r="178" spans="1:28" x14ac:dyDescent="0.2">
      <c r="A178" s="4">
        <v>50</v>
      </c>
      <c r="B178" s="4">
        <v>0</v>
      </c>
      <c r="C178" s="4">
        <v>0</v>
      </c>
      <c r="D178" s="4">
        <v>1</v>
      </c>
      <c r="E178" s="4">
        <v>202</v>
      </c>
      <c r="F178" s="4">
        <f>ROUND(Source!P175,O178)</f>
        <v>396766.43</v>
      </c>
      <c r="G178" s="4" t="s">
        <v>148</v>
      </c>
      <c r="H178" s="4" t="s">
        <v>149</v>
      </c>
      <c r="I178" s="4"/>
      <c r="J178" s="4"/>
      <c r="K178" s="4">
        <v>202</v>
      </c>
      <c r="L178" s="4">
        <v>2</v>
      </c>
      <c r="M178" s="4">
        <v>3</v>
      </c>
      <c r="N178" s="4" t="s">
        <v>3</v>
      </c>
      <c r="O178" s="4">
        <v>2</v>
      </c>
      <c r="P178" s="4"/>
      <c r="Q178" s="4"/>
      <c r="R178" s="4"/>
      <c r="S178" s="4"/>
      <c r="T178" s="4"/>
      <c r="U178" s="4"/>
      <c r="V178" s="4"/>
      <c r="W178" s="4">
        <v>396766.43</v>
      </c>
      <c r="X178" s="4">
        <v>1</v>
      </c>
      <c r="Y178" s="4">
        <v>0</v>
      </c>
      <c r="Z178" s="4"/>
      <c r="AA178" s="4"/>
      <c r="AB178" s="4"/>
    </row>
    <row r="179" spans="1:28" x14ac:dyDescent="0.2">
      <c r="A179" s="4">
        <v>50</v>
      </c>
      <c r="B179" s="4">
        <v>0</v>
      </c>
      <c r="C179" s="4">
        <v>0</v>
      </c>
      <c r="D179" s="4">
        <v>1</v>
      </c>
      <c r="E179" s="4">
        <v>222</v>
      </c>
      <c r="F179" s="4">
        <f>ROUND(Source!AO175,O179)</f>
        <v>0</v>
      </c>
      <c r="G179" s="4" t="s">
        <v>150</v>
      </c>
      <c r="H179" s="4" t="s">
        <v>151</v>
      </c>
      <c r="I179" s="4"/>
      <c r="J179" s="4"/>
      <c r="K179" s="4">
        <v>222</v>
      </c>
      <c r="L179" s="4">
        <v>3</v>
      </c>
      <c r="M179" s="4">
        <v>3</v>
      </c>
      <c r="N179" s="4" t="s">
        <v>3</v>
      </c>
      <c r="O179" s="4">
        <v>2</v>
      </c>
      <c r="P179" s="4"/>
      <c r="Q179" s="4"/>
      <c r="R179" s="4"/>
      <c r="S179" s="4"/>
      <c r="T179" s="4"/>
      <c r="U179" s="4"/>
      <c r="V179" s="4"/>
      <c r="W179" s="4">
        <v>0</v>
      </c>
      <c r="X179" s="4">
        <v>1</v>
      </c>
      <c r="Y179" s="4">
        <v>0</v>
      </c>
      <c r="Z179" s="4"/>
      <c r="AA179" s="4"/>
      <c r="AB179" s="4"/>
    </row>
    <row r="180" spans="1:28" x14ac:dyDescent="0.2">
      <c r="A180" s="4">
        <v>50</v>
      </c>
      <c r="B180" s="4">
        <v>0</v>
      </c>
      <c r="C180" s="4">
        <v>0</v>
      </c>
      <c r="D180" s="4">
        <v>1</v>
      </c>
      <c r="E180" s="4">
        <v>225</v>
      </c>
      <c r="F180" s="4">
        <f>ROUND(Source!AV175,O180)</f>
        <v>396766.43</v>
      </c>
      <c r="G180" s="4" t="s">
        <v>152</v>
      </c>
      <c r="H180" s="4" t="s">
        <v>153</v>
      </c>
      <c r="I180" s="4"/>
      <c r="J180" s="4"/>
      <c r="K180" s="4">
        <v>225</v>
      </c>
      <c r="L180" s="4">
        <v>4</v>
      </c>
      <c r="M180" s="4">
        <v>3</v>
      </c>
      <c r="N180" s="4" t="s">
        <v>3</v>
      </c>
      <c r="O180" s="4">
        <v>2</v>
      </c>
      <c r="P180" s="4"/>
      <c r="Q180" s="4"/>
      <c r="R180" s="4"/>
      <c r="S180" s="4"/>
      <c r="T180" s="4"/>
      <c r="U180" s="4"/>
      <c r="V180" s="4"/>
      <c r="W180" s="4">
        <v>396766.43</v>
      </c>
      <c r="X180" s="4">
        <v>1</v>
      </c>
      <c r="Y180" s="4">
        <v>0</v>
      </c>
      <c r="Z180" s="4"/>
      <c r="AA180" s="4"/>
      <c r="AB180" s="4"/>
    </row>
    <row r="181" spans="1:28" x14ac:dyDescent="0.2">
      <c r="A181" s="4">
        <v>50</v>
      </c>
      <c r="B181" s="4">
        <v>0</v>
      </c>
      <c r="C181" s="4">
        <v>0</v>
      </c>
      <c r="D181" s="4">
        <v>1</v>
      </c>
      <c r="E181" s="4">
        <v>226</v>
      </c>
      <c r="F181" s="4">
        <f>ROUND(Source!AW175,O181)</f>
        <v>396766.43</v>
      </c>
      <c r="G181" s="4" t="s">
        <v>154</v>
      </c>
      <c r="H181" s="4" t="s">
        <v>155</v>
      </c>
      <c r="I181" s="4"/>
      <c r="J181" s="4"/>
      <c r="K181" s="4">
        <v>226</v>
      </c>
      <c r="L181" s="4">
        <v>5</v>
      </c>
      <c r="M181" s="4">
        <v>3</v>
      </c>
      <c r="N181" s="4" t="s">
        <v>3</v>
      </c>
      <c r="O181" s="4">
        <v>2</v>
      </c>
      <c r="P181" s="4"/>
      <c r="Q181" s="4"/>
      <c r="R181" s="4"/>
      <c r="S181" s="4"/>
      <c r="T181" s="4"/>
      <c r="U181" s="4"/>
      <c r="V181" s="4"/>
      <c r="W181" s="4">
        <v>396766.43</v>
      </c>
      <c r="X181" s="4">
        <v>1</v>
      </c>
      <c r="Y181" s="4">
        <v>2880524.28</v>
      </c>
      <c r="Z181" s="4"/>
      <c r="AA181" s="4"/>
      <c r="AB181" s="4"/>
    </row>
    <row r="182" spans="1:28" x14ac:dyDescent="0.2">
      <c r="A182" s="4">
        <v>50</v>
      </c>
      <c r="B182" s="4">
        <v>0</v>
      </c>
      <c r="C182" s="4">
        <v>0</v>
      </c>
      <c r="D182" s="4">
        <v>1</v>
      </c>
      <c r="E182" s="4">
        <v>227</v>
      </c>
      <c r="F182" s="4">
        <f>ROUND(Source!AX175,O182)</f>
        <v>0</v>
      </c>
      <c r="G182" s="4" t="s">
        <v>156</v>
      </c>
      <c r="H182" s="4" t="s">
        <v>157</v>
      </c>
      <c r="I182" s="4"/>
      <c r="J182" s="4"/>
      <c r="K182" s="4">
        <v>227</v>
      </c>
      <c r="L182" s="4">
        <v>6</v>
      </c>
      <c r="M182" s="4">
        <v>3</v>
      </c>
      <c r="N182" s="4" t="s">
        <v>3</v>
      </c>
      <c r="O182" s="4">
        <v>2</v>
      </c>
      <c r="P182" s="4"/>
      <c r="Q182" s="4"/>
      <c r="R182" s="4"/>
      <c r="S182" s="4"/>
      <c r="T182" s="4"/>
      <c r="U182" s="4"/>
      <c r="V182" s="4"/>
      <c r="W182" s="4">
        <v>0</v>
      </c>
      <c r="X182" s="4">
        <v>1</v>
      </c>
      <c r="Y182" s="4">
        <v>0</v>
      </c>
      <c r="Z182" s="4"/>
      <c r="AA182" s="4"/>
      <c r="AB182" s="4"/>
    </row>
    <row r="183" spans="1:28" x14ac:dyDescent="0.2">
      <c r="A183" s="4">
        <v>50</v>
      </c>
      <c r="B183" s="4">
        <v>0</v>
      </c>
      <c r="C183" s="4">
        <v>0</v>
      </c>
      <c r="D183" s="4">
        <v>1</v>
      </c>
      <c r="E183" s="4">
        <v>228</v>
      </c>
      <c r="F183" s="4">
        <f>ROUND(Source!AY175,O183)</f>
        <v>396766.43</v>
      </c>
      <c r="G183" s="4" t="s">
        <v>158</v>
      </c>
      <c r="H183" s="4" t="s">
        <v>159</v>
      </c>
      <c r="I183" s="4"/>
      <c r="J183" s="4"/>
      <c r="K183" s="4">
        <v>228</v>
      </c>
      <c r="L183" s="4">
        <v>7</v>
      </c>
      <c r="M183" s="4">
        <v>3</v>
      </c>
      <c r="N183" s="4" t="s">
        <v>3</v>
      </c>
      <c r="O183" s="4">
        <v>2</v>
      </c>
      <c r="P183" s="4"/>
      <c r="Q183" s="4"/>
      <c r="R183" s="4"/>
      <c r="S183" s="4"/>
      <c r="T183" s="4"/>
      <c r="U183" s="4"/>
      <c r="V183" s="4"/>
      <c r="W183" s="4">
        <v>396766.43</v>
      </c>
      <c r="X183" s="4">
        <v>1</v>
      </c>
      <c r="Y183" s="4">
        <v>2880524.28</v>
      </c>
      <c r="Z183" s="4"/>
      <c r="AA183" s="4"/>
      <c r="AB183" s="4"/>
    </row>
    <row r="184" spans="1:28" x14ac:dyDescent="0.2">
      <c r="A184" s="4">
        <v>50</v>
      </c>
      <c r="B184" s="4">
        <v>0</v>
      </c>
      <c r="C184" s="4">
        <v>0</v>
      </c>
      <c r="D184" s="4">
        <v>1</v>
      </c>
      <c r="E184" s="4">
        <v>216</v>
      </c>
      <c r="F184" s="4">
        <f>ROUND(Source!AP175,O184)</f>
        <v>0</v>
      </c>
      <c r="G184" s="4" t="s">
        <v>160</v>
      </c>
      <c r="H184" s="4" t="s">
        <v>161</v>
      </c>
      <c r="I184" s="4"/>
      <c r="J184" s="4"/>
      <c r="K184" s="4">
        <v>216</v>
      </c>
      <c r="L184" s="4">
        <v>8</v>
      </c>
      <c r="M184" s="4">
        <v>3</v>
      </c>
      <c r="N184" s="4" t="s">
        <v>3</v>
      </c>
      <c r="O184" s="4">
        <v>2</v>
      </c>
      <c r="P184" s="4"/>
      <c r="Q184" s="4"/>
      <c r="R184" s="4"/>
      <c r="S184" s="4"/>
      <c r="T184" s="4"/>
      <c r="U184" s="4"/>
      <c r="V184" s="4"/>
      <c r="W184" s="4">
        <v>0</v>
      </c>
      <c r="X184" s="4">
        <v>1</v>
      </c>
      <c r="Y184" s="4">
        <v>0</v>
      </c>
      <c r="Z184" s="4"/>
      <c r="AA184" s="4"/>
      <c r="AB184" s="4"/>
    </row>
    <row r="185" spans="1:28" x14ac:dyDescent="0.2">
      <c r="A185" s="4">
        <v>50</v>
      </c>
      <c r="B185" s="4">
        <v>0</v>
      </c>
      <c r="C185" s="4">
        <v>0</v>
      </c>
      <c r="D185" s="4">
        <v>1</v>
      </c>
      <c r="E185" s="4">
        <v>223</v>
      </c>
      <c r="F185" s="4">
        <f>ROUND(Source!AQ175,O185)</f>
        <v>0</v>
      </c>
      <c r="G185" s="4" t="s">
        <v>162</v>
      </c>
      <c r="H185" s="4" t="s">
        <v>163</v>
      </c>
      <c r="I185" s="4"/>
      <c r="J185" s="4"/>
      <c r="K185" s="4">
        <v>223</v>
      </c>
      <c r="L185" s="4">
        <v>9</v>
      </c>
      <c r="M185" s="4">
        <v>3</v>
      </c>
      <c r="N185" s="4" t="s">
        <v>3</v>
      </c>
      <c r="O185" s="4">
        <v>2</v>
      </c>
      <c r="P185" s="4"/>
      <c r="Q185" s="4"/>
      <c r="R185" s="4"/>
      <c r="S185" s="4"/>
      <c r="T185" s="4"/>
      <c r="U185" s="4"/>
      <c r="V185" s="4"/>
      <c r="W185" s="4">
        <v>0</v>
      </c>
      <c r="X185" s="4">
        <v>1</v>
      </c>
      <c r="Y185" s="4">
        <v>0</v>
      </c>
      <c r="Z185" s="4"/>
      <c r="AA185" s="4"/>
      <c r="AB185" s="4"/>
    </row>
    <row r="186" spans="1:28" x14ac:dyDescent="0.2">
      <c r="A186" s="4">
        <v>50</v>
      </c>
      <c r="B186" s="4">
        <v>0</v>
      </c>
      <c r="C186" s="4">
        <v>0</v>
      </c>
      <c r="D186" s="4">
        <v>1</v>
      </c>
      <c r="E186" s="4">
        <v>229</v>
      </c>
      <c r="F186" s="4">
        <f>ROUND(Source!AZ175,O186)</f>
        <v>0</v>
      </c>
      <c r="G186" s="4" t="s">
        <v>164</v>
      </c>
      <c r="H186" s="4" t="s">
        <v>165</v>
      </c>
      <c r="I186" s="4"/>
      <c r="J186" s="4"/>
      <c r="K186" s="4">
        <v>229</v>
      </c>
      <c r="L186" s="4">
        <v>10</v>
      </c>
      <c r="M186" s="4">
        <v>3</v>
      </c>
      <c r="N186" s="4" t="s">
        <v>3</v>
      </c>
      <c r="O186" s="4">
        <v>2</v>
      </c>
      <c r="P186" s="4"/>
      <c r="Q186" s="4"/>
      <c r="R186" s="4"/>
      <c r="S186" s="4"/>
      <c r="T186" s="4"/>
      <c r="U186" s="4"/>
      <c r="V186" s="4"/>
      <c r="W186" s="4">
        <v>0</v>
      </c>
      <c r="X186" s="4">
        <v>1</v>
      </c>
      <c r="Y186" s="4">
        <v>0</v>
      </c>
      <c r="Z186" s="4"/>
      <c r="AA186" s="4"/>
      <c r="AB186" s="4"/>
    </row>
    <row r="187" spans="1:28" x14ac:dyDescent="0.2">
      <c r="A187" s="4">
        <v>50</v>
      </c>
      <c r="B187" s="4">
        <v>0</v>
      </c>
      <c r="C187" s="4">
        <v>0</v>
      </c>
      <c r="D187" s="4">
        <v>1</v>
      </c>
      <c r="E187" s="4">
        <v>203</v>
      </c>
      <c r="F187" s="4">
        <f>ROUND(Source!Q175,O187)</f>
        <v>55844.91</v>
      </c>
      <c r="G187" s="4" t="s">
        <v>166</v>
      </c>
      <c r="H187" s="4" t="s">
        <v>167</v>
      </c>
      <c r="I187" s="4"/>
      <c r="J187" s="4"/>
      <c r="K187" s="4">
        <v>203</v>
      </c>
      <c r="L187" s="4">
        <v>11</v>
      </c>
      <c r="M187" s="4">
        <v>3</v>
      </c>
      <c r="N187" s="4" t="s">
        <v>3</v>
      </c>
      <c r="O187" s="4">
        <v>2</v>
      </c>
      <c r="P187" s="4"/>
      <c r="Q187" s="4"/>
      <c r="R187" s="4"/>
      <c r="S187" s="4"/>
      <c r="T187" s="4"/>
      <c r="U187" s="4"/>
      <c r="V187" s="4"/>
      <c r="W187" s="4">
        <v>55844.909999999996</v>
      </c>
      <c r="X187" s="4">
        <v>1</v>
      </c>
      <c r="Y187" s="4">
        <v>593631.39</v>
      </c>
      <c r="Z187" s="4"/>
      <c r="AA187" s="4"/>
      <c r="AB187" s="4"/>
    </row>
    <row r="188" spans="1:28" x14ac:dyDescent="0.2">
      <c r="A188" s="4">
        <v>50</v>
      </c>
      <c r="B188" s="4">
        <v>0</v>
      </c>
      <c r="C188" s="4">
        <v>0</v>
      </c>
      <c r="D188" s="4">
        <v>1</v>
      </c>
      <c r="E188" s="4">
        <v>231</v>
      </c>
      <c r="F188" s="4">
        <f>ROUND(Source!BB175,O188)</f>
        <v>0</v>
      </c>
      <c r="G188" s="4" t="s">
        <v>168</v>
      </c>
      <c r="H188" s="4" t="s">
        <v>169</v>
      </c>
      <c r="I188" s="4"/>
      <c r="J188" s="4"/>
      <c r="K188" s="4">
        <v>231</v>
      </c>
      <c r="L188" s="4">
        <v>12</v>
      </c>
      <c r="M188" s="4">
        <v>3</v>
      </c>
      <c r="N188" s="4" t="s">
        <v>3</v>
      </c>
      <c r="O188" s="4">
        <v>2</v>
      </c>
      <c r="P188" s="4"/>
      <c r="Q188" s="4"/>
      <c r="R188" s="4"/>
      <c r="S188" s="4"/>
      <c r="T188" s="4"/>
      <c r="U188" s="4"/>
      <c r="V188" s="4"/>
      <c r="W188" s="4">
        <v>0</v>
      </c>
      <c r="X188" s="4">
        <v>1</v>
      </c>
      <c r="Y188" s="4">
        <v>0</v>
      </c>
      <c r="Z188" s="4"/>
      <c r="AA188" s="4"/>
      <c r="AB188" s="4"/>
    </row>
    <row r="189" spans="1:28" x14ac:dyDescent="0.2">
      <c r="A189" s="4">
        <v>50</v>
      </c>
      <c r="B189" s="4">
        <v>0</v>
      </c>
      <c r="C189" s="4">
        <v>0</v>
      </c>
      <c r="D189" s="4">
        <v>1</v>
      </c>
      <c r="E189" s="4">
        <v>204</v>
      </c>
      <c r="F189" s="4">
        <f>ROUND(Source!R175,O189)</f>
        <v>3922.23</v>
      </c>
      <c r="G189" s="4" t="s">
        <v>170</v>
      </c>
      <c r="H189" s="4" t="s">
        <v>171</v>
      </c>
      <c r="I189" s="4"/>
      <c r="J189" s="4"/>
      <c r="K189" s="4">
        <v>204</v>
      </c>
      <c r="L189" s="4">
        <v>13</v>
      </c>
      <c r="M189" s="4">
        <v>3</v>
      </c>
      <c r="N189" s="4" t="s">
        <v>3</v>
      </c>
      <c r="O189" s="4">
        <v>2</v>
      </c>
      <c r="P189" s="4"/>
      <c r="Q189" s="4"/>
      <c r="R189" s="4"/>
      <c r="S189" s="4"/>
      <c r="T189" s="4"/>
      <c r="U189" s="4"/>
      <c r="V189" s="4"/>
      <c r="W189" s="4">
        <v>3922.23</v>
      </c>
      <c r="X189" s="4">
        <v>1</v>
      </c>
      <c r="Y189" s="4">
        <v>140651.15999999997</v>
      </c>
      <c r="Z189" s="4"/>
      <c r="AA189" s="4"/>
      <c r="AB189" s="4"/>
    </row>
    <row r="190" spans="1:28" x14ac:dyDescent="0.2">
      <c r="A190" s="4">
        <v>50</v>
      </c>
      <c r="B190" s="4">
        <v>0</v>
      </c>
      <c r="C190" s="4">
        <v>0</v>
      </c>
      <c r="D190" s="4">
        <v>1</v>
      </c>
      <c r="E190" s="4">
        <v>205</v>
      </c>
      <c r="F190" s="4">
        <f>ROUND(Source!S175,O190)</f>
        <v>6437.5</v>
      </c>
      <c r="G190" s="4" t="s">
        <v>172</v>
      </c>
      <c r="H190" s="4" t="s">
        <v>173</v>
      </c>
      <c r="I190" s="4"/>
      <c r="J190" s="4"/>
      <c r="K190" s="4">
        <v>205</v>
      </c>
      <c r="L190" s="4">
        <v>14</v>
      </c>
      <c r="M190" s="4">
        <v>3</v>
      </c>
      <c r="N190" s="4" t="s">
        <v>3</v>
      </c>
      <c r="O190" s="4">
        <v>2</v>
      </c>
      <c r="P190" s="4"/>
      <c r="Q190" s="4"/>
      <c r="R190" s="4"/>
      <c r="S190" s="4"/>
      <c r="T190" s="4"/>
      <c r="U190" s="4"/>
      <c r="V190" s="4"/>
      <c r="W190" s="4">
        <v>6437.5</v>
      </c>
      <c r="X190" s="4">
        <v>1</v>
      </c>
      <c r="Y190" s="4">
        <v>230848.74</v>
      </c>
      <c r="Z190" s="4"/>
      <c r="AA190" s="4"/>
      <c r="AB190" s="4"/>
    </row>
    <row r="191" spans="1:28" x14ac:dyDescent="0.2">
      <c r="A191" s="4">
        <v>50</v>
      </c>
      <c r="B191" s="4">
        <v>0</v>
      </c>
      <c r="C191" s="4">
        <v>0</v>
      </c>
      <c r="D191" s="4">
        <v>1</v>
      </c>
      <c r="E191" s="4">
        <v>232</v>
      </c>
      <c r="F191" s="4">
        <f>ROUND(Source!BC175,O191)</f>
        <v>0</v>
      </c>
      <c r="G191" s="4" t="s">
        <v>174</v>
      </c>
      <c r="H191" s="4" t="s">
        <v>175</v>
      </c>
      <c r="I191" s="4"/>
      <c r="J191" s="4"/>
      <c r="K191" s="4">
        <v>232</v>
      </c>
      <c r="L191" s="4">
        <v>15</v>
      </c>
      <c r="M191" s="4">
        <v>3</v>
      </c>
      <c r="N191" s="4" t="s">
        <v>3</v>
      </c>
      <c r="O191" s="4">
        <v>2</v>
      </c>
      <c r="P191" s="4"/>
      <c r="Q191" s="4"/>
      <c r="R191" s="4"/>
      <c r="S191" s="4"/>
      <c r="T191" s="4"/>
      <c r="U191" s="4"/>
      <c r="V191" s="4"/>
      <c r="W191" s="4">
        <v>0</v>
      </c>
      <c r="X191" s="4">
        <v>1</v>
      </c>
      <c r="Y191" s="4">
        <v>0</v>
      </c>
      <c r="Z191" s="4"/>
      <c r="AA191" s="4"/>
      <c r="AB191" s="4"/>
    </row>
    <row r="192" spans="1:28" x14ac:dyDescent="0.2">
      <c r="A192" s="4">
        <v>50</v>
      </c>
      <c r="B192" s="4">
        <v>0</v>
      </c>
      <c r="C192" s="4">
        <v>0</v>
      </c>
      <c r="D192" s="4">
        <v>1</v>
      </c>
      <c r="E192" s="4">
        <v>214</v>
      </c>
      <c r="F192" s="4">
        <f>ROUND(Source!AS175,O192)</f>
        <v>504696.03</v>
      </c>
      <c r="G192" s="4" t="s">
        <v>176</v>
      </c>
      <c r="H192" s="4" t="s">
        <v>177</v>
      </c>
      <c r="I192" s="4"/>
      <c r="J192" s="4"/>
      <c r="K192" s="4">
        <v>214</v>
      </c>
      <c r="L192" s="4">
        <v>16</v>
      </c>
      <c r="M192" s="4">
        <v>3</v>
      </c>
      <c r="N192" s="4" t="s">
        <v>3</v>
      </c>
      <c r="O192" s="4">
        <v>2</v>
      </c>
      <c r="P192" s="4"/>
      <c r="Q192" s="4"/>
      <c r="R192" s="4"/>
      <c r="S192" s="4"/>
      <c r="T192" s="4"/>
      <c r="U192" s="4"/>
      <c r="V192" s="4"/>
      <c r="W192" s="4">
        <v>504696.03</v>
      </c>
      <c r="X192" s="4">
        <v>1</v>
      </c>
      <c r="Y192" s="4">
        <v>4497266.17</v>
      </c>
      <c r="Z192" s="4"/>
      <c r="AA192" s="4"/>
      <c r="AB192" s="4"/>
    </row>
    <row r="193" spans="1:28" x14ac:dyDescent="0.2">
      <c r="A193" s="4">
        <v>50</v>
      </c>
      <c r="B193" s="4">
        <v>0</v>
      </c>
      <c r="C193" s="4">
        <v>0</v>
      </c>
      <c r="D193" s="4">
        <v>1</v>
      </c>
      <c r="E193" s="4">
        <v>215</v>
      </c>
      <c r="F193" s="4">
        <f>ROUND(Source!AT175,O193)</f>
        <v>0</v>
      </c>
      <c r="G193" s="4" t="s">
        <v>178</v>
      </c>
      <c r="H193" s="4" t="s">
        <v>179</v>
      </c>
      <c r="I193" s="4"/>
      <c r="J193" s="4"/>
      <c r="K193" s="4">
        <v>215</v>
      </c>
      <c r="L193" s="4">
        <v>17</v>
      </c>
      <c r="M193" s="4">
        <v>3</v>
      </c>
      <c r="N193" s="4" t="s">
        <v>3</v>
      </c>
      <c r="O193" s="4">
        <v>2</v>
      </c>
      <c r="P193" s="4"/>
      <c r="Q193" s="4"/>
      <c r="R193" s="4"/>
      <c r="S193" s="4"/>
      <c r="T193" s="4"/>
      <c r="U193" s="4"/>
      <c r="V193" s="4"/>
      <c r="W193" s="4">
        <v>0</v>
      </c>
      <c r="X193" s="4">
        <v>1</v>
      </c>
      <c r="Y193" s="4">
        <v>0</v>
      </c>
      <c r="Z193" s="4"/>
      <c r="AA193" s="4"/>
      <c r="AB193" s="4"/>
    </row>
    <row r="194" spans="1:28" x14ac:dyDescent="0.2">
      <c r="A194" s="4">
        <v>50</v>
      </c>
      <c r="B194" s="4">
        <v>0</v>
      </c>
      <c r="C194" s="4">
        <v>0</v>
      </c>
      <c r="D194" s="4">
        <v>1</v>
      </c>
      <c r="E194" s="4">
        <v>217</v>
      </c>
      <c r="F194" s="4">
        <f>ROUND(Source!AU175,O194)</f>
        <v>0</v>
      </c>
      <c r="G194" s="4" t="s">
        <v>180</v>
      </c>
      <c r="H194" s="4" t="s">
        <v>181</v>
      </c>
      <c r="I194" s="4"/>
      <c r="J194" s="4"/>
      <c r="K194" s="4">
        <v>217</v>
      </c>
      <c r="L194" s="4">
        <v>18</v>
      </c>
      <c r="M194" s="4">
        <v>3</v>
      </c>
      <c r="N194" s="4" t="s">
        <v>3</v>
      </c>
      <c r="O194" s="4">
        <v>2</v>
      </c>
      <c r="P194" s="4"/>
      <c r="Q194" s="4"/>
      <c r="R194" s="4"/>
      <c r="S194" s="4"/>
      <c r="T194" s="4"/>
      <c r="U194" s="4"/>
      <c r="V194" s="4"/>
      <c r="W194" s="4">
        <v>0</v>
      </c>
      <c r="X194" s="4">
        <v>1</v>
      </c>
      <c r="Y194" s="4">
        <v>0</v>
      </c>
      <c r="Z194" s="4"/>
      <c r="AA194" s="4"/>
      <c r="AB194" s="4"/>
    </row>
    <row r="195" spans="1:28" x14ac:dyDescent="0.2">
      <c r="A195" s="4">
        <v>50</v>
      </c>
      <c r="B195" s="4">
        <v>0</v>
      </c>
      <c r="C195" s="4">
        <v>0</v>
      </c>
      <c r="D195" s="4">
        <v>1</v>
      </c>
      <c r="E195" s="4">
        <v>230</v>
      </c>
      <c r="F195" s="4">
        <f>ROUND(Source!BA175,O195)</f>
        <v>0</v>
      </c>
      <c r="G195" s="4" t="s">
        <v>182</v>
      </c>
      <c r="H195" s="4" t="s">
        <v>183</v>
      </c>
      <c r="I195" s="4"/>
      <c r="J195" s="4"/>
      <c r="K195" s="4">
        <v>230</v>
      </c>
      <c r="L195" s="4">
        <v>19</v>
      </c>
      <c r="M195" s="4">
        <v>3</v>
      </c>
      <c r="N195" s="4" t="s">
        <v>3</v>
      </c>
      <c r="O195" s="4">
        <v>2</v>
      </c>
      <c r="P195" s="4"/>
      <c r="Q195" s="4"/>
      <c r="R195" s="4"/>
      <c r="S195" s="4"/>
      <c r="T195" s="4"/>
      <c r="U195" s="4"/>
      <c r="V195" s="4"/>
      <c r="W195" s="4">
        <v>0</v>
      </c>
      <c r="X195" s="4">
        <v>1</v>
      </c>
      <c r="Y195" s="4">
        <v>0</v>
      </c>
      <c r="Z195" s="4"/>
      <c r="AA195" s="4"/>
      <c r="AB195" s="4"/>
    </row>
    <row r="196" spans="1:28" x14ac:dyDescent="0.2">
      <c r="A196" s="4">
        <v>50</v>
      </c>
      <c r="B196" s="4">
        <v>0</v>
      </c>
      <c r="C196" s="4">
        <v>0</v>
      </c>
      <c r="D196" s="4">
        <v>1</v>
      </c>
      <c r="E196" s="4">
        <v>206</v>
      </c>
      <c r="F196" s="4">
        <f>ROUND(Source!T175,O196)</f>
        <v>0</v>
      </c>
      <c r="G196" s="4" t="s">
        <v>184</v>
      </c>
      <c r="H196" s="4" t="s">
        <v>185</v>
      </c>
      <c r="I196" s="4"/>
      <c r="J196" s="4"/>
      <c r="K196" s="4">
        <v>206</v>
      </c>
      <c r="L196" s="4">
        <v>20</v>
      </c>
      <c r="M196" s="4">
        <v>3</v>
      </c>
      <c r="N196" s="4" t="s">
        <v>3</v>
      </c>
      <c r="O196" s="4">
        <v>2</v>
      </c>
      <c r="P196" s="4"/>
      <c r="Q196" s="4"/>
      <c r="R196" s="4"/>
      <c r="S196" s="4"/>
      <c r="T196" s="4"/>
      <c r="U196" s="4"/>
      <c r="V196" s="4"/>
      <c r="W196" s="4">
        <v>0</v>
      </c>
      <c r="X196" s="4">
        <v>1</v>
      </c>
      <c r="Y196" s="4">
        <v>0</v>
      </c>
      <c r="Z196" s="4"/>
      <c r="AA196" s="4"/>
      <c r="AB196" s="4"/>
    </row>
    <row r="197" spans="1:28" x14ac:dyDescent="0.2">
      <c r="A197" s="4">
        <v>50</v>
      </c>
      <c r="B197" s="4">
        <v>0</v>
      </c>
      <c r="C197" s="4">
        <v>0</v>
      </c>
      <c r="D197" s="4">
        <v>1</v>
      </c>
      <c r="E197" s="4">
        <v>207</v>
      </c>
      <c r="F197" s="4">
        <f>Source!U175</f>
        <v>837.1282369999999</v>
      </c>
      <c r="G197" s="4" t="s">
        <v>186</v>
      </c>
      <c r="H197" s="4" t="s">
        <v>187</v>
      </c>
      <c r="I197" s="4"/>
      <c r="J197" s="4"/>
      <c r="K197" s="4">
        <v>207</v>
      </c>
      <c r="L197" s="4">
        <v>21</v>
      </c>
      <c r="M197" s="4">
        <v>3</v>
      </c>
      <c r="N197" s="4" t="s">
        <v>3</v>
      </c>
      <c r="O197" s="4">
        <v>-1</v>
      </c>
      <c r="P197" s="4"/>
      <c r="Q197" s="4"/>
      <c r="R197" s="4"/>
      <c r="S197" s="4"/>
      <c r="T197" s="4"/>
      <c r="U197" s="4"/>
      <c r="V197" s="4"/>
      <c r="W197" s="4">
        <v>837.1282369999999</v>
      </c>
      <c r="X197" s="4">
        <v>1</v>
      </c>
      <c r="Y197" s="4">
        <v>837.1282369999999</v>
      </c>
      <c r="Z197" s="4"/>
      <c r="AA197" s="4"/>
      <c r="AB197" s="4"/>
    </row>
    <row r="198" spans="1:28" x14ac:dyDescent="0.2">
      <c r="A198" s="4">
        <v>50</v>
      </c>
      <c r="B198" s="4">
        <v>0</v>
      </c>
      <c r="C198" s="4">
        <v>0</v>
      </c>
      <c r="D198" s="4">
        <v>1</v>
      </c>
      <c r="E198" s="4">
        <v>208</v>
      </c>
      <c r="F198" s="4">
        <f>Source!V175</f>
        <v>26.31737</v>
      </c>
      <c r="G198" s="4" t="s">
        <v>188</v>
      </c>
      <c r="H198" s="4" t="s">
        <v>189</v>
      </c>
      <c r="I198" s="4"/>
      <c r="J198" s="4"/>
      <c r="K198" s="4">
        <v>208</v>
      </c>
      <c r="L198" s="4">
        <v>22</v>
      </c>
      <c r="M198" s="4">
        <v>3</v>
      </c>
      <c r="N198" s="4" t="s">
        <v>3</v>
      </c>
      <c r="O198" s="4">
        <v>-1</v>
      </c>
      <c r="P198" s="4"/>
      <c r="Q198" s="4"/>
      <c r="R198" s="4"/>
      <c r="S198" s="4"/>
      <c r="T198" s="4"/>
      <c r="U198" s="4"/>
      <c r="V198" s="4"/>
      <c r="W198" s="4">
        <v>26.31737</v>
      </c>
      <c r="X198" s="4">
        <v>1</v>
      </c>
      <c r="Y198" s="4">
        <v>26.31737</v>
      </c>
      <c r="Z198" s="4"/>
      <c r="AA198" s="4"/>
      <c r="AB198" s="4"/>
    </row>
    <row r="199" spans="1:28" x14ac:dyDescent="0.2">
      <c r="A199" s="4">
        <v>50</v>
      </c>
      <c r="B199" s="4">
        <v>0</v>
      </c>
      <c r="C199" s="4">
        <v>0</v>
      </c>
      <c r="D199" s="4">
        <v>1</v>
      </c>
      <c r="E199" s="4">
        <v>209</v>
      </c>
      <c r="F199" s="4">
        <f>ROUND(Source!W175,O199)</f>
        <v>0</v>
      </c>
      <c r="G199" s="4" t="s">
        <v>190</v>
      </c>
      <c r="H199" s="4" t="s">
        <v>191</v>
      </c>
      <c r="I199" s="4"/>
      <c r="J199" s="4"/>
      <c r="K199" s="4">
        <v>209</v>
      </c>
      <c r="L199" s="4">
        <v>23</v>
      </c>
      <c r="M199" s="4">
        <v>3</v>
      </c>
      <c r="N199" s="4" t="s">
        <v>3</v>
      </c>
      <c r="O199" s="4">
        <v>2</v>
      </c>
      <c r="P199" s="4"/>
      <c r="Q199" s="4"/>
      <c r="R199" s="4"/>
      <c r="S199" s="4"/>
      <c r="T199" s="4"/>
      <c r="U199" s="4"/>
      <c r="V199" s="4"/>
      <c r="W199" s="4">
        <v>0</v>
      </c>
      <c r="X199" s="4">
        <v>1</v>
      </c>
      <c r="Y199" s="4">
        <v>0</v>
      </c>
      <c r="Z199" s="4"/>
      <c r="AA199" s="4"/>
      <c r="AB199" s="4"/>
    </row>
    <row r="200" spans="1:28" x14ac:dyDescent="0.2">
      <c r="A200" s="4">
        <v>50</v>
      </c>
      <c r="B200" s="4">
        <v>0</v>
      </c>
      <c r="C200" s="4">
        <v>0</v>
      </c>
      <c r="D200" s="4">
        <v>1</v>
      </c>
      <c r="E200" s="4">
        <v>233</v>
      </c>
      <c r="F200" s="4">
        <f>ROUND(Source!BD175,O200)</f>
        <v>0</v>
      </c>
      <c r="G200" s="4" t="s">
        <v>192</v>
      </c>
      <c r="H200" s="4" t="s">
        <v>193</v>
      </c>
      <c r="I200" s="4"/>
      <c r="J200" s="4"/>
      <c r="K200" s="4">
        <v>233</v>
      </c>
      <c r="L200" s="4">
        <v>24</v>
      </c>
      <c r="M200" s="4">
        <v>3</v>
      </c>
      <c r="N200" s="4" t="s">
        <v>3</v>
      </c>
      <c r="O200" s="4">
        <v>2</v>
      </c>
      <c r="P200" s="4"/>
      <c r="Q200" s="4"/>
      <c r="R200" s="4"/>
      <c r="S200" s="4"/>
      <c r="T200" s="4"/>
      <c r="U200" s="4"/>
      <c r="V200" s="4"/>
      <c r="W200" s="4">
        <v>0</v>
      </c>
      <c r="X200" s="4">
        <v>1</v>
      </c>
      <c r="Y200" s="4">
        <v>0</v>
      </c>
      <c r="Z200" s="4"/>
      <c r="AA200" s="4"/>
      <c r="AB200" s="4"/>
    </row>
    <row r="201" spans="1:28" x14ac:dyDescent="0.2">
      <c r="A201" s="4">
        <v>50</v>
      </c>
      <c r="B201" s="4">
        <v>0</v>
      </c>
      <c r="C201" s="4">
        <v>0</v>
      </c>
      <c r="D201" s="4">
        <v>1</v>
      </c>
      <c r="E201" s="4">
        <v>210</v>
      </c>
      <c r="F201" s="4">
        <f>ROUND(Source!X175,O201)</f>
        <v>12724.81</v>
      </c>
      <c r="G201" s="4" t="s">
        <v>194</v>
      </c>
      <c r="H201" s="4" t="s">
        <v>195</v>
      </c>
      <c r="I201" s="4"/>
      <c r="J201" s="4"/>
      <c r="K201" s="4">
        <v>210</v>
      </c>
      <c r="L201" s="4">
        <v>25</v>
      </c>
      <c r="M201" s="4">
        <v>3</v>
      </c>
      <c r="N201" s="4" t="s">
        <v>3</v>
      </c>
      <c r="O201" s="4">
        <v>2</v>
      </c>
      <c r="P201" s="4"/>
      <c r="Q201" s="4"/>
      <c r="R201" s="4"/>
      <c r="S201" s="4"/>
      <c r="T201" s="4"/>
      <c r="U201" s="4"/>
      <c r="V201" s="4"/>
      <c r="W201" s="4">
        <v>12724.81</v>
      </c>
      <c r="X201" s="4">
        <v>1</v>
      </c>
      <c r="Y201" s="4">
        <v>456311.50999999989</v>
      </c>
      <c r="Z201" s="4"/>
      <c r="AA201" s="4"/>
      <c r="AB201" s="4"/>
    </row>
    <row r="202" spans="1:28" x14ac:dyDescent="0.2">
      <c r="A202" s="4">
        <v>50</v>
      </c>
      <c r="B202" s="4">
        <v>0</v>
      </c>
      <c r="C202" s="4">
        <v>0</v>
      </c>
      <c r="D202" s="4">
        <v>1</v>
      </c>
      <c r="E202" s="4">
        <v>211</v>
      </c>
      <c r="F202" s="4">
        <f>ROUND(Source!Y175,O202)</f>
        <v>9368.3799999999992</v>
      </c>
      <c r="G202" s="4" t="s">
        <v>196</v>
      </c>
      <c r="H202" s="4" t="s">
        <v>197</v>
      </c>
      <c r="I202" s="4"/>
      <c r="J202" s="4"/>
      <c r="K202" s="4">
        <v>211</v>
      </c>
      <c r="L202" s="4">
        <v>26</v>
      </c>
      <c r="M202" s="4">
        <v>3</v>
      </c>
      <c r="N202" s="4" t="s">
        <v>3</v>
      </c>
      <c r="O202" s="4">
        <v>2</v>
      </c>
      <c r="P202" s="4"/>
      <c r="Q202" s="4"/>
      <c r="R202" s="4"/>
      <c r="S202" s="4"/>
      <c r="T202" s="4"/>
      <c r="U202" s="4"/>
      <c r="V202" s="4"/>
      <c r="W202" s="4">
        <v>9368.3799999999992</v>
      </c>
      <c r="X202" s="4">
        <v>1</v>
      </c>
      <c r="Y202" s="4">
        <v>335950.25</v>
      </c>
      <c r="Z202" s="4"/>
      <c r="AA202" s="4"/>
      <c r="AB202" s="4"/>
    </row>
    <row r="203" spans="1:28" x14ac:dyDescent="0.2">
      <c r="A203" s="4">
        <v>50</v>
      </c>
      <c r="B203" s="4">
        <v>0</v>
      </c>
      <c r="C203" s="4">
        <v>0</v>
      </c>
      <c r="D203" s="4">
        <v>1</v>
      </c>
      <c r="E203" s="4">
        <v>224</v>
      </c>
      <c r="F203" s="4">
        <f>ROUND(Source!AR175,O203)</f>
        <v>504696.03</v>
      </c>
      <c r="G203" s="4" t="s">
        <v>198</v>
      </c>
      <c r="H203" s="4" t="s">
        <v>199</v>
      </c>
      <c r="I203" s="4"/>
      <c r="J203" s="4"/>
      <c r="K203" s="4">
        <v>224</v>
      </c>
      <c r="L203" s="4">
        <v>27</v>
      </c>
      <c r="M203" s="4">
        <v>3</v>
      </c>
      <c r="N203" s="4" t="s">
        <v>3</v>
      </c>
      <c r="O203" s="4">
        <v>2</v>
      </c>
      <c r="P203" s="4"/>
      <c r="Q203" s="4"/>
      <c r="R203" s="4"/>
      <c r="S203" s="4"/>
      <c r="T203" s="4"/>
      <c r="U203" s="4"/>
      <c r="V203" s="4"/>
      <c r="W203" s="4">
        <v>481142.02999999997</v>
      </c>
      <c r="X203" s="4">
        <v>1</v>
      </c>
      <c r="Y203" s="4">
        <v>4497266.17</v>
      </c>
      <c r="Z203" s="4"/>
      <c r="AA203" s="4"/>
      <c r="AB203" s="4"/>
    </row>
    <row r="206" spans="1:28" x14ac:dyDescent="0.2">
      <c r="A206">
        <v>70</v>
      </c>
      <c r="B206">
        <v>1</v>
      </c>
      <c r="D206">
        <v>1</v>
      </c>
      <c r="E206" t="s">
        <v>252</v>
      </c>
      <c r="F206" t="s">
        <v>253</v>
      </c>
      <c r="G206">
        <v>0</v>
      </c>
      <c r="H206">
        <v>0</v>
      </c>
      <c r="I206" t="s">
        <v>3</v>
      </c>
      <c r="J206">
        <v>1</v>
      </c>
      <c r="K206">
        <v>0</v>
      </c>
      <c r="L206" t="s">
        <v>3</v>
      </c>
      <c r="M206" t="s">
        <v>3</v>
      </c>
      <c r="N206">
        <v>0</v>
      </c>
      <c r="P206" t="s">
        <v>254</v>
      </c>
    </row>
    <row r="207" spans="1:28" x14ac:dyDescent="0.2">
      <c r="A207">
        <v>70</v>
      </c>
      <c r="B207">
        <v>1</v>
      </c>
      <c r="D207">
        <v>2</v>
      </c>
      <c r="E207" t="s">
        <v>255</v>
      </c>
      <c r="F207" t="s">
        <v>256</v>
      </c>
      <c r="G207">
        <v>0</v>
      </c>
      <c r="H207">
        <v>0</v>
      </c>
      <c r="I207" t="s">
        <v>3</v>
      </c>
      <c r="J207">
        <v>1</v>
      </c>
      <c r="K207">
        <v>0</v>
      </c>
      <c r="L207" t="s">
        <v>3</v>
      </c>
      <c r="M207" t="s">
        <v>3</v>
      </c>
      <c r="N207">
        <v>0</v>
      </c>
      <c r="P207" t="s">
        <v>257</v>
      </c>
    </row>
    <row r="208" spans="1:28" x14ac:dyDescent="0.2">
      <c r="A208">
        <v>70</v>
      </c>
      <c r="B208">
        <v>1</v>
      </c>
      <c r="D208">
        <v>3</v>
      </c>
      <c r="E208" t="s">
        <v>258</v>
      </c>
      <c r="F208" t="s">
        <v>259</v>
      </c>
      <c r="G208">
        <v>1</v>
      </c>
      <c r="H208">
        <v>0</v>
      </c>
      <c r="I208" t="s">
        <v>3</v>
      </c>
      <c r="J208">
        <v>1</v>
      </c>
      <c r="K208">
        <v>0</v>
      </c>
      <c r="L208" t="s">
        <v>3</v>
      </c>
      <c r="M208" t="s">
        <v>3</v>
      </c>
      <c r="N208">
        <v>0</v>
      </c>
      <c r="P208" t="s">
        <v>260</v>
      </c>
    </row>
    <row r="209" spans="1:16" x14ac:dyDescent="0.2">
      <c r="A209">
        <v>70</v>
      </c>
      <c r="B209">
        <v>1</v>
      </c>
      <c r="D209">
        <v>4</v>
      </c>
      <c r="E209" t="s">
        <v>261</v>
      </c>
      <c r="F209" t="s">
        <v>262</v>
      </c>
      <c r="G209">
        <v>1</v>
      </c>
      <c r="H209">
        <v>0</v>
      </c>
      <c r="I209" t="s">
        <v>3</v>
      </c>
      <c r="J209">
        <v>2</v>
      </c>
      <c r="K209">
        <v>0</v>
      </c>
      <c r="L209" t="s">
        <v>3</v>
      </c>
      <c r="M209" t="s">
        <v>3</v>
      </c>
      <c r="N209">
        <v>0</v>
      </c>
      <c r="P209" t="s">
        <v>3</v>
      </c>
    </row>
    <row r="210" spans="1:16" x14ac:dyDescent="0.2">
      <c r="A210">
        <v>70</v>
      </c>
      <c r="B210">
        <v>1</v>
      </c>
      <c r="D210">
        <v>5</v>
      </c>
      <c r="E210" t="s">
        <v>263</v>
      </c>
      <c r="F210" t="s">
        <v>264</v>
      </c>
      <c r="G210">
        <v>0</v>
      </c>
      <c r="H210">
        <v>0</v>
      </c>
      <c r="I210" t="s">
        <v>3</v>
      </c>
      <c r="J210">
        <v>2</v>
      </c>
      <c r="K210">
        <v>0</v>
      </c>
      <c r="L210" t="s">
        <v>3</v>
      </c>
      <c r="M210" t="s">
        <v>3</v>
      </c>
      <c r="N210">
        <v>0</v>
      </c>
      <c r="P210" t="s">
        <v>3</v>
      </c>
    </row>
    <row r="211" spans="1:16" x14ac:dyDescent="0.2">
      <c r="A211">
        <v>70</v>
      </c>
      <c r="B211">
        <v>1</v>
      </c>
      <c r="D211">
        <v>6</v>
      </c>
      <c r="E211" t="s">
        <v>265</v>
      </c>
      <c r="F211" t="s">
        <v>266</v>
      </c>
      <c r="G211">
        <v>0</v>
      </c>
      <c r="H211">
        <v>0</v>
      </c>
      <c r="I211" t="s">
        <v>3</v>
      </c>
      <c r="J211">
        <v>2</v>
      </c>
      <c r="K211">
        <v>0</v>
      </c>
      <c r="L211" t="s">
        <v>3</v>
      </c>
      <c r="M211" t="s">
        <v>3</v>
      </c>
      <c r="N211">
        <v>0</v>
      </c>
      <c r="P211" t="s">
        <v>3</v>
      </c>
    </row>
    <row r="212" spans="1:16" x14ac:dyDescent="0.2">
      <c r="A212">
        <v>70</v>
      </c>
      <c r="B212">
        <v>1</v>
      </c>
      <c r="D212">
        <v>7</v>
      </c>
      <c r="E212" t="s">
        <v>267</v>
      </c>
      <c r="F212" t="s">
        <v>268</v>
      </c>
      <c r="G212">
        <v>0</v>
      </c>
      <c r="H212">
        <v>0</v>
      </c>
      <c r="I212" t="s">
        <v>269</v>
      </c>
      <c r="J212">
        <v>0</v>
      </c>
      <c r="K212">
        <v>0</v>
      </c>
      <c r="L212" t="s">
        <v>3</v>
      </c>
      <c r="M212" t="s">
        <v>3</v>
      </c>
      <c r="N212">
        <v>0</v>
      </c>
      <c r="P212" t="s">
        <v>270</v>
      </c>
    </row>
    <row r="213" spans="1:16" x14ac:dyDescent="0.2">
      <c r="A213">
        <v>70</v>
      </c>
      <c r="B213">
        <v>1</v>
      </c>
      <c r="D213">
        <v>8</v>
      </c>
      <c r="E213" t="s">
        <v>271</v>
      </c>
      <c r="F213" t="s">
        <v>272</v>
      </c>
      <c r="G213">
        <v>0</v>
      </c>
      <c r="H213">
        <v>0</v>
      </c>
      <c r="I213" t="s">
        <v>273</v>
      </c>
      <c r="J213">
        <v>0</v>
      </c>
      <c r="K213">
        <v>0</v>
      </c>
      <c r="L213" t="s">
        <v>3</v>
      </c>
      <c r="M213" t="s">
        <v>3</v>
      </c>
      <c r="N213">
        <v>0</v>
      </c>
      <c r="P213" t="s">
        <v>271</v>
      </c>
    </row>
    <row r="214" spans="1:16" x14ac:dyDescent="0.2">
      <c r="A214">
        <v>70</v>
      </c>
      <c r="B214">
        <v>1</v>
      </c>
      <c r="D214">
        <v>9</v>
      </c>
      <c r="E214" t="s">
        <v>274</v>
      </c>
      <c r="F214" t="s">
        <v>275</v>
      </c>
      <c r="G214">
        <v>0</v>
      </c>
      <c r="H214">
        <v>0</v>
      </c>
      <c r="I214" t="s">
        <v>276</v>
      </c>
      <c r="J214">
        <v>0</v>
      </c>
      <c r="K214">
        <v>0</v>
      </c>
      <c r="L214" t="s">
        <v>3</v>
      </c>
      <c r="M214" t="s">
        <v>3</v>
      </c>
      <c r="N214">
        <v>0</v>
      </c>
      <c r="P214" t="s">
        <v>277</v>
      </c>
    </row>
    <row r="215" spans="1:16" x14ac:dyDescent="0.2">
      <c r="A215">
        <v>70</v>
      </c>
      <c r="B215">
        <v>1</v>
      </c>
      <c r="D215">
        <v>10</v>
      </c>
      <c r="E215" t="s">
        <v>278</v>
      </c>
      <c r="F215" t="s">
        <v>279</v>
      </c>
      <c r="G215">
        <v>0</v>
      </c>
      <c r="H215">
        <v>0</v>
      </c>
      <c r="I215" t="s">
        <v>280</v>
      </c>
      <c r="J215">
        <v>0</v>
      </c>
      <c r="K215">
        <v>0</v>
      </c>
      <c r="L215" t="s">
        <v>3</v>
      </c>
      <c r="M215" t="s">
        <v>3</v>
      </c>
      <c r="N215">
        <v>0</v>
      </c>
      <c r="P215" t="s">
        <v>281</v>
      </c>
    </row>
    <row r="216" spans="1:16" x14ac:dyDescent="0.2">
      <c r="A216">
        <v>70</v>
      </c>
      <c r="B216">
        <v>1</v>
      </c>
      <c r="D216">
        <v>11</v>
      </c>
      <c r="E216" t="s">
        <v>282</v>
      </c>
      <c r="F216" t="s">
        <v>283</v>
      </c>
      <c r="G216">
        <v>0</v>
      </c>
      <c r="H216">
        <v>0</v>
      </c>
      <c r="I216" t="s">
        <v>284</v>
      </c>
      <c r="J216">
        <v>0</v>
      </c>
      <c r="K216">
        <v>0</v>
      </c>
      <c r="L216" t="s">
        <v>3</v>
      </c>
      <c r="M216" t="s">
        <v>3</v>
      </c>
      <c r="N216">
        <v>0</v>
      </c>
      <c r="P216" t="s">
        <v>285</v>
      </c>
    </row>
    <row r="217" spans="1:16" x14ac:dyDescent="0.2">
      <c r="A217">
        <v>70</v>
      </c>
      <c r="B217">
        <v>1</v>
      </c>
      <c r="D217">
        <v>12</v>
      </c>
      <c r="E217" t="s">
        <v>286</v>
      </c>
      <c r="F217" t="s">
        <v>287</v>
      </c>
      <c r="G217">
        <v>0</v>
      </c>
      <c r="H217">
        <v>0</v>
      </c>
      <c r="I217" t="s">
        <v>3</v>
      </c>
      <c r="J217">
        <v>0</v>
      </c>
      <c r="K217">
        <v>0</v>
      </c>
      <c r="L217" t="s">
        <v>3</v>
      </c>
      <c r="M217" t="s">
        <v>3</v>
      </c>
      <c r="N217">
        <v>0</v>
      </c>
      <c r="P217" t="s">
        <v>288</v>
      </c>
    </row>
    <row r="218" spans="1:16" x14ac:dyDescent="0.2">
      <c r="A218">
        <v>70</v>
      </c>
      <c r="B218">
        <v>1</v>
      </c>
      <c r="D218">
        <v>1</v>
      </c>
      <c r="E218" t="s">
        <v>289</v>
      </c>
      <c r="F218" t="s">
        <v>290</v>
      </c>
      <c r="G218">
        <v>0.9</v>
      </c>
      <c r="H218">
        <v>1</v>
      </c>
      <c r="I218" t="s">
        <v>291</v>
      </c>
      <c r="J218">
        <v>0</v>
      </c>
      <c r="K218">
        <v>0</v>
      </c>
      <c r="L218" t="s">
        <v>3</v>
      </c>
      <c r="M218" t="s">
        <v>3</v>
      </c>
      <c r="N218">
        <v>0</v>
      </c>
      <c r="P218" t="s">
        <v>292</v>
      </c>
    </row>
    <row r="219" spans="1:16" x14ac:dyDescent="0.2">
      <c r="A219">
        <v>70</v>
      </c>
      <c r="B219">
        <v>1</v>
      </c>
      <c r="D219">
        <v>2</v>
      </c>
      <c r="E219" t="s">
        <v>293</v>
      </c>
      <c r="F219" t="s">
        <v>294</v>
      </c>
      <c r="G219">
        <v>0.85</v>
      </c>
      <c r="H219">
        <v>1</v>
      </c>
      <c r="I219" t="s">
        <v>295</v>
      </c>
      <c r="J219">
        <v>0</v>
      </c>
      <c r="K219">
        <v>0</v>
      </c>
      <c r="L219" t="s">
        <v>3</v>
      </c>
      <c r="M219" t="s">
        <v>3</v>
      </c>
      <c r="N219">
        <v>0</v>
      </c>
      <c r="P219" t="s">
        <v>296</v>
      </c>
    </row>
    <row r="220" spans="1:16" x14ac:dyDescent="0.2">
      <c r="A220">
        <v>70</v>
      </c>
      <c r="B220">
        <v>1</v>
      </c>
      <c r="D220">
        <v>3</v>
      </c>
      <c r="E220" t="s">
        <v>297</v>
      </c>
      <c r="F220" t="s">
        <v>298</v>
      </c>
      <c r="G220">
        <v>1.03</v>
      </c>
      <c r="H220">
        <v>0</v>
      </c>
      <c r="I220" t="s">
        <v>3</v>
      </c>
      <c r="J220">
        <v>0</v>
      </c>
      <c r="K220">
        <v>0</v>
      </c>
      <c r="L220" t="s">
        <v>3</v>
      </c>
      <c r="M220" t="s">
        <v>3</v>
      </c>
      <c r="N220">
        <v>0</v>
      </c>
      <c r="P220" t="s">
        <v>299</v>
      </c>
    </row>
    <row r="221" spans="1:16" x14ac:dyDescent="0.2">
      <c r="A221">
        <v>70</v>
      </c>
      <c r="B221">
        <v>1</v>
      </c>
      <c r="D221">
        <v>4</v>
      </c>
      <c r="E221" t="s">
        <v>300</v>
      </c>
      <c r="F221" t="s">
        <v>301</v>
      </c>
      <c r="G221">
        <v>1.0900000000000001</v>
      </c>
      <c r="H221">
        <v>0</v>
      </c>
      <c r="I221" t="s">
        <v>3</v>
      </c>
      <c r="J221">
        <v>0</v>
      </c>
      <c r="K221">
        <v>0</v>
      </c>
      <c r="L221" t="s">
        <v>3</v>
      </c>
      <c r="M221" t="s">
        <v>3</v>
      </c>
      <c r="N221">
        <v>0</v>
      </c>
      <c r="P221" t="s">
        <v>302</v>
      </c>
    </row>
    <row r="222" spans="1:16" x14ac:dyDescent="0.2">
      <c r="A222">
        <v>70</v>
      </c>
      <c r="B222">
        <v>1</v>
      </c>
      <c r="D222">
        <v>5</v>
      </c>
      <c r="E222" t="s">
        <v>303</v>
      </c>
      <c r="F222" t="s">
        <v>304</v>
      </c>
      <c r="G222">
        <v>7</v>
      </c>
      <c r="H222">
        <v>0</v>
      </c>
      <c r="I222" t="s">
        <v>3</v>
      </c>
      <c r="J222">
        <v>0</v>
      </c>
      <c r="K222">
        <v>0</v>
      </c>
      <c r="L222" t="s">
        <v>3</v>
      </c>
      <c r="M222" t="s">
        <v>3</v>
      </c>
      <c r="N222">
        <v>0</v>
      </c>
      <c r="P222" t="s">
        <v>3</v>
      </c>
    </row>
    <row r="223" spans="1:16" x14ac:dyDescent="0.2">
      <c r="A223">
        <v>70</v>
      </c>
      <c r="B223">
        <v>1</v>
      </c>
      <c r="D223">
        <v>6</v>
      </c>
      <c r="E223" t="s">
        <v>305</v>
      </c>
      <c r="F223" t="s">
        <v>3</v>
      </c>
      <c r="G223">
        <v>2</v>
      </c>
      <c r="H223">
        <v>0</v>
      </c>
      <c r="I223" t="s">
        <v>3</v>
      </c>
      <c r="J223">
        <v>0</v>
      </c>
      <c r="K223">
        <v>0</v>
      </c>
      <c r="L223" t="s">
        <v>3</v>
      </c>
      <c r="M223" t="s">
        <v>3</v>
      </c>
      <c r="N223">
        <v>0</v>
      </c>
      <c r="P223" t="s">
        <v>3</v>
      </c>
    </row>
    <row r="225" spans="1:40" x14ac:dyDescent="0.2">
      <c r="A225">
        <v>-1</v>
      </c>
    </row>
    <row r="227" spans="1:40" x14ac:dyDescent="0.2">
      <c r="A227" s="3">
        <v>75</v>
      </c>
      <c r="B227" s="3" t="s">
        <v>306</v>
      </c>
      <c r="C227" s="3">
        <v>2021</v>
      </c>
      <c r="D227" s="3">
        <v>3</v>
      </c>
      <c r="E227" s="3">
        <v>0</v>
      </c>
      <c r="F227" s="3"/>
      <c r="G227" s="3">
        <v>0</v>
      </c>
      <c r="H227" s="3">
        <v>1</v>
      </c>
      <c r="I227" s="3">
        <v>0</v>
      </c>
      <c r="J227" s="3">
        <v>1</v>
      </c>
      <c r="K227" s="3">
        <v>0</v>
      </c>
      <c r="L227" s="3">
        <v>0</v>
      </c>
      <c r="M227" s="3">
        <v>0</v>
      </c>
      <c r="N227" s="3">
        <v>29836452</v>
      </c>
      <c r="O227" s="3">
        <v>1</v>
      </c>
    </row>
    <row r="228" spans="1:40" x14ac:dyDescent="0.2">
      <c r="A228" s="5">
        <v>3</v>
      </c>
      <c r="B228" s="5" t="s">
        <v>307</v>
      </c>
      <c r="C228" s="5">
        <v>10.63</v>
      </c>
      <c r="D228" s="5">
        <v>7.26</v>
      </c>
      <c r="E228" s="5">
        <v>10.63</v>
      </c>
      <c r="F228" s="5">
        <v>35.86</v>
      </c>
      <c r="G228" s="5">
        <v>35.86</v>
      </c>
      <c r="H228" s="5">
        <v>1</v>
      </c>
      <c r="I228" s="5">
        <v>1</v>
      </c>
      <c r="J228" s="5">
        <v>2</v>
      </c>
      <c r="K228" s="5">
        <v>1</v>
      </c>
      <c r="L228" s="5">
        <v>1</v>
      </c>
      <c r="M228" s="5">
        <v>10.63</v>
      </c>
      <c r="N228" s="5">
        <v>7.26</v>
      </c>
      <c r="O228" s="5">
        <v>1</v>
      </c>
      <c r="P228" s="5">
        <v>1</v>
      </c>
      <c r="Q228" s="5">
        <v>1</v>
      </c>
      <c r="R228" s="5">
        <v>1</v>
      </c>
      <c r="S228" s="5" t="s">
        <v>29</v>
      </c>
      <c r="T228" s="5" t="s">
        <v>3</v>
      </c>
      <c r="U228" s="5" t="s">
        <v>3</v>
      </c>
      <c r="V228" s="5" t="s">
        <v>3</v>
      </c>
      <c r="W228" s="5" t="s">
        <v>3</v>
      </c>
      <c r="X228" s="5" t="s">
        <v>3</v>
      </c>
      <c r="Y228" s="5" t="s">
        <v>3</v>
      </c>
      <c r="Z228" s="5" t="s">
        <v>3</v>
      </c>
      <c r="AA228" s="5" t="s">
        <v>3</v>
      </c>
      <c r="AB228" s="5" t="s">
        <v>3</v>
      </c>
      <c r="AC228" s="5" t="s">
        <v>3</v>
      </c>
      <c r="AD228" s="5" t="s">
        <v>3</v>
      </c>
      <c r="AE228" s="5" t="s">
        <v>3</v>
      </c>
      <c r="AF228" s="5" t="s">
        <v>3</v>
      </c>
      <c r="AG228" s="5" t="s">
        <v>3</v>
      </c>
      <c r="AH228" s="5" t="s">
        <v>3</v>
      </c>
      <c r="AI228" s="5"/>
      <c r="AJ228" s="5"/>
      <c r="AK228" s="5"/>
      <c r="AL228" s="5"/>
      <c r="AM228" s="5"/>
      <c r="AN228" s="5">
        <v>29836453</v>
      </c>
    </row>
    <row r="232" spans="1:40" x14ac:dyDescent="0.2">
      <c r="A232">
        <v>65</v>
      </c>
      <c r="C232">
        <v>1</v>
      </c>
      <c r="D232">
        <v>0</v>
      </c>
      <c r="E232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308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53092</v>
      </c>
      <c r="M1">
        <v>10</v>
      </c>
      <c r="N1">
        <v>11</v>
      </c>
      <c r="O1">
        <v>3</v>
      </c>
      <c r="P1">
        <v>2</v>
      </c>
      <c r="Q1">
        <v>5</v>
      </c>
    </row>
    <row r="12" spans="1:133" x14ac:dyDescent="0.2">
      <c r="A12" s="1">
        <v>1</v>
      </c>
      <c r="B12" s="1">
        <v>51</v>
      </c>
      <c r="C12" s="1">
        <v>0</v>
      </c>
      <c r="D12" s="1"/>
      <c r="E12" s="1">
        <v>0</v>
      </c>
      <c r="F12" s="1" t="s">
        <v>4</v>
      </c>
      <c r="G12" s="1" t="s">
        <v>5</v>
      </c>
      <c r="H12" s="1" t="s">
        <v>3</v>
      </c>
      <c r="I12" s="1">
        <v>0</v>
      </c>
      <c r="J12" s="1" t="s">
        <v>3</v>
      </c>
      <c r="K12" s="1">
        <v>0</v>
      </c>
      <c r="L12" s="1">
        <v>0</v>
      </c>
      <c r="M12" s="1">
        <v>131078</v>
      </c>
      <c r="N12" s="1"/>
      <c r="O12" s="1">
        <v>0</v>
      </c>
      <c r="P12" s="1">
        <v>0</v>
      </c>
      <c r="Q12" s="1">
        <v>0</v>
      </c>
      <c r="R12" s="1">
        <v>0</v>
      </c>
      <c r="S12" s="1"/>
      <c r="T12" s="1">
        <v>3</v>
      </c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6</v>
      </c>
      <c r="AC12" s="1" t="s">
        <v>7</v>
      </c>
      <c r="AD12" s="1" t="s">
        <v>8</v>
      </c>
      <c r="AE12" s="1" t="s">
        <v>9</v>
      </c>
      <c r="AF12" s="1" t="s">
        <v>10</v>
      </c>
      <c r="AG12" s="1" t="s">
        <v>11</v>
      </c>
      <c r="AH12" s="1" t="s">
        <v>10</v>
      </c>
      <c r="AI12" s="1" t="s">
        <v>11</v>
      </c>
      <c r="AJ12" s="1" t="s">
        <v>12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13</v>
      </c>
      <c r="AY12" s="1" t="s">
        <v>3</v>
      </c>
      <c r="AZ12" s="1" t="s">
        <v>3</v>
      </c>
      <c r="BA12" s="1"/>
      <c r="BB12" s="1">
        <v>2</v>
      </c>
      <c r="BC12" s="1"/>
      <c r="BD12" s="1"/>
      <c r="BE12" s="1"/>
      <c r="BF12" s="1"/>
      <c r="BG12" s="1"/>
      <c r="BH12" s="1" t="s">
        <v>14</v>
      </c>
      <c r="BI12" s="1" t="s">
        <v>15</v>
      </c>
      <c r="BJ12" s="1">
        <v>1</v>
      </c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0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16</v>
      </c>
      <c r="BZ12" s="1" t="s">
        <v>17</v>
      </c>
      <c r="CA12" s="1" t="s">
        <v>16</v>
      </c>
      <c r="CB12" s="1" t="s">
        <v>16</v>
      </c>
      <c r="CC12" s="1" t="s">
        <v>16</v>
      </c>
      <c r="CD12" s="1" t="s">
        <v>16</v>
      </c>
      <c r="CE12" s="1" t="s">
        <v>18</v>
      </c>
      <c r="CF12" s="1">
        <v>0</v>
      </c>
      <c r="CG12" s="1">
        <v>0</v>
      </c>
      <c r="CH12" s="1">
        <v>405602312</v>
      </c>
      <c r="CI12" s="1" t="s">
        <v>3</v>
      </c>
      <c r="CJ12" s="1" t="s">
        <v>3</v>
      </c>
      <c r="CK12" s="1">
        <v>0</v>
      </c>
      <c r="CL12" s="1" t="s">
        <v>19</v>
      </c>
      <c r="CM12" s="1" t="s">
        <v>20</v>
      </c>
      <c r="CN12" s="1">
        <v>43006</v>
      </c>
      <c r="CO12" s="1">
        <v>853</v>
      </c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29836452</v>
      </c>
      <c r="E14" s="1">
        <v>0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6">
        <v>3</v>
      </c>
      <c r="B16" s="6">
        <v>1</v>
      </c>
      <c r="C16" s="6" t="s">
        <v>3</v>
      </c>
      <c r="D16" s="6" t="s">
        <v>21</v>
      </c>
      <c r="E16" s="7">
        <v>4497.2661699999999</v>
      </c>
      <c r="F16" s="7">
        <v>0</v>
      </c>
      <c r="G16" s="7">
        <v>0</v>
      </c>
      <c r="H16" s="7">
        <v>0</v>
      </c>
      <c r="I16" s="7">
        <v>4497.2661699999999</v>
      </c>
      <c r="J16" s="7">
        <v>230.84873999999999</v>
      </c>
      <c r="AI16" s="6">
        <v>0</v>
      </c>
      <c r="AJ16" s="6">
        <v>-1</v>
      </c>
      <c r="AK16" s="6" t="s">
        <v>3</v>
      </c>
      <c r="AL16" s="6" t="s">
        <v>3</v>
      </c>
      <c r="AM16" s="6" t="s">
        <v>3</v>
      </c>
      <c r="AN16" s="6">
        <v>0</v>
      </c>
      <c r="AO16" s="6" t="s">
        <v>3</v>
      </c>
      <c r="AP16" s="6" t="s">
        <v>3</v>
      </c>
      <c r="AT16" s="7">
        <v>3705004.4099999997</v>
      </c>
      <c r="AU16" s="7">
        <v>0</v>
      </c>
      <c r="AV16" s="7">
        <v>0</v>
      </c>
      <c r="AW16" s="7">
        <v>0</v>
      </c>
      <c r="AX16" s="7">
        <v>0</v>
      </c>
      <c r="AY16" s="7">
        <v>593631.39</v>
      </c>
      <c r="AZ16" s="7">
        <v>140651.16</v>
      </c>
      <c r="BA16" s="7">
        <v>230848.74</v>
      </c>
      <c r="BB16" s="7">
        <v>4497266.17</v>
      </c>
      <c r="BC16" s="7">
        <v>0</v>
      </c>
      <c r="BD16" s="7">
        <v>0</v>
      </c>
      <c r="BE16" s="7">
        <v>0</v>
      </c>
      <c r="BF16" s="7">
        <v>837.1282369999999</v>
      </c>
      <c r="BG16" s="7">
        <v>26.31737</v>
      </c>
      <c r="BH16" s="7">
        <v>0</v>
      </c>
      <c r="BI16" s="7">
        <v>456311.51</v>
      </c>
      <c r="BJ16" s="7">
        <v>335950.25</v>
      </c>
      <c r="BK16" s="7">
        <v>4497266.17</v>
      </c>
    </row>
    <row r="18" spans="1:19" x14ac:dyDescent="0.2">
      <c r="A18">
        <v>51</v>
      </c>
      <c r="E18" s="8">
        <f>SUMIF(A16:A17,3,E16:E17)</f>
        <v>4497.2661699999999</v>
      </c>
      <c r="F18" s="8">
        <f>SUMIF(A16:A17,3,F16:F17)</f>
        <v>0</v>
      </c>
      <c r="G18" s="8">
        <f>SUMIF(A16:A17,3,G16:G17)</f>
        <v>0</v>
      </c>
      <c r="H18" s="8">
        <f>SUMIF(A16:A17,3,H16:H17)</f>
        <v>0</v>
      </c>
      <c r="I18" s="8">
        <f>SUMIF(A16:A17,3,I16:I17)</f>
        <v>4497.2661699999999</v>
      </c>
      <c r="J18" s="8">
        <f>SUMIF(A16:A17,3,J16:J17)</f>
        <v>230.84873999999999</v>
      </c>
      <c r="K18" s="8"/>
      <c r="L18" s="8"/>
      <c r="M18" s="8"/>
      <c r="N18" s="8"/>
      <c r="O18" s="8"/>
      <c r="P18" s="8"/>
      <c r="Q18" s="8"/>
      <c r="R18" s="8"/>
      <c r="S18" s="8"/>
    </row>
    <row r="20" spans="1:19" x14ac:dyDescent="0.2">
      <c r="A20" s="4">
        <v>50</v>
      </c>
      <c r="B20" s="4">
        <v>0</v>
      </c>
      <c r="C20" s="4">
        <v>0</v>
      </c>
      <c r="D20" s="4">
        <v>1</v>
      </c>
      <c r="E20" s="4">
        <v>201</v>
      </c>
      <c r="F20" s="4">
        <v>3705004.4099999997</v>
      </c>
      <c r="G20" s="4" t="s">
        <v>146</v>
      </c>
      <c r="H20" s="4" t="s">
        <v>147</v>
      </c>
      <c r="I20" s="4"/>
      <c r="J20" s="4"/>
      <c r="K20" s="4">
        <v>201</v>
      </c>
      <c r="L20" s="4">
        <v>1</v>
      </c>
      <c r="M20" s="4">
        <v>3</v>
      </c>
      <c r="N20" s="4" t="s">
        <v>3</v>
      </c>
      <c r="O20" s="4">
        <v>2</v>
      </c>
      <c r="P20" s="4"/>
    </row>
    <row r="21" spans="1:19" x14ac:dyDescent="0.2">
      <c r="A21" s="4">
        <v>50</v>
      </c>
      <c r="B21" s="4">
        <v>0</v>
      </c>
      <c r="C21" s="4">
        <v>0</v>
      </c>
      <c r="D21" s="4">
        <v>1</v>
      </c>
      <c r="E21" s="4">
        <v>202</v>
      </c>
      <c r="F21" s="4">
        <v>0</v>
      </c>
      <c r="G21" s="4" t="s">
        <v>148</v>
      </c>
      <c r="H21" s="4" t="s">
        <v>149</v>
      </c>
      <c r="I21" s="4"/>
      <c r="J21" s="4"/>
      <c r="K21" s="4">
        <v>202</v>
      </c>
      <c r="L21" s="4">
        <v>2</v>
      </c>
      <c r="M21" s="4">
        <v>3</v>
      </c>
      <c r="N21" s="4" t="s">
        <v>3</v>
      </c>
      <c r="O21" s="4">
        <v>2</v>
      </c>
      <c r="P21" s="4"/>
    </row>
    <row r="22" spans="1:19" x14ac:dyDescent="0.2">
      <c r="A22" s="4">
        <v>50</v>
      </c>
      <c r="B22" s="4">
        <v>0</v>
      </c>
      <c r="C22" s="4">
        <v>0</v>
      </c>
      <c r="D22" s="4">
        <v>1</v>
      </c>
      <c r="E22" s="4">
        <v>222</v>
      </c>
      <c r="F22" s="4">
        <v>0</v>
      </c>
      <c r="G22" s="4" t="s">
        <v>150</v>
      </c>
      <c r="H22" s="4" t="s">
        <v>151</v>
      </c>
      <c r="I22" s="4"/>
      <c r="J22" s="4"/>
      <c r="K22" s="4">
        <v>222</v>
      </c>
      <c r="L22" s="4">
        <v>3</v>
      </c>
      <c r="M22" s="4">
        <v>3</v>
      </c>
      <c r="N22" s="4" t="s">
        <v>3</v>
      </c>
      <c r="O22" s="4">
        <v>2</v>
      </c>
      <c r="P22" s="4"/>
    </row>
    <row r="23" spans="1:19" x14ac:dyDescent="0.2">
      <c r="A23" s="4">
        <v>50</v>
      </c>
      <c r="B23" s="4">
        <v>0</v>
      </c>
      <c r="C23" s="4">
        <v>0</v>
      </c>
      <c r="D23" s="4">
        <v>1</v>
      </c>
      <c r="E23" s="4">
        <v>225</v>
      </c>
      <c r="F23" s="4">
        <v>0</v>
      </c>
      <c r="G23" s="4" t="s">
        <v>152</v>
      </c>
      <c r="H23" s="4" t="s">
        <v>153</v>
      </c>
      <c r="I23" s="4"/>
      <c r="J23" s="4"/>
      <c r="K23" s="4">
        <v>225</v>
      </c>
      <c r="L23" s="4">
        <v>4</v>
      </c>
      <c r="M23" s="4">
        <v>3</v>
      </c>
      <c r="N23" s="4" t="s">
        <v>3</v>
      </c>
      <c r="O23" s="4">
        <v>2</v>
      </c>
      <c r="P23" s="4"/>
    </row>
    <row r="24" spans="1:19" x14ac:dyDescent="0.2">
      <c r="A24" s="4">
        <v>50</v>
      </c>
      <c r="B24" s="4">
        <v>0</v>
      </c>
      <c r="C24" s="4">
        <v>0</v>
      </c>
      <c r="D24" s="4">
        <v>1</v>
      </c>
      <c r="E24" s="4">
        <v>226</v>
      </c>
      <c r="F24" s="4">
        <v>2880524.28</v>
      </c>
      <c r="G24" s="4" t="s">
        <v>154</v>
      </c>
      <c r="H24" s="4" t="s">
        <v>155</v>
      </c>
      <c r="I24" s="4"/>
      <c r="J24" s="4"/>
      <c r="K24" s="4">
        <v>226</v>
      </c>
      <c r="L24" s="4">
        <v>5</v>
      </c>
      <c r="M24" s="4">
        <v>3</v>
      </c>
      <c r="N24" s="4" t="s">
        <v>3</v>
      </c>
      <c r="O24" s="4">
        <v>2</v>
      </c>
      <c r="P24" s="4"/>
    </row>
    <row r="25" spans="1:19" x14ac:dyDescent="0.2">
      <c r="A25" s="4">
        <v>50</v>
      </c>
      <c r="B25" s="4">
        <v>0</v>
      </c>
      <c r="C25" s="4">
        <v>0</v>
      </c>
      <c r="D25" s="4">
        <v>1</v>
      </c>
      <c r="E25" s="4">
        <v>227</v>
      </c>
      <c r="F25" s="4">
        <v>0</v>
      </c>
      <c r="G25" s="4" t="s">
        <v>156</v>
      </c>
      <c r="H25" s="4" t="s">
        <v>157</v>
      </c>
      <c r="I25" s="4"/>
      <c r="J25" s="4"/>
      <c r="K25" s="4">
        <v>227</v>
      </c>
      <c r="L25" s="4">
        <v>6</v>
      </c>
      <c r="M25" s="4">
        <v>3</v>
      </c>
      <c r="N25" s="4" t="s">
        <v>3</v>
      </c>
      <c r="O25" s="4">
        <v>2</v>
      </c>
      <c r="P25" s="4"/>
    </row>
    <row r="26" spans="1:19" x14ac:dyDescent="0.2">
      <c r="A26" s="4">
        <v>50</v>
      </c>
      <c r="B26" s="4">
        <v>0</v>
      </c>
      <c r="C26" s="4">
        <v>0</v>
      </c>
      <c r="D26" s="4">
        <v>1</v>
      </c>
      <c r="E26" s="4">
        <v>228</v>
      </c>
      <c r="F26" s="4">
        <v>2880524.28</v>
      </c>
      <c r="G26" s="4" t="s">
        <v>158</v>
      </c>
      <c r="H26" s="4" t="s">
        <v>159</v>
      </c>
      <c r="I26" s="4"/>
      <c r="J26" s="4"/>
      <c r="K26" s="4">
        <v>228</v>
      </c>
      <c r="L26" s="4">
        <v>7</v>
      </c>
      <c r="M26" s="4">
        <v>3</v>
      </c>
      <c r="N26" s="4" t="s">
        <v>3</v>
      </c>
      <c r="O26" s="4">
        <v>2</v>
      </c>
      <c r="P26" s="4"/>
    </row>
    <row r="27" spans="1:19" x14ac:dyDescent="0.2">
      <c r="A27" s="4">
        <v>50</v>
      </c>
      <c r="B27" s="4">
        <v>0</v>
      </c>
      <c r="C27" s="4">
        <v>0</v>
      </c>
      <c r="D27" s="4">
        <v>1</v>
      </c>
      <c r="E27" s="4">
        <v>216</v>
      </c>
      <c r="F27" s="4">
        <v>0</v>
      </c>
      <c r="G27" s="4" t="s">
        <v>160</v>
      </c>
      <c r="H27" s="4" t="s">
        <v>161</v>
      </c>
      <c r="I27" s="4"/>
      <c r="J27" s="4"/>
      <c r="K27" s="4">
        <v>216</v>
      </c>
      <c r="L27" s="4">
        <v>8</v>
      </c>
      <c r="M27" s="4">
        <v>3</v>
      </c>
      <c r="N27" s="4" t="s">
        <v>3</v>
      </c>
      <c r="O27" s="4">
        <v>2</v>
      </c>
      <c r="P27" s="4"/>
    </row>
    <row r="28" spans="1:19" x14ac:dyDescent="0.2">
      <c r="A28" s="4">
        <v>50</v>
      </c>
      <c r="B28" s="4">
        <v>0</v>
      </c>
      <c r="C28" s="4">
        <v>0</v>
      </c>
      <c r="D28" s="4">
        <v>1</v>
      </c>
      <c r="E28" s="4">
        <v>223</v>
      </c>
      <c r="F28" s="4">
        <v>0</v>
      </c>
      <c r="G28" s="4" t="s">
        <v>162</v>
      </c>
      <c r="H28" s="4" t="s">
        <v>163</v>
      </c>
      <c r="I28" s="4"/>
      <c r="J28" s="4"/>
      <c r="K28" s="4">
        <v>223</v>
      </c>
      <c r="L28" s="4">
        <v>9</v>
      </c>
      <c r="M28" s="4">
        <v>3</v>
      </c>
      <c r="N28" s="4" t="s">
        <v>3</v>
      </c>
      <c r="O28" s="4">
        <v>2</v>
      </c>
      <c r="P28" s="4"/>
    </row>
    <row r="29" spans="1:19" x14ac:dyDescent="0.2">
      <c r="A29" s="4">
        <v>50</v>
      </c>
      <c r="B29" s="4">
        <v>0</v>
      </c>
      <c r="C29" s="4">
        <v>0</v>
      </c>
      <c r="D29" s="4">
        <v>1</v>
      </c>
      <c r="E29" s="4">
        <v>229</v>
      </c>
      <c r="F29" s="4">
        <v>0</v>
      </c>
      <c r="G29" s="4" t="s">
        <v>164</v>
      </c>
      <c r="H29" s="4" t="s">
        <v>165</v>
      </c>
      <c r="I29" s="4"/>
      <c r="J29" s="4"/>
      <c r="K29" s="4">
        <v>229</v>
      </c>
      <c r="L29" s="4">
        <v>10</v>
      </c>
      <c r="M29" s="4">
        <v>3</v>
      </c>
      <c r="N29" s="4" t="s">
        <v>3</v>
      </c>
      <c r="O29" s="4">
        <v>2</v>
      </c>
      <c r="P29" s="4"/>
    </row>
    <row r="30" spans="1:19" x14ac:dyDescent="0.2">
      <c r="A30" s="4">
        <v>50</v>
      </c>
      <c r="B30" s="4">
        <v>0</v>
      </c>
      <c r="C30" s="4">
        <v>0</v>
      </c>
      <c r="D30" s="4">
        <v>1</v>
      </c>
      <c r="E30" s="4">
        <v>203</v>
      </c>
      <c r="F30" s="4">
        <v>593631.39</v>
      </c>
      <c r="G30" s="4" t="s">
        <v>166</v>
      </c>
      <c r="H30" s="4" t="s">
        <v>167</v>
      </c>
      <c r="I30" s="4"/>
      <c r="J30" s="4"/>
      <c r="K30" s="4">
        <v>203</v>
      </c>
      <c r="L30" s="4">
        <v>11</v>
      </c>
      <c r="M30" s="4">
        <v>3</v>
      </c>
      <c r="N30" s="4" t="s">
        <v>3</v>
      </c>
      <c r="O30" s="4">
        <v>2</v>
      </c>
      <c r="P30" s="4"/>
    </row>
    <row r="31" spans="1:19" x14ac:dyDescent="0.2">
      <c r="A31" s="4">
        <v>50</v>
      </c>
      <c r="B31" s="4">
        <v>0</v>
      </c>
      <c r="C31" s="4">
        <v>0</v>
      </c>
      <c r="D31" s="4">
        <v>1</v>
      </c>
      <c r="E31" s="4">
        <v>231</v>
      </c>
      <c r="F31" s="4">
        <v>0</v>
      </c>
      <c r="G31" s="4" t="s">
        <v>168</v>
      </c>
      <c r="H31" s="4" t="s">
        <v>169</v>
      </c>
      <c r="I31" s="4"/>
      <c r="J31" s="4"/>
      <c r="K31" s="4">
        <v>231</v>
      </c>
      <c r="L31" s="4">
        <v>12</v>
      </c>
      <c r="M31" s="4">
        <v>3</v>
      </c>
      <c r="N31" s="4" t="s">
        <v>3</v>
      </c>
      <c r="O31" s="4">
        <v>2</v>
      </c>
      <c r="P31" s="4"/>
    </row>
    <row r="32" spans="1:19" x14ac:dyDescent="0.2">
      <c r="A32" s="4">
        <v>50</v>
      </c>
      <c r="B32" s="4">
        <v>0</v>
      </c>
      <c r="C32" s="4">
        <v>0</v>
      </c>
      <c r="D32" s="4">
        <v>1</v>
      </c>
      <c r="E32" s="4">
        <v>204</v>
      </c>
      <c r="F32" s="4">
        <v>140651.15999999997</v>
      </c>
      <c r="G32" s="4" t="s">
        <v>170</v>
      </c>
      <c r="H32" s="4" t="s">
        <v>171</v>
      </c>
      <c r="I32" s="4"/>
      <c r="J32" s="4"/>
      <c r="K32" s="4">
        <v>204</v>
      </c>
      <c r="L32" s="4">
        <v>13</v>
      </c>
      <c r="M32" s="4">
        <v>3</v>
      </c>
      <c r="N32" s="4" t="s">
        <v>3</v>
      </c>
      <c r="O32" s="4">
        <v>2</v>
      </c>
      <c r="P32" s="4"/>
    </row>
    <row r="33" spans="1:16" x14ac:dyDescent="0.2">
      <c r="A33" s="4">
        <v>50</v>
      </c>
      <c r="B33" s="4">
        <v>0</v>
      </c>
      <c r="C33" s="4">
        <v>0</v>
      </c>
      <c r="D33" s="4">
        <v>1</v>
      </c>
      <c r="E33" s="4">
        <v>205</v>
      </c>
      <c r="F33" s="4">
        <v>230848.74</v>
      </c>
      <c r="G33" s="4" t="s">
        <v>172</v>
      </c>
      <c r="H33" s="4" t="s">
        <v>173</v>
      </c>
      <c r="I33" s="4"/>
      <c r="J33" s="4"/>
      <c r="K33" s="4">
        <v>205</v>
      </c>
      <c r="L33" s="4">
        <v>14</v>
      </c>
      <c r="M33" s="4">
        <v>3</v>
      </c>
      <c r="N33" s="4" t="s">
        <v>3</v>
      </c>
      <c r="O33" s="4">
        <v>2</v>
      </c>
      <c r="P33" s="4"/>
    </row>
    <row r="34" spans="1:16" x14ac:dyDescent="0.2">
      <c r="A34" s="4">
        <v>50</v>
      </c>
      <c r="B34" s="4">
        <v>0</v>
      </c>
      <c r="C34" s="4">
        <v>0</v>
      </c>
      <c r="D34" s="4">
        <v>1</v>
      </c>
      <c r="E34" s="4">
        <v>232</v>
      </c>
      <c r="F34" s="4">
        <v>0</v>
      </c>
      <c r="G34" s="4" t="s">
        <v>174</v>
      </c>
      <c r="H34" s="4" t="s">
        <v>175</v>
      </c>
      <c r="I34" s="4"/>
      <c r="J34" s="4"/>
      <c r="K34" s="4">
        <v>232</v>
      </c>
      <c r="L34" s="4">
        <v>15</v>
      </c>
      <c r="M34" s="4">
        <v>3</v>
      </c>
      <c r="N34" s="4" t="s">
        <v>3</v>
      </c>
      <c r="O34" s="4">
        <v>2</v>
      </c>
      <c r="P34" s="4"/>
    </row>
    <row r="35" spans="1:16" x14ac:dyDescent="0.2">
      <c r="A35" s="4">
        <v>50</v>
      </c>
      <c r="B35" s="4">
        <v>0</v>
      </c>
      <c r="C35" s="4">
        <v>0</v>
      </c>
      <c r="D35" s="4">
        <v>1</v>
      </c>
      <c r="E35" s="4">
        <v>214</v>
      </c>
      <c r="F35" s="4">
        <v>4497266.17</v>
      </c>
      <c r="G35" s="4" t="s">
        <v>176</v>
      </c>
      <c r="H35" s="4" t="s">
        <v>177</v>
      </c>
      <c r="I35" s="4"/>
      <c r="J35" s="4"/>
      <c r="K35" s="4">
        <v>214</v>
      </c>
      <c r="L35" s="4">
        <v>16</v>
      </c>
      <c r="M35" s="4">
        <v>3</v>
      </c>
      <c r="N35" s="4" t="s">
        <v>3</v>
      </c>
      <c r="O35" s="4">
        <v>2</v>
      </c>
      <c r="P35" s="4"/>
    </row>
    <row r="36" spans="1:16" x14ac:dyDescent="0.2">
      <c r="A36" s="4">
        <v>50</v>
      </c>
      <c r="B36" s="4">
        <v>0</v>
      </c>
      <c r="C36" s="4">
        <v>0</v>
      </c>
      <c r="D36" s="4">
        <v>1</v>
      </c>
      <c r="E36" s="4">
        <v>215</v>
      </c>
      <c r="F36" s="4">
        <v>0</v>
      </c>
      <c r="G36" s="4" t="s">
        <v>178</v>
      </c>
      <c r="H36" s="4" t="s">
        <v>179</v>
      </c>
      <c r="I36" s="4"/>
      <c r="J36" s="4"/>
      <c r="K36" s="4">
        <v>215</v>
      </c>
      <c r="L36" s="4">
        <v>17</v>
      </c>
      <c r="M36" s="4">
        <v>3</v>
      </c>
      <c r="N36" s="4" t="s">
        <v>3</v>
      </c>
      <c r="O36" s="4">
        <v>2</v>
      </c>
      <c r="P36" s="4"/>
    </row>
    <row r="37" spans="1:16" x14ac:dyDescent="0.2">
      <c r="A37" s="4">
        <v>50</v>
      </c>
      <c r="B37" s="4">
        <v>0</v>
      </c>
      <c r="C37" s="4">
        <v>0</v>
      </c>
      <c r="D37" s="4">
        <v>1</v>
      </c>
      <c r="E37" s="4">
        <v>217</v>
      </c>
      <c r="F37" s="4">
        <v>0</v>
      </c>
      <c r="G37" s="4" t="s">
        <v>180</v>
      </c>
      <c r="H37" s="4" t="s">
        <v>181</v>
      </c>
      <c r="I37" s="4"/>
      <c r="J37" s="4"/>
      <c r="K37" s="4">
        <v>217</v>
      </c>
      <c r="L37" s="4">
        <v>18</v>
      </c>
      <c r="M37" s="4">
        <v>3</v>
      </c>
      <c r="N37" s="4" t="s">
        <v>3</v>
      </c>
      <c r="O37" s="4">
        <v>2</v>
      </c>
      <c r="P37" s="4"/>
    </row>
    <row r="38" spans="1:16" x14ac:dyDescent="0.2">
      <c r="A38" s="4">
        <v>50</v>
      </c>
      <c r="B38" s="4">
        <v>0</v>
      </c>
      <c r="C38" s="4">
        <v>0</v>
      </c>
      <c r="D38" s="4">
        <v>1</v>
      </c>
      <c r="E38" s="4">
        <v>230</v>
      </c>
      <c r="F38" s="4">
        <v>0</v>
      </c>
      <c r="G38" s="4" t="s">
        <v>182</v>
      </c>
      <c r="H38" s="4" t="s">
        <v>183</v>
      </c>
      <c r="I38" s="4"/>
      <c r="J38" s="4"/>
      <c r="K38" s="4">
        <v>230</v>
      </c>
      <c r="L38" s="4">
        <v>19</v>
      </c>
      <c r="M38" s="4">
        <v>3</v>
      </c>
      <c r="N38" s="4" t="s">
        <v>3</v>
      </c>
      <c r="O38" s="4">
        <v>2</v>
      </c>
      <c r="P38" s="4"/>
    </row>
    <row r="39" spans="1:16" x14ac:dyDescent="0.2">
      <c r="A39" s="4">
        <v>50</v>
      </c>
      <c r="B39" s="4">
        <v>0</v>
      </c>
      <c r="C39" s="4">
        <v>0</v>
      </c>
      <c r="D39" s="4">
        <v>1</v>
      </c>
      <c r="E39" s="4">
        <v>206</v>
      </c>
      <c r="F39" s="4">
        <v>0</v>
      </c>
      <c r="G39" s="4" t="s">
        <v>184</v>
      </c>
      <c r="H39" s="4" t="s">
        <v>185</v>
      </c>
      <c r="I39" s="4"/>
      <c r="J39" s="4"/>
      <c r="K39" s="4">
        <v>206</v>
      </c>
      <c r="L39" s="4">
        <v>20</v>
      </c>
      <c r="M39" s="4">
        <v>3</v>
      </c>
      <c r="N39" s="4" t="s">
        <v>3</v>
      </c>
      <c r="O39" s="4">
        <v>2</v>
      </c>
      <c r="P39" s="4"/>
    </row>
    <row r="40" spans="1:16" x14ac:dyDescent="0.2">
      <c r="A40" s="4">
        <v>50</v>
      </c>
      <c r="B40" s="4">
        <v>0</v>
      </c>
      <c r="C40" s="4">
        <v>0</v>
      </c>
      <c r="D40" s="4">
        <v>1</v>
      </c>
      <c r="E40" s="4">
        <v>207</v>
      </c>
      <c r="F40" s="4">
        <v>837.1282369999999</v>
      </c>
      <c r="G40" s="4" t="s">
        <v>186</v>
      </c>
      <c r="H40" s="4" t="s">
        <v>187</v>
      </c>
      <c r="I40" s="4"/>
      <c r="J40" s="4"/>
      <c r="K40" s="4">
        <v>207</v>
      </c>
      <c r="L40" s="4">
        <v>21</v>
      </c>
      <c r="M40" s="4">
        <v>3</v>
      </c>
      <c r="N40" s="4" t="s">
        <v>3</v>
      </c>
      <c r="O40" s="4">
        <v>-1</v>
      </c>
      <c r="P40" s="4"/>
    </row>
    <row r="41" spans="1:16" x14ac:dyDescent="0.2">
      <c r="A41" s="4">
        <v>50</v>
      </c>
      <c r="B41" s="4">
        <v>0</v>
      </c>
      <c r="C41" s="4">
        <v>0</v>
      </c>
      <c r="D41" s="4">
        <v>1</v>
      </c>
      <c r="E41" s="4">
        <v>208</v>
      </c>
      <c r="F41" s="4">
        <v>26.31737</v>
      </c>
      <c r="G41" s="4" t="s">
        <v>188</v>
      </c>
      <c r="H41" s="4" t="s">
        <v>189</v>
      </c>
      <c r="I41" s="4"/>
      <c r="J41" s="4"/>
      <c r="K41" s="4">
        <v>208</v>
      </c>
      <c r="L41" s="4">
        <v>22</v>
      </c>
      <c r="M41" s="4">
        <v>3</v>
      </c>
      <c r="N41" s="4" t="s">
        <v>3</v>
      </c>
      <c r="O41" s="4">
        <v>-1</v>
      </c>
      <c r="P41" s="4"/>
    </row>
    <row r="42" spans="1:16" x14ac:dyDescent="0.2">
      <c r="A42" s="4">
        <v>50</v>
      </c>
      <c r="B42" s="4">
        <v>0</v>
      </c>
      <c r="C42" s="4">
        <v>0</v>
      </c>
      <c r="D42" s="4">
        <v>1</v>
      </c>
      <c r="E42" s="4">
        <v>209</v>
      </c>
      <c r="F42" s="4">
        <v>0</v>
      </c>
      <c r="G42" s="4" t="s">
        <v>190</v>
      </c>
      <c r="H42" s="4" t="s">
        <v>191</v>
      </c>
      <c r="I42" s="4"/>
      <c r="J42" s="4"/>
      <c r="K42" s="4">
        <v>209</v>
      </c>
      <c r="L42" s="4">
        <v>23</v>
      </c>
      <c r="M42" s="4">
        <v>3</v>
      </c>
      <c r="N42" s="4" t="s">
        <v>3</v>
      </c>
      <c r="O42" s="4">
        <v>2</v>
      </c>
      <c r="P42" s="4"/>
    </row>
    <row r="43" spans="1:16" x14ac:dyDescent="0.2">
      <c r="A43" s="4">
        <v>50</v>
      </c>
      <c r="B43" s="4">
        <v>0</v>
      </c>
      <c r="C43" s="4">
        <v>0</v>
      </c>
      <c r="D43" s="4">
        <v>1</v>
      </c>
      <c r="E43" s="4">
        <v>233</v>
      </c>
      <c r="F43" s="4">
        <v>0</v>
      </c>
      <c r="G43" s="4" t="s">
        <v>192</v>
      </c>
      <c r="H43" s="4" t="s">
        <v>193</v>
      </c>
      <c r="I43" s="4"/>
      <c r="J43" s="4"/>
      <c r="K43" s="4">
        <v>233</v>
      </c>
      <c r="L43" s="4">
        <v>24</v>
      </c>
      <c r="M43" s="4">
        <v>3</v>
      </c>
      <c r="N43" s="4" t="s">
        <v>3</v>
      </c>
      <c r="O43" s="4">
        <v>2</v>
      </c>
      <c r="P43" s="4"/>
    </row>
    <row r="44" spans="1:16" x14ac:dyDescent="0.2">
      <c r="A44" s="4">
        <v>50</v>
      </c>
      <c r="B44" s="4">
        <v>0</v>
      </c>
      <c r="C44" s="4">
        <v>0</v>
      </c>
      <c r="D44" s="4">
        <v>1</v>
      </c>
      <c r="E44" s="4">
        <v>210</v>
      </c>
      <c r="F44" s="4">
        <v>456311.50999999989</v>
      </c>
      <c r="G44" s="4" t="s">
        <v>194</v>
      </c>
      <c r="H44" s="4" t="s">
        <v>195</v>
      </c>
      <c r="I44" s="4"/>
      <c r="J44" s="4"/>
      <c r="K44" s="4">
        <v>210</v>
      </c>
      <c r="L44" s="4">
        <v>25</v>
      </c>
      <c r="M44" s="4">
        <v>3</v>
      </c>
      <c r="N44" s="4" t="s">
        <v>3</v>
      </c>
      <c r="O44" s="4">
        <v>2</v>
      </c>
      <c r="P44" s="4"/>
    </row>
    <row r="45" spans="1:16" x14ac:dyDescent="0.2">
      <c r="A45" s="4">
        <v>50</v>
      </c>
      <c r="B45" s="4">
        <v>0</v>
      </c>
      <c r="C45" s="4">
        <v>0</v>
      </c>
      <c r="D45" s="4">
        <v>1</v>
      </c>
      <c r="E45" s="4">
        <v>211</v>
      </c>
      <c r="F45" s="4">
        <v>335950.25</v>
      </c>
      <c r="G45" s="4" t="s">
        <v>196</v>
      </c>
      <c r="H45" s="4" t="s">
        <v>197</v>
      </c>
      <c r="I45" s="4"/>
      <c r="J45" s="4"/>
      <c r="K45" s="4">
        <v>211</v>
      </c>
      <c r="L45" s="4">
        <v>26</v>
      </c>
      <c r="M45" s="4">
        <v>3</v>
      </c>
      <c r="N45" s="4" t="s">
        <v>3</v>
      </c>
      <c r="O45" s="4">
        <v>2</v>
      </c>
      <c r="P45" s="4"/>
    </row>
    <row r="46" spans="1:16" x14ac:dyDescent="0.2">
      <c r="A46" s="4">
        <v>50</v>
      </c>
      <c r="B46" s="4">
        <v>0</v>
      </c>
      <c r="C46" s="4">
        <v>0</v>
      </c>
      <c r="D46" s="4">
        <v>1</v>
      </c>
      <c r="E46" s="4">
        <v>224</v>
      </c>
      <c r="F46" s="4">
        <v>4497266.17</v>
      </c>
      <c r="G46" s="4" t="s">
        <v>198</v>
      </c>
      <c r="H46" s="4" t="s">
        <v>199</v>
      </c>
      <c r="I46" s="4"/>
      <c r="J46" s="4"/>
      <c r="K46" s="4">
        <v>224</v>
      </c>
      <c r="L46" s="4">
        <v>27</v>
      </c>
      <c r="M46" s="4">
        <v>3</v>
      </c>
      <c r="N46" s="4" t="s">
        <v>3</v>
      </c>
      <c r="O46" s="4">
        <v>2</v>
      </c>
      <c r="P46" s="4"/>
    </row>
    <row r="48" spans="1:16" x14ac:dyDescent="0.2">
      <c r="A48">
        <v>-1</v>
      </c>
    </row>
    <row r="51" spans="1:40" x14ac:dyDescent="0.2">
      <c r="A51" s="3">
        <v>75</v>
      </c>
      <c r="B51" s="3" t="s">
        <v>306</v>
      </c>
      <c r="C51" s="3">
        <v>2021</v>
      </c>
      <c r="D51" s="3">
        <v>3</v>
      </c>
      <c r="E51" s="3">
        <v>0</v>
      </c>
      <c r="F51" s="3"/>
      <c r="G51" s="3">
        <v>0</v>
      </c>
      <c r="H51" s="3">
        <v>1</v>
      </c>
      <c r="I51" s="3">
        <v>0</v>
      </c>
      <c r="J51" s="3">
        <v>1</v>
      </c>
      <c r="K51" s="3">
        <v>0</v>
      </c>
      <c r="L51" s="3">
        <v>0</v>
      </c>
      <c r="M51" s="3">
        <v>0</v>
      </c>
      <c r="N51" s="3">
        <v>29836452</v>
      </c>
      <c r="O51" s="3">
        <v>1</v>
      </c>
    </row>
    <row r="52" spans="1:40" x14ac:dyDescent="0.2">
      <c r="A52" s="5">
        <v>3</v>
      </c>
      <c r="B52" s="5" t="s">
        <v>307</v>
      </c>
      <c r="C52" s="5">
        <v>10.63</v>
      </c>
      <c r="D52" s="5">
        <v>7.26</v>
      </c>
      <c r="E52" s="5">
        <v>10.63</v>
      </c>
      <c r="F52" s="5">
        <v>35.86</v>
      </c>
      <c r="G52" s="5">
        <v>35.86</v>
      </c>
      <c r="H52" s="5">
        <v>1</v>
      </c>
      <c r="I52" s="5">
        <v>1</v>
      </c>
      <c r="J52" s="5">
        <v>2</v>
      </c>
      <c r="K52" s="5">
        <v>1</v>
      </c>
      <c r="L52" s="5">
        <v>1</v>
      </c>
      <c r="M52" s="5">
        <v>10.63</v>
      </c>
      <c r="N52" s="5">
        <v>7.26</v>
      </c>
      <c r="O52" s="5">
        <v>1</v>
      </c>
      <c r="P52" s="5">
        <v>1</v>
      </c>
      <c r="Q52" s="5">
        <v>1</v>
      </c>
      <c r="R52" s="5">
        <v>1</v>
      </c>
      <c r="S52" s="5" t="s">
        <v>29</v>
      </c>
      <c r="T52" s="5" t="s">
        <v>3</v>
      </c>
      <c r="U52" s="5" t="s">
        <v>3</v>
      </c>
      <c r="V52" s="5" t="s">
        <v>3</v>
      </c>
      <c r="W52" s="5" t="s">
        <v>3</v>
      </c>
      <c r="X52" s="5" t="s">
        <v>3</v>
      </c>
      <c r="Y52" s="5" t="s">
        <v>3</v>
      </c>
      <c r="Z52" s="5" t="s">
        <v>3</v>
      </c>
      <c r="AA52" s="5" t="s">
        <v>3</v>
      </c>
      <c r="AB52" s="5" t="s">
        <v>3</v>
      </c>
      <c r="AC52" s="5" t="s">
        <v>3</v>
      </c>
      <c r="AD52" s="5" t="s">
        <v>3</v>
      </c>
      <c r="AE52" s="5" t="s">
        <v>3</v>
      </c>
      <c r="AF52" s="5" t="s">
        <v>3</v>
      </c>
      <c r="AG52" s="5" t="s">
        <v>3</v>
      </c>
      <c r="AH52" s="5" t="s">
        <v>3</v>
      </c>
      <c r="AI52" s="5"/>
      <c r="AJ52" s="5"/>
      <c r="AK52" s="5"/>
      <c r="AL52" s="5"/>
      <c r="AM52" s="5"/>
      <c r="AN52" s="5">
        <v>29836453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30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7" x14ac:dyDescent="0.2">
      <c r="A1">
        <f>ROW(Source!A28)</f>
        <v>28</v>
      </c>
      <c r="B1">
        <v>29836452</v>
      </c>
      <c r="C1">
        <v>29836632</v>
      </c>
      <c r="D1">
        <v>28419637</v>
      </c>
      <c r="E1">
        <v>1</v>
      </c>
      <c r="F1">
        <v>1</v>
      </c>
      <c r="G1">
        <v>1</v>
      </c>
      <c r="H1">
        <v>1</v>
      </c>
      <c r="I1" t="s">
        <v>309</v>
      </c>
      <c r="J1" t="s">
        <v>3</v>
      </c>
      <c r="K1" t="s">
        <v>310</v>
      </c>
      <c r="L1">
        <v>1191</v>
      </c>
      <c r="N1">
        <v>1013</v>
      </c>
      <c r="O1" t="s">
        <v>311</v>
      </c>
      <c r="P1" t="s">
        <v>311</v>
      </c>
      <c r="Q1">
        <v>1</v>
      </c>
      <c r="W1">
        <v>0</v>
      </c>
      <c r="X1">
        <v>-884919233</v>
      </c>
      <c r="Y1">
        <v>36.018000000000001</v>
      </c>
      <c r="AA1">
        <v>0</v>
      </c>
      <c r="AB1">
        <v>0</v>
      </c>
      <c r="AC1">
        <v>0</v>
      </c>
      <c r="AD1">
        <v>249.94</v>
      </c>
      <c r="AE1">
        <v>0</v>
      </c>
      <c r="AF1">
        <v>0</v>
      </c>
      <c r="AG1">
        <v>0</v>
      </c>
      <c r="AH1">
        <v>6.97</v>
      </c>
      <c r="AI1">
        <v>1</v>
      </c>
      <c r="AJ1">
        <v>1</v>
      </c>
      <c r="AK1">
        <v>1</v>
      </c>
      <c r="AL1">
        <v>35.86</v>
      </c>
      <c r="AN1">
        <v>0</v>
      </c>
      <c r="AO1">
        <v>1</v>
      </c>
      <c r="AP1">
        <v>1</v>
      </c>
      <c r="AQ1">
        <v>0</v>
      </c>
      <c r="AR1">
        <v>0</v>
      </c>
      <c r="AS1" t="s">
        <v>3</v>
      </c>
      <c r="AT1">
        <v>31.32</v>
      </c>
      <c r="AU1" t="s">
        <v>32</v>
      </c>
      <c r="AV1">
        <v>1</v>
      </c>
      <c r="AW1">
        <v>2</v>
      </c>
      <c r="AX1">
        <v>29836638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Y1*Source!I28</f>
        <v>23.05152</v>
      </c>
      <c r="CY1">
        <f>AD1</f>
        <v>249.94</v>
      </c>
      <c r="CZ1">
        <f>AH1</f>
        <v>6.97</v>
      </c>
      <c r="DA1">
        <f>AL1</f>
        <v>35.86</v>
      </c>
      <c r="DB1">
        <f>ROUND((ROUND(AT1*CZ1,2)*ROUND(1.15,7)),0)</f>
        <v>251</v>
      </c>
      <c r="DC1">
        <f>ROUND((ROUND(AT1*AG1,2)*ROUND(1.15,7)),0)</f>
        <v>0</v>
      </c>
    </row>
    <row r="2" spans="1:107" x14ac:dyDescent="0.2">
      <c r="A2">
        <f>ROW(Source!A28)</f>
        <v>28</v>
      </c>
      <c r="B2">
        <v>29836452</v>
      </c>
      <c r="C2">
        <v>29836632</v>
      </c>
      <c r="D2">
        <v>28419515</v>
      </c>
      <c r="E2">
        <v>1</v>
      </c>
      <c r="F2">
        <v>1</v>
      </c>
      <c r="G2">
        <v>1</v>
      </c>
      <c r="H2">
        <v>1</v>
      </c>
      <c r="I2" t="s">
        <v>312</v>
      </c>
      <c r="J2" t="s">
        <v>3</v>
      </c>
      <c r="K2" t="s">
        <v>313</v>
      </c>
      <c r="L2">
        <v>1191</v>
      </c>
      <c r="N2">
        <v>1013</v>
      </c>
      <c r="O2" t="s">
        <v>311</v>
      </c>
      <c r="P2" t="s">
        <v>311</v>
      </c>
      <c r="Q2">
        <v>1</v>
      </c>
      <c r="W2">
        <v>0</v>
      </c>
      <c r="X2">
        <v>-383101862</v>
      </c>
      <c r="Y2">
        <v>90.09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35.86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3</v>
      </c>
      <c r="AT2">
        <v>90.09</v>
      </c>
      <c r="AU2" t="s">
        <v>3</v>
      </c>
      <c r="AV2">
        <v>2</v>
      </c>
      <c r="AW2">
        <v>2</v>
      </c>
      <c r="AX2">
        <v>29836639</v>
      </c>
      <c r="AY2">
        <v>1</v>
      </c>
      <c r="AZ2">
        <v>2048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Y2*Source!I28</f>
        <v>57.657600000000002</v>
      </c>
      <c r="CY2">
        <f>AD2</f>
        <v>0</v>
      </c>
      <c r="CZ2">
        <f>AH2</f>
        <v>0</v>
      </c>
      <c r="DA2">
        <f>AL2</f>
        <v>1</v>
      </c>
      <c r="DB2">
        <f>ROUND(ROUND(AT2*CZ2,2),0)</f>
        <v>0</v>
      </c>
      <c r="DC2">
        <f>ROUND(ROUND(AT2*AG2,2),0)</f>
        <v>0</v>
      </c>
    </row>
    <row r="3" spans="1:107" x14ac:dyDescent="0.2">
      <c r="A3">
        <f>ROW(Source!A28)</f>
        <v>28</v>
      </c>
      <c r="B3">
        <v>29836452</v>
      </c>
      <c r="C3">
        <v>29836632</v>
      </c>
      <c r="D3">
        <v>28335946</v>
      </c>
      <c r="E3">
        <v>1</v>
      </c>
      <c r="F3">
        <v>1</v>
      </c>
      <c r="G3">
        <v>1</v>
      </c>
      <c r="H3">
        <v>2</v>
      </c>
      <c r="I3" t="s">
        <v>314</v>
      </c>
      <c r="J3" t="s">
        <v>315</v>
      </c>
      <c r="K3" t="s">
        <v>316</v>
      </c>
      <c r="L3">
        <v>1368</v>
      </c>
      <c r="N3">
        <v>1011</v>
      </c>
      <c r="O3" t="s">
        <v>317</v>
      </c>
      <c r="P3" t="s">
        <v>317</v>
      </c>
      <c r="Q3">
        <v>1</v>
      </c>
      <c r="W3">
        <v>0</v>
      </c>
      <c r="X3">
        <v>-2072523220</v>
      </c>
      <c r="Y3">
        <v>21.3125</v>
      </c>
      <c r="AA3">
        <v>0</v>
      </c>
      <c r="AB3">
        <v>643.75</v>
      </c>
      <c r="AC3">
        <v>363.26</v>
      </c>
      <c r="AD3">
        <v>0</v>
      </c>
      <c r="AE3">
        <v>0</v>
      </c>
      <c r="AF3">
        <v>60.56</v>
      </c>
      <c r="AG3">
        <v>10.130000000000001</v>
      </c>
      <c r="AH3">
        <v>0</v>
      </c>
      <c r="AI3">
        <v>1</v>
      </c>
      <c r="AJ3">
        <v>10.63</v>
      </c>
      <c r="AK3">
        <v>35.86</v>
      </c>
      <c r="AL3">
        <v>1</v>
      </c>
      <c r="AN3">
        <v>0</v>
      </c>
      <c r="AO3">
        <v>1</v>
      </c>
      <c r="AP3">
        <v>1</v>
      </c>
      <c r="AQ3">
        <v>0</v>
      </c>
      <c r="AR3">
        <v>0</v>
      </c>
      <c r="AS3" t="s">
        <v>3</v>
      </c>
      <c r="AT3">
        <v>17.05</v>
      </c>
      <c r="AU3" t="s">
        <v>31</v>
      </c>
      <c r="AV3">
        <v>0</v>
      </c>
      <c r="AW3">
        <v>2</v>
      </c>
      <c r="AX3">
        <v>29836640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Y3*Source!I28</f>
        <v>13.64</v>
      </c>
      <c r="CY3">
        <f>AB3</f>
        <v>643.75</v>
      </c>
      <c r="CZ3">
        <f>AF3</f>
        <v>60.56</v>
      </c>
      <c r="DA3">
        <f>AJ3</f>
        <v>10.63</v>
      </c>
      <c r="DB3">
        <f>ROUND((ROUND(AT3*CZ3,2)*ROUND(1.25,7)),0)</f>
        <v>1291</v>
      </c>
      <c r="DC3">
        <f>ROUND((ROUND(AT3*AG3,2)*ROUND(1.25,7)),0)</f>
        <v>216</v>
      </c>
    </row>
    <row r="4" spans="1:107" x14ac:dyDescent="0.2">
      <c r="A4">
        <f>ROW(Source!A28)</f>
        <v>28</v>
      </c>
      <c r="B4">
        <v>29836452</v>
      </c>
      <c r="C4">
        <v>29836632</v>
      </c>
      <c r="D4">
        <v>28336068</v>
      </c>
      <c r="E4">
        <v>1</v>
      </c>
      <c r="F4">
        <v>1</v>
      </c>
      <c r="G4">
        <v>1</v>
      </c>
      <c r="H4">
        <v>2</v>
      </c>
      <c r="I4" t="s">
        <v>318</v>
      </c>
      <c r="J4" t="s">
        <v>319</v>
      </c>
      <c r="K4" t="s">
        <v>320</v>
      </c>
      <c r="L4">
        <v>1368</v>
      </c>
      <c r="N4">
        <v>1011</v>
      </c>
      <c r="O4" t="s">
        <v>317</v>
      </c>
      <c r="P4" t="s">
        <v>317</v>
      </c>
      <c r="Q4">
        <v>1</v>
      </c>
      <c r="W4">
        <v>0</v>
      </c>
      <c r="X4">
        <v>-116189257</v>
      </c>
      <c r="Y4">
        <v>91.300000000000011</v>
      </c>
      <c r="AA4">
        <v>0</v>
      </c>
      <c r="AB4">
        <v>749.31</v>
      </c>
      <c r="AC4">
        <v>363.26</v>
      </c>
      <c r="AD4">
        <v>0</v>
      </c>
      <c r="AE4">
        <v>0</v>
      </c>
      <c r="AF4">
        <v>70.489999999999995</v>
      </c>
      <c r="AG4">
        <v>10.130000000000001</v>
      </c>
      <c r="AH4">
        <v>0</v>
      </c>
      <c r="AI4">
        <v>1</v>
      </c>
      <c r="AJ4">
        <v>10.63</v>
      </c>
      <c r="AK4">
        <v>35.86</v>
      </c>
      <c r="AL4">
        <v>1</v>
      </c>
      <c r="AN4">
        <v>0</v>
      </c>
      <c r="AO4">
        <v>1</v>
      </c>
      <c r="AP4">
        <v>1</v>
      </c>
      <c r="AQ4">
        <v>0</v>
      </c>
      <c r="AR4">
        <v>0</v>
      </c>
      <c r="AS4" t="s">
        <v>3</v>
      </c>
      <c r="AT4">
        <v>73.040000000000006</v>
      </c>
      <c r="AU4" t="s">
        <v>31</v>
      </c>
      <c r="AV4">
        <v>0</v>
      </c>
      <c r="AW4">
        <v>2</v>
      </c>
      <c r="AX4">
        <v>29836641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Y4*Source!I28</f>
        <v>58.432000000000009</v>
      </c>
      <c r="CY4">
        <f>AB4</f>
        <v>749.31</v>
      </c>
      <c r="CZ4">
        <f>AF4</f>
        <v>70.489999999999995</v>
      </c>
      <c r="DA4">
        <f>AJ4</f>
        <v>10.63</v>
      </c>
      <c r="DB4">
        <f>ROUND((ROUND(AT4*CZ4,2)*ROUND(1.25,7)),0)</f>
        <v>6436</v>
      </c>
      <c r="DC4">
        <f>ROUND((ROUND(AT4*AG4,2)*ROUND(1.25,7)),0)</f>
        <v>925</v>
      </c>
    </row>
    <row r="5" spans="1:107" x14ac:dyDescent="0.2">
      <c r="A5">
        <f>ROW(Source!A28)</f>
        <v>28</v>
      </c>
      <c r="B5">
        <v>29836452</v>
      </c>
      <c r="C5">
        <v>29836632</v>
      </c>
      <c r="D5">
        <v>28257901</v>
      </c>
      <c r="E5">
        <v>1</v>
      </c>
      <c r="F5">
        <v>1</v>
      </c>
      <c r="G5">
        <v>1</v>
      </c>
      <c r="H5">
        <v>3</v>
      </c>
      <c r="I5" t="s">
        <v>321</v>
      </c>
      <c r="J5" t="s">
        <v>322</v>
      </c>
      <c r="K5" t="s">
        <v>323</v>
      </c>
      <c r="L5">
        <v>1339</v>
      </c>
      <c r="N5">
        <v>1007</v>
      </c>
      <c r="O5" t="s">
        <v>56</v>
      </c>
      <c r="P5" t="s">
        <v>56</v>
      </c>
      <c r="Q5">
        <v>1</v>
      </c>
      <c r="W5">
        <v>0</v>
      </c>
      <c r="X5">
        <v>-2007354963</v>
      </c>
      <c r="Y5">
        <v>0.04</v>
      </c>
      <c r="AA5">
        <v>1200.3</v>
      </c>
      <c r="AB5">
        <v>0</v>
      </c>
      <c r="AC5">
        <v>0</v>
      </c>
      <c r="AD5">
        <v>0</v>
      </c>
      <c r="AE5">
        <v>165.33</v>
      </c>
      <c r="AF5">
        <v>0</v>
      </c>
      <c r="AG5">
        <v>0</v>
      </c>
      <c r="AH5">
        <v>0</v>
      </c>
      <c r="AI5">
        <v>7.26</v>
      </c>
      <c r="AJ5">
        <v>1</v>
      </c>
      <c r="AK5">
        <v>1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3</v>
      </c>
      <c r="AT5">
        <v>0.04</v>
      </c>
      <c r="AU5" t="s">
        <v>3</v>
      </c>
      <c r="AV5">
        <v>0</v>
      </c>
      <c r="AW5">
        <v>2</v>
      </c>
      <c r="AX5">
        <v>29836642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Y5*Source!I28</f>
        <v>2.5600000000000001E-2</v>
      </c>
      <c r="CY5">
        <f>AA5</f>
        <v>1200.3</v>
      </c>
      <c r="CZ5">
        <f>AE5</f>
        <v>165.33</v>
      </c>
      <c r="DA5">
        <f>AI5</f>
        <v>7.26</v>
      </c>
      <c r="DB5">
        <f>ROUND(ROUND(AT5*CZ5,2),0)</f>
        <v>7</v>
      </c>
      <c r="DC5">
        <f>ROUND(ROUND(AT5*AG5,2),0)</f>
        <v>0</v>
      </c>
    </row>
    <row r="6" spans="1:107" x14ac:dyDescent="0.2">
      <c r="A6">
        <f>ROW(Source!A30)</f>
        <v>30</v>
      </c>
      <c r="B6">
        <v>29836452</v>
      </c>
      <c r="C6">
        <v>29836644</v>
      </c>
      <c r="D6">
        <v>28422787</v>
      </c>
      <c r="E6">
        <v>1</v>
      </c>
      <c r="F6">
        <v>1</v>
      </c>
      <c r="G6">
        <v>1</v>
      </c>
      <c r="H6">
        <v>1</v>
      </c>
      <c r="I6" t="s">
        <v>324</v>
      </c>
      <c r="J6" t="s">
        <v>3</v>
      </c>
      <c r="K6" t="s">
        <v>325</v>
      </c>
      <c r="L6">
        <v>1191</v>
      </c>
      <c r="N6">
        <v>1013</v>
      </c>
      <c r="O6" t="s">
        <v>311</v>
      </c>
      <c r="P6" t="s">
        <v>311</v>
      </c>
      <c r="Q6">
        <v>1</v>
      </c>
      <c r="W6">
        <v>0</v>
      </c>
      <c r="X6">
        <v>1132419179</v>
      </c>
      <c r="Y6">
        <v>27.8185</v>
      </c>
      <c r="AA6">
        <v>0</v>
      </c>
      <c r="AB6">
        <v>0</v>
      </c>
      <c r="AC6">
        <v>0</v>
      </c>
      <c r="AD6">
        <v>258.91000000000003</v>
      </c>
      <c r="AE6">
        <v>0</v>
      </c>
      <c r="AF6">
        <v>0</v>
      </c>
      <c r="AG6">
        <v>0</v>
      </c>
      <c r="AH6">
        <v>7.22</v>
      </c>
      <c r="AI6">
        <v>1</v>
      </c>
      <c r="AJ6">
        <v>1</v>
      </c>
      <c r="AK6">
        <v>1</v>
      </c>
      <c r="AL6">
        <v>35.86</v>
      </c>
      <c r="AN6">
        <v>0</v>
      </c>
      <c r="AO6">
        <v>1</v>
      </c>
      <c r="AP6">
        <v>1</v>
      </c>
      <c r="AQ6">
        <v>0</v>
      </c>
      <c r="AR6">
        <v>0</v>
      </c>
      <c r="AS6" t="s">
        <v>3</v>
      </c>
      <c r="AT6">
        <v>24.19</v>
      </c>
      <c r="AU6" t="s">
        <v>32</v>
      </c>
      <c r="AV6">
        <v>1</v>
      </c>
      <c r="AW6">
        <v>2</v>
      </c>
      <c r="AX6">
        <v>29836653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Y6*Source!I30</f>
        <v>73.162655000000001</v>
      </c>
      <c r="CY6">
        <f>AD6</f>
        <v>258.91000000000003</v>
      </c>
      <c r="CZ6">
        <f>AH6</f>
        <v>7.22</v>
      </c>
      <c r="DA6">
        <f>AL6</f>
        <v>35.86</v>
      </c>
      <c r="DB6">
        <f>ROUND((ROUND(AT6*CZ6,2)*ROUND(1.15,7)),0)</f>
        <v>201</v>
      </c>
      <c r="DC6">
        <f>ROUND((ROUND(AT6*AG6,2)*ROUND(1.15,7)),0)</f>
        <v>0</v>
      </c>
    </row>
    <row r="7" spans="1:107" x14ac:dyDescent="0.2">
      <c r="A7">
        <f>ROW(Source!A30)</f>
        <v>30</v>
      </c>
      <c r="B7">
        <v>29836452</v>
      </c>
      <c r="C7">
        <v>29836644</v>
      </c>
      <c r="D7">
        <v>28419515</v>
      </c>
      <c r="E7">
        <v>1</v>
      </c>
      <c r="F7">
        <v>1</v>
      </c>
      <c r="G7">
        <v>1</v>
      </c>
      <c r="H7">
        <v>1</v>
      </c>
      <c r="I7" t="s">
        <v>312</v>
      </c>
      <c r="J7" t="s">
        <v>3</v>
      </c>
      <c r="K7" t="s">
        <v>313</v>
      </c>
      <c r="L7">
        <v>1191</v>
      </c>
      <c r="N7">
        <v>1013</v>
      </c>
      <c r="O7" t="s">
        <v>311</v>
      </c>
      <c r="P7" t="s">
        <v>311</v>
      </c>
      <c r="Q7">
        <v>1</v>
      </c>
      <c r="W7">
        <v>0</v>
      </c>
      <c r="X7">
        <v>-383101862</v>
      </c>
      <c r="Y7">
        <v>20.6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1</v>
      </c>
      <c r="AJ7">
        <v>1</v>
      </c>
      <c r="AK7">
        <v>35.86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3</v>
      </c>
      <c r="AT7">
        <v>20.6</v>
      </c>
      <c r="AU7" t="s">
        <v>3</v>
      </c>
      <c r="AV7">
        <v>2</v>
      </c>
      <c r="AW7">
        <v>2</v>
      </c>
      <c r="AX7">
        <v>29836654</v>
      </c>
      <c r="AY7">
        <v>1</v>
      </c>
      <c r="AZ7">
        <v>2048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Y7*Source!I30</f>
        <v>54.178000000000004</v>
      </c>
      <c r="CY7">
        <f>AD7</f>
        <v>0</v>
      </c>
      <c r="CZ7">
        <f>AH7</f>
        <v>0</v>
      </c>
      <c r="DA7">
        <f>AL7</f>
        <v>1</v>
      </c>
      <c r="DB7">
        <f>ROUND(ROUND(AT7*CZ7,2),0)</f>
        <v>0</v>
      </c>
      <c r="DC7">
        <f>ROUND(ROUND(AT7*AG7,2),0)</f>
        <v>0</v>
      </c>
    </row>
    <row r="8" spans="1:107" x14ac:dyDescent="0.2">
      <c r="A8">
        <f>ROW(Source!A30)</f>
        <v>30</v>
      </c>
      <c r="B8">
        <v>29836452</v>
      </c>
      <c r="C8">
        <v>29836644</v>
      </c>
      <c r="D8">
        <v>28335948</v>
      </c>
      <c r="E8">
        <v>1</v>
      </c>
      <c r="F8">
        <v>1</v>
      </c>
      <c r="G8">
        <v>1</v>
      </c>
      <c r="H8">
        <v>2</v>
      </c>
      <c r="I8" t="s">
        <v>326</v>
      </c>
      <c r="J8" t="s">
        <v>327</v>
      </c>
      <c r="K8" t="s">
        <v>328</v>
      </c>
      <c r="L8">
        <v>1368</v>
      </c>
      <c r="N8">
        <v>1011</v>
      </c>
      <c r="O8" t="s">
        <v>317</v>
      </c>
      <c r="P8" t="s">
        <v>317</v>
      </c>
      <c r="Q8">
        <v>1</v>
      </c>
      <c r="W8">
        <v>0</v>
      </c>
      <c r="X8">
        <v>-366812307</v>
      </c>
      <c r="Y8">
        <v>3.2374999999999998</v>
      </c>
      <c r="AA8">
        <v>0</v>
      </c>
      <c r="AB8">
        <v>856.99</v>
      </c>
      <c r="AC8">
        <v>424.58</v>
      </c>
      <c r="AD8">
        <v>0</v>
      </c>
      <c r="AE8">
        <v>0</v>
      </c>
      <c r="AF8">
        <v>80.62</v>
      </c>
      <c r="AG8">
        <v>11.84</v>
      </c>
      <c r="AH8">
        <v>0</v>
      </c>
      <c r="AI8">
        <v>1</v>
      </c>
      <c r="AJ8">
        <v>10.63</v>
      </c>
      <c r="AK8">
        <v>35.86</v>
      </c>
      <c r="AL8">
        <v>1</v>
      </c>
      <c r="AN8">
        <v>0</v>
      </c>
      <c r="AO8">
        <v>1</v>
      </c>
      <c r="AP8">
        <v>1</v>
      </c>
      <c r="AQ8">
        <v>0</v>
      </c>
      <c r="AR8">
        <v>0</v>
      </c>
      <c r="AS8" t="s">
        <v>3</v>
      </c>
      <c r="AT8">
        <v>2.59</v>
      </c>
      <c r="AU8" t="s">
        <v>31</v>
      </c>
      <c r="AV8">
        <v>0</v>
      </c>
      <c r="AW8">
        <v>2</v>
      </c>
      <c r="AX8">
        <v>29836655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Y8*Source!I30</f>
        <v>8.5146249999999988</v>
      </c>
      <c r="CY8">
        <f>AB8</f>
        <v>856.99</v>
      </c>
      <c r="CZ8">
        <f>AF8</f>
        <v>80.62</v>
      </c>
      <c r="DA8">
        <f>AJ8</f>
        <v>10.63</v>
      </c>
      <c r="DB8">
        <f>ROUND((ROUND(AT8*CZ8,2)*ROUND(1.25,7)),0)</f>
        <v>261</v>
      </c>
      <c r="DC8">
        <f>ROUND((ROUND(AT8*AG8,2)*ROUND(1.25,7)),0)</f>
        <v>38</v>
      </c>
    </row>
    <row r="9" spans="1:107" x14ac:dyDescent="0.2">
      <c r="A9">
        <f>ROW(Source!A30)</f>
        <v>30</v>
      </c>
      <c r="B9">
        <v>29836452</v>
      </c>
      <c r="C9">
        <v>29836644</v>
      </c>
      <c r="D9">
        <v>28335972</v>
      </c>
      <c r="E9">
        <v>1</v>
      </c>
      <c r="F9">
        <v>1</v>
      </c>
      <c r="G9">
        <v>1</v>
      </c>
      <c r="H9">
        <v>2</v>
      </c>
      <c r="I9" t="s">
        <v>329</v>
      </c>
      <c r="J9" t="s">
        <v>330</v>
      </c>
      <c r="K9" t="s">
        <v>331</v>
      </c>
      <c r="L9">
        <v>1368</v>
      </c>
      <c r="N9">
        <v>1011</v>
      </c>
      <c r="O9" t="s">
        <v>317</v>
      </c>
      <c r="P9" t="s">
        <v>317</v>
      </c>
      <c r="Q9">
        <v>1</v>
      </c>
      <c r="W9">
        <v>0</v>
      </c>
      <c r="X9">
        <v>-178805863</v>
      </c>
      <c r="Y9">
        <v>2.875</v>
      </c>
      <c r="AA9">
        <v>0</v>
      </c>
      <c r="AB9">
        <v>1346.93</v>
      </c>
      <c r="AC9">
        <v>424.58</v>
      </c>
      <c r="AD9">
        <v>0</v>
      </c>
      <c r="AE9">
        <v>0</v>
      </c>
      <c r="AF9">
        <v>126.71</v>
      </c>
      <c r="AG9">
        <v>11.84</v>
      </c>
      <c r="AH9">
        <v>0</v>
      </c>
      <c r="AI9">
        <v>1</v>
      </c>
      <c r="AJ9">
        <v>10.63</v>
      </c>
      <c r="AK9">
        <v>35.86</v>
      </c>
      <c r="AL9">
        <v>1</v>
      </c>
      <c r="AN9">
        <v>0</v>
      </c>
      <c r="AO9">
        <v>1</v>
      </c>
      <c r="AP9">
        <v>1</v>
      </c>
      <c r="AQ9">
        <v>0</v>
      </c>
      <c r="AR9">
        <v>0</v>
      </c>
      <c r="AS9" t="s">
        <v>3</v>
      </c>
      <c r="AT9">
        <v>2.2999999999999998</v>
      </c>
      <c r="AU9" t="s">
        <v>31</v>
      </c>
      <c r="AV9">
        <v>0</v>
      </c>
      <c r="AW9">
        <v>2</v>
      </c>
      <c r="AX9">
        <v>29836656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Y9*Source!I30</f>
        <v>7.5612499999999994</v>
      </c>
      <c r="CY9">
        <f>AB9</f>
        <v>1346.93</v>
      </c>
      <c r="CZ9">
        <f>AF9</f>
        <v>126.71</v>
      </c>
      <c r="DA9">
        <f>AJ9</f>
        <v>10.63</v>
      </c>
      <c r="DB9">
        <f>ROUND((ROUND(AT9*CZ9,2)*ROUND(1.25,7)),0)</f>
        <v>364</v>
      </c>
      <c r="DC9">
        <f>ROUND((ROUND(AT9*AG9,2)*ROUND(1.25,7)),0)</f>
        <v>34</v>
      </c>
    </row>
    <row r="10" spans="1:107" x14ac:dyDescent="0.2">
      <c r="A10">
        <f>ROW(Source!A30)</f>
        <v>30</v>
      </c>
      <c r="B10">
        <v>29836452</v>
      </c>
      <c r="C10">
        <v>29836644</v>
      </c>
      <c r="D10">
        <v>28336884</v>
      </c>
      <c r="E10">
        <v>1</v>
      </c>
      <c r="F10">
        <v>1</v>
      </c>
      <c r="G10">
        <v>1</v>
      </c>
      <c r="H10">
        <v>2</v>
      </c>
      <c r="I10" t="s">
        <v>332</v>
      </c>
      <c r="J10" t="s">
        <v>333</v>
      </c>
      <c r="K10" t="s">
        <v>334</v>
      </c>
      <c r="L10">
        <v>1368</v>
      </c>
      <c r="N10">
        <v>1011</v>
      </c>
      <c r="O10" t="s">
        <v>317</v>
      </c>
      <c r="P10" t="s">
        <v>317</v>
      </c>
      <c r="Q10">
        <v>1</v>
      </c>
      <c r="W10">
        <v>0</v>
      </c>
      <c r="X10">
        <v>-1700234874</v>
      </c>
      <c r="Y10">
        <v>3.0750000000000002</v>
      </c>
      <c r="AA10">
        <v>0</v>
      </c>
      <c r="AB10">
        <v>996.35</v>
      </c>
      <c r="AC10">
        <v>316.29000000000002</v>
      </c>
      <c r="AD10">
        <v>0</v>
      </c>
      <c r="AE10">
        <v>0</v>
      </c>
      <c r="AF10">
        <v>93.73</v>
      </c>
      <c r="AG10">
        <v>8.82</v>
      </c>
      <c r="AH10">
        <v>0</v>
      </c>
      <c r="AI10">
        <v>1</v>
      </c>
      <c r="AJ10">
        <v>10.63</v>
      </c>
      <c r="AK10">
        <v>35.86</v>
      </c>
      <c r="AL10">
        <v>1</v>
      </c>
      <c r="AN10">
        <v>0</v>
      </c>
      <c r="AO10">
        <v>1</v>
      </c>
      <c r="AP10">
        <v>1</v>
      </c>
      <c r="AQ10">
        <v>0</v>
      </c>
      <c r="AR10">
        <v>0</v>
      </c>
      <c r="AS10" t="s">
        <v>3</v>
      </c>
      <c r="AT10">
        <v>2.46</v>
      </c>
      <c r="AU10" t="s">
        <v>31</v>
      </c>
      <c r="AV10">
        <v>0</v>
      </c>
      <c r="AW10">
        <v>2</v>
      </c>
      <c r="AX10">
        <v>29836657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Y10*Source!I30</f>
        <v>8.0872500000000009</v>
      </c>
      <c r="CY10">
        <f>AB10</f>
        <v>996.35</v>
      </c>
      <c r="CZ10">
        <f>AF10</f>
        <v>93.73</v>
      </c>
      <c r="DA10">
        <f>AJ10</f>
        <v>10.63</v>
      </c>
      <c r="DB10">
        <f>ROUND((ROUND(AT10*CZ10,2)*ROUND(1.25,7)),0)</f>
        <v>288</v>
      </c>
      <c r="DC10">
        <f>ROUND((ROUND(AT10*AG10,2)*ROUND(1.25,7)),0)</f>
        <v>27</v>
      </c>
    </row>
    <row r="11" spans="1:107" x14ac:dyDescent="0.2">
      <c r="A11">
        <f>ROW(Source!A30)</f>
        <v>30</v>
      </c>
      <c r="B11">
        <v>29836452</v>
      </c>
      <c r="C11">
        <v>29836644</v>
      </c>
      <c r="D11">
        <v>28337209</v>
      </c>
      <c r="E11">
        <v>1</v>
      </c>
      <c r="F11">
        <v>1</v>
      </c>
      <c r="G11">
        <v>1</v>
      </c>
      <c r="H11">
        <v>2</v>
      </c>
      <c r="I11" t="s">
        <v>335</v>
      </c>
      <c r="J11" t="s">
        <v>336</v>
      </c>
      <c r="K11" t="s">
        <v>337</v>
      </c>
      <c r="L11">
        <v>1368</v>
      </c>
      <c r="N11">
        <v>1011</v>
      </c>
      <c r="O11" t="s">
        <v>317</v>
      </c>
      <c r="P11" t="s">
        <v>317</v>
      </c>
      <c r="Q11">
        <v>1</v>
      </c>
      <c r="W11">
        <v>0</v>
      </c>
      <c r="X11">
        <v>613196415</v>
      </c>
      <c r="Y11">
        <v>15.262500000000001</v>
      </c>
      <c r="AA11">
        <v>0</v>
      </c>
      <c r="AB11">
        <v>2201.69</v>
      </c>
      <c r="AC11">
        <v>452.91</v>
      </c>
      <c r="AD11">
        <v>0</v>
      </c>
      <c r="AE11">
        <v>0</v>
      </c>
      <c r="AF11">
        <v>207.12</v>
      </c>
      <c r="AG11">
        <v>12.63</v>
      </c>
      <c r="AH11">
        <v>0</v>
      </c>
      <c r="AI11">
        <v>1</v>
      </c>
      <c r="AJ11">
        <v>10.63</v>
      </c>
      <c r="AK11">
        <v>35.86</v>
      </c>
      <c r="AL11">
        <v>1</v>
      </c>
      <c r="AN11">
        <v>0</v>
      </c>
      <c r="AO11">
        <v>1</v>
      </c>
      <c r="AP11">
        <v>1</v>
      </c>
      <c r="AQ11">
        <v>0</v>
      </c>
      <c r="AR11">
        <v>0</v>
      </c>
      <c r="AS11" t="s">
        <v>3</v>
      </c>
      <c r="AT11">
        <v>12.21</v>
      </c>
      <c r="AU11" t="s">
        <v>31</v>
      </c>
      <c r="AV11">
        <v>0</v>
      </c>
      <c r="AW11">
        <v>2</v>
      </c>
      <c r="AX11">
        <v>29836658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Y11*Source!I30</f>
        <v>40.140374999999999</v>
      </c>
      <c r="CY11">
        <f>AB11</f>
        <v>2201.69</v>
      </c>
      <c r="CZ11">
        <f>AF11</f>
        <v>207.12</v>
      </c>
      <c r="DA11">
        <f>AJ11</f>
        <v>10.63</v>
      </c>
      <c r="DB11">
        <f>ROUND((ROUND(AT11*CZ11,2)*ROUND(1.25,7)),0)</f>
        <v>3161</v>
      </c>
      <c r="DC11">
        <f>ROUND((ROUND(AT11*AG11,2)*ROUND(1.25,7)),0)</f>
        <v>193</v>
      </c>
    </row>
    <row r="12" spans="1:107" x14ac:dyDescent="0.2">
      <c r="A12">
        <f>ROW(Source!A30)</f>
        <v>30</v>
      </c>
      <c r="B12">
        <v>29836452</v>
      </c>
      <c r="C12">
        <v>29836644</v>
      </c>
      <c r="D12">
        <v>28337789</v>
      </c>
      <c r="E12">
        <v>1</v>
      </c>
      <c r="F12">
        <v>1</v>
      </c>
      <c r="G12">
        <v>1</v>
      </c>
      <c r="H12">
        <v>2</v>
      </c>
      <c r="I12" t="s">
        <v>338</v>
      </c>
      <c r="J12" t="s">
        <v>339</v>
      </c>
      <c r="K12" t="s">
        <v>340</v>
      </c>
      <c r="L12">
        <v>1368</v>
      </c>
      <c r="N12">
        <v>1011</v>
      </c>
      <c r="O12" t="s">
        <v>317</v>
      </c>
      <c r="P12" t="s">
        <v>317</v>
      </c>
      <c r="Q12">
        <v>1</v>
      </c>
      <c r="W12">
        <v>0</v>
      </c>
      <c r="X12">
        <v>-929913149</v>
      </c>
      <c r="Y12">
        <v>1.3</v>
      </c>
      <c r="AA12">
        <v>0</v>
      </c>
      <c r="AB12">
        <v>1269.6500000000001</v>
      </c>
      <c r="AC12">
        <v>363.26</v>
      </c>
      <c r="AD12">
        <v>0</v>
      </c>
      <c r="AE12">
        <v>0</v>
      </c>
      <c r="AF12">
        <v>119.44</v>
      </c>
      <c r="AG12">
        <v>10.130000000000001</v>
      </c>
      <c r="AH12">
        <v>0</v>
      </c>
      <c r="AI12">
        <v>1</v>
      </c>
      <c r="AJ12">
        <v>10.63</v>
      </c>
      <c r="AK12">
        <v>35.86</v>
      </c>
      <c r="AL12">
        <v>1</v>
      </c>
      <c r="AN12">
        <v>0</v>
      </c>
      <c r="AO12">
        <v>1</v>
      </c>
      <c r="AP12">
        <v>1</v>
      </c>
      <c r="AQ12">
        <v>0</v>
      </c>
      <c r="AR12">
        <v>0</v>
      </c>
      <c r="AS12" t="s">
        <v>3</v>
      </c>
      <c r="AT12">
        <v>1.04</v>
      </c>
      <c r="AU12" t="s">
        <v>31</v>
      </c>
      <c r="AV12">
        <v>0</v>
      </c>
      <c r="AW12">
        <v>2</v>
      </c>
      <c r="AX12">
        <v>29836659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Y12*Source!I30</f>
        <v>3.419</v>
      </c>
      <c r="CY12">
        <f>AB12</f>
        <v>1269.6500000000001</v>
      </c>
      <c r="CZ12">
        <f>AF12</f>
        <v>119.44</v>
      </c>
      <c r="DA12">
        <f>AJ12</f>
        <v>10.63</v>
      </c>
      <c r="DB12">
        <f>ROUND((ROUND(AT12*CZ12,2)*ROUND(1.25,7)),0)</f>
        <v>155</v>
      </c>
      <c r="DC12">
        <f>ROUND((ROUND(AT12*AG12,2)*ROUND(1.25,7)),0)</f>
        <v>13</v>
      </c>
    </row>
    <row r="13" spans="1:107" x14ac:dyDescent="0.2">
      <c r="A13">
        <f>ROW(Source!A30)</f>
        <v>30</v>
      </c>
      <c r="B13">
        <v>29836452</v>
      </c>
      <c r="C13">
        <v>29836644</v>
      </c>
      <c r="D13">
        <v>28253181</v>
      </c>
      <c r="E13">
        <v>1</v>
      </c>
      <c r="F13">
        <v>1</v>
      </c>
      <c r="G13">
        <v>1</v>
      </c>
      <c r="H13">
        <v>3</v>
      </c>
      <c r="I13" t="s">
        <v>341</v>
      </c>
      <c r="J13" t="s">
        <v>342</v>
      </c>
      <c r="K13" t="s">
        <v>343</v>
      </c>
      <c r="L13">
        <v>1339</v>
      </c>
      <c r="N13">
        <v>1007</v>
      </c>
      <c r="O13" t="s">
        <v>56</v>
      </c>
      <c r="P13" t="s">
        <v>56</v>
      </c>
      <c r="Q13">
        <v>1</v>
      </c>
      <c r="W13">
        <v>0</v>
      </c>
      <c r="X13">
        <v>82350058</v>
      </c>
      <c r="Y13">
        <v>7</v>
      </c>
      <c r="AA13">
        <v>17.71</v>
      </c>
      <c r="AB13">
        <v>0</v>
      </c>
      <c r="AC13">
        <v>0</v>
      </c>
      <c r="AD13">
        <v>0</v>
      </c>
      <c r="AE13">
        <v>2.44</v>
      </c>
      <c r="AF13">
        <v>0</v>
      </c>
      <c r="AG13">
        <v>0</v>
      </c>
      <c r="AH13">
        <v>0</v>
      </c>
      <c r="AI13">
        <v>7.26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3</v>
      </c>
      <c r="AT13">
        <v>7</v>
      </c>
      <c r="AU13" t="s">
        <v>3</v>
      </c>
      <c r="AV13">
        <v>0</v>
      </c>
      <c r="AW13">
        <v>2</v>
      </c>
      <c r="AX13">
        <v>29836660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Y13*Source!I30</f>
        <v>18.41</v>
      </c>
      <c r="CY13">
        <f>AA13</f>
        <v>17.71</v>
      </c>
      <c r="CZ13">
        <f>AE13</f>
        <v>2.44</v>
      </c>
      <c r="DA13">
        <f>AI13</f>
        <v>7.26</v>
      </c>
      <c r="DB13">
        <f t="shared" ref="DB13:DB21" si="0">ROUND(ROUND(AT13*CZ13,2),0)</f>
        <v>17</v>
      </c>
      <c r="DC13">
        <f t="shared" ref="DC13:DC21" si="1">ROUND(ROUND(AT13*AG13,2),0)</f>
        <v>0</v>
      </c>
    </row>
    <row r="14" spans="1:107" x14ac:dyDescent="0.2">
      <c r="A14">
        <f>ROW(Source!A33)</f>
        <v>33</v>
      </c>
      <c r="B14">
        <v>29836452</v>
      </c>
      <c r="C14">
        <v>29837195</v>
      </c>
      <c r="D14">
        <v>28421130</v>
      </c>
      <c r="E14">
        <v>1</v>
      </c>
      <c r="F14">
        <v>1</v>
      </c>
      <c r="G14">
        <v>1</v>
      </c>
      <c r="H14">
        <v>1</v>
      </c>
      <c r="I14" t="s">
        <v>344</v>
      </c>
      <c r="J14" t="s">
        <v>3</v>
      </c>
      <c r="K14" t="s">
        <v>345</v>
      </c>
      <c r="L14">
        <v>1191</v>
      </c>
      <c r="N14">
        <v>1013</v>
      </c>
      <c r="O14" t="s">
        <v>311</v>
      </c>
      <c r="P14" t="s">
        <v>311</v>
      </c>
      <c r="Q14">
        <v>1</v>
      </c>
      <c r="W14">
        <v>0</v>
      </c>
      <c r="X14">
        <v>345986933</v>
      </c>
      <c r="Y14">
        <v>15.72</v>
      </c>
      <c r="AA14">
        <v>0</v>
      </c>
      <c r="AB14">
        <v>0</v>
      </c>
      <c r="AC14">
        <v>0</v>
      </c>
      <c r="AD14">
        <v>256.76</v>
      </c>
      <c r="AE14">
        <v>0</v>
      </c>
      <c r="AF14">
        <v>0</v>
      </c>
      <c r="AG14">
        <v>0</v>
      </c>
      <c r="AH14">
        <v>7.16</v>
      </c>
      <c r="AI14">
        <v>1</v>
      </c>
      <c r="AJ14">
        <v>1</v>
      </c>
      <c r="AK14">
        <v>1</v>
      </c>
      <c r="AL14">
        <v>35.86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3</v>
      </c>
      <c r="AT14">
        <v>15.72</v>
      </c>
      <c r="AU14" t="s">
        <v>3</v>
      </c>
      <c r="AV14">
        <v>1</v>
      </c>
      <c r="AW14">
        <v>2</v>
      </c>
      <c r="AX14">
        <v>29837196</v>
      </c>
      <c r="AY14">
        <v>1</v>
      </c>
      <c r="AZ14">
        <v>0</v>
      </c>
      <c r="BA14">
        <v>15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Y14*Source!I33</f>
        <v>27.934439999999999</v>
      </c>
      <c r="CY14">
        <f>AD14</f>
        <v>256.76</v>
      </c>
      <c r="CZ14">
        <f>AH14</f>
        <v>7.16</v>
      </c>
      <c r="DA14">
        <f>AL14</f>
        <v>35.86</v>
      </c>
      <c r="DB14">
        <f t="shared" si="0"/>
        <v>113</v>
      </c>
      <c r="DC14">
        <f t="shared" si="1"/>
        <v>0</v>
      </c>
    </row>
    <row r="15" spans="1:107" x14ac:dyDescent="0.2">
      <c r="A15">
        <f>ROW(Source!A33)</f>
        <v>33</v>
      </c>
      <c r="B15">
        <v>29836452</v>
      </c>
      <c r="C15">
        <v>29837195</v>
      </c>
      <c r="D15">
        <v>28419515</v>
      </c>
      <c r="E15">
        <v>1</v>
      </c>
      <c r="F15">
        <v>1</v>
      </c>
      <c r="G15">
        <v>1</v>
      </c>
      <c r="H15">
        <v>1</v>
      </c>
      <c r="I15" t="s">
        <v>312</v>
      </c>
      <c r="J15" t="s">
        <v>3</v>
      </c>
      <c r="K15" t="s">
        <v>313</v>
      </c>
      <c r="L15">
        <v>1191</v>
      </c>
      <c r="N15">
        <v>1013</v>
      </c>
      <c r="O15" t="s">
        <v>311</v>
      </c>
      <c r="P15" t="s">
        <v>311</v>
      </c>
      <c r="Q15">
        <v>1</v>
      </c>
      <c r="W15">
        <v>0</v>
      </c>
      <c r="X15">
        <v>-383101862</v>
      </c>
      <c r="Y15">
        <v>14.81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1</v>
      </c>
      <c r="AJ15">
        <v>1</v>
      </c>
      <c r="AK15">
        <v>35.86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3</v>
      </c>
      <c r="AT15">
        <v>14.81</v>
      </c>
      <c r="AU15" t="s">
        <v>3</v>
      </c>
      <c r="AV15">
        <v>2</v>
      </c>
      <c r="AW15">
        <v>2</v>
      </c>
      <c r="AX15">
        <v>29837197</v>
      </c>
      <c r="AY15">
        <v>1</v>
      </c>
      <c r="AZ15">
        <v>0</v>
      </c>
      <c r="BA15">
        <v>16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Y15*Source!I33</f>
        <v>26.31737</v>
      </c>
      <c r="CY15">
        <f>AD15</f>
        <v>0</v>
      </c>
      <c r="CZ15">
        <f>AH15</f>
        <v>0</v>
      </c>
      <c r="DA15">
        <f>AL15</f>
        <v>1</v>
      </c>
      <c r="DB15">
        <f t="shared" si="0"/>
        <v>0</v>
      </c>
      <c r="DC15">
        <f t="shared" si="1"/>
        <v>0</v>
      </c>
    </row>
    <row r="16" spans="1:107" x14ac:dyDescent="0.2">
      <c r="A16">
        <f>ROW(Source!A33)</f>
        <v>33</v>
      </c>
      <c r="B16">
        <v>29836452</v>
      </c>
      <c r="C16">
        <v>29837195</v>
      </c>
      <c r="D16">
        <v>28335972</v>
      </c>
      <c r="E16">
        <v>1</v>
      </c>
      <c r="F16">
        <v>1</v>
      </c>
      <c r="G16">
        <v>1</v>
      </c>
      <c r="H16">
        <v>2</v>
      </c>
      <c r="I16" t="s">
        <v>329</v>
      </c>
      <c r="J16" t="s">
        <v>330</v>
      </c>
      <c r="K16" t="s">
        <v>331</v>
      </c>
      <c r="L16">
        <v>1368</v>
      </c>
      <c r="N16">
        <v>1011</v>
      </c>
      <c r="O16" t="s">
        <v>317</v>
      </c>
      <c r="P16" t="s">
        <v>317</v>
      </c>
      <c r="Q16">
        <v>1</v>
      </c>
      <c r="W16">
        <v>0</v>
      </c>
      <c r="X16">
        <v>-178805863</v>
      </c>
      <c r="Y16">
        <v>1.93</v>
      </c>
      <c r="AA16">
        <v>0</v>
      </c>
      <c r="AB16">
        <v>1346.93</v>
      </c>
      <c r="AC16">
        <v>424.58</v>
      </c>
      <c r="AD16">
        <v>0</v>
      </c>
      <c r="AE16">
        <v>0</v>
      </c>
      <c r="AF16">
        <v>126.71</v>
      </c>
      <c r="AG16">
        <v>11.84</v>
      </c>
      <c r="AH16">
        <v>0</v>
      </c>
      <c r="AI16">
        <v>1</v>
      </c>
      <c r="AJ16">
        <v>10.63</v>
      </c>
      <c r="AK16">
        <v>35.86</v>
      </c>
      <c r="AL16">
        <v>1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3</v>
      </c>
      <c r="AT16">
        <v>1.93</v>
      </c>
      <c r="AU16" t="s">
        <v>3</v>
      </c>
      <c r="AV16">
        <v>0</v>
      </c>
      <c r="AW16">
        <v>2</v>
      </c>
      <c r="AX16">
        <v>29837198</v>
      </c>
      <c r="AY16">
        <v>1</v>
      </c>
      <c r="AZ16">
        <v>0</v>
      </c>
      <c r="BA16">
        <v>17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Y16*Source!I33</f>
        <v>3.4296099999999998</v>
      </c>
      <c r="CY16">
        <f>AB16</f>
        <v>1346.93</v>
      </c>
      <c r="CZ16">
        <f>AF16</f>
        <v>126.71</v>
      </c>
      <c r="DA16">
        <f>AJ16</f>
        <v>10.63</v>
      </c>
      <c r="DB16">
        <f t="shared" si="0"/>
        <v>245</v>
      </c>
      <c r="DC16">
        <f t="shared" si="1"/>
        <v>23</v>
      </c>
    </row>
    <row r="17" spans="1:107" x14ac:dyDescent="0.2">
      <c r="A17">
        <f>ROW(Source!A33)</f>
        <v>33</v>
      </c>
      <c r="B17">
        <v>29836452</v>
      </c>
      <c r="C17">
        <v>29837195</v>
      </c>
      <c r="D17">
        <v>28336884</v>
      </c>
      <c r="E17">
        <v>1</v>
      </c>
      <c r="F17">
        <v>1</v>
      </c>
      <c r="G17">
        <v>1</v>
      </c>
      <c r="H17">
        <v>2</v>
      </c>
      <c r="I17" t="s">
        <v>332</v>
      </c>
      <c r="J17" t="s">
        <v>333</v>
      </c>
      <c r="K17" t="s">
        <v>334</v>
      </c>
      <c r="L17">
        <v>1368</v>
      </c>
      <c r="N17">
        <v>1011</v>
      </c>
      <c r="O17" t="s">
        <v>317</v>
      </c>
      <c r="P17" t="s">
        <v>317</v>
      </c>
      <c r="Q17">
        <v>1</v>
      </c>
      <c r="W17">
        <v>0</v>
      </c>
      <c r="X17">
        <v>-1700234874</v>
      </c>
      <c r="Y17">
        <v>4.76</v>
      </c>
      <c r="AA17">
        <v>0</v>
      </c>
      <c r="AB17">
        <v>996.35</v>
      </c>
      <c r="AC17">
        <v>316.29000000000002</v>
      </c>
      <c r="AD17">
        <v>0</v>
      </c>
      <c r="AE17">
        <v>0</v>
      </c>
      <c r="AF17">
        <v>93.73</v>
      </c>
      <c r="AG17">
        <v>8.82</v>
      </c>
      <c r="AH17">
        <v>0</v>
      </c>
      <c r="AI17">
        <v>1</v>
      </c>
      <c r="AJ17">
        <v>10.63</v>
      </c>
      <c r="AK17">
        <v>35.86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 t="s">
        <v>3</v>
      </c>
      <c r="AT17">
        <v>4.76</v>
      </c>
      <c r="AU17" t="s">
        <v>3</v>
      </c>
      <c r="AV17">
        <v>0</v>
      </c>
      <c r="AW17">
        <v>2</v>
      </c>
      <c r="AX17">
        <v>29837199</v>
      </c>
      <c r="AY17">
        <v>1</v>
      </c>
      <c r="AZ17">
        <v>0</v>
      </c>
      <c r="BA17">
        <v>18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Y17*Source!I33</f>
        <v>8.45852</v>
      </c>
      <c r="CY17">
        <f>AB17</f>
        <v>996.35</v>
      </c>
      <c r="CZ17">
        <f>AF17</f>
        <v>93.73</v>
      </c>
      <c r="DA17">
        <f>AJ17</f>
        <v>10.63</v>
      </c>
      <c r="DB17">
        <f t="shared" si="0"/>
        <v>446</v>
      </c>
      <c r="DC17">
        <f t="shared" si="1"/>
        <v>42</v>
      </c>
    </row>
    <row r="18" spans="1:107" x14ac:dyDescent="0.2">
      <c r="A18">
        <f>ROW(Source!A33)</f>
        <v>33</v>
      </c>
      <c r="B18">
        <v>29836452</v>
      </c>
      <c r="C18">
        <v>29837195</v>
      </c>
      <c r="D18">
        <v>28337209</v>
      </c>
      <c r="E18">
        <v>1</v>
      </c>
      <c r="F18">
        <v>1</v>
      </c>
      <c r="G18">
        <v>1</v>
      </c>
      <c r="H18">
        <v>2</v>
      </c>
      <c r="I18" t="s">
        <v>335</v>
      </c>
      <c r="J18" t="s">
        <v>336</v>
      </c>
      <c r="K18" t="s">
        <v>337</v>
      </c>
      <c r="L18">
        <v>1368</v>
      </c>
      <c r="N18">
        <v>1011</v>
      </c>
      <c r="O18" t="s">
        <v>317</v>
      </c>
      <c r="P18" t="s">
        <v>317</v>
      </c>
      <c r="Q18">
        <v>1</v>
      </c>
      <c r="W18">
        <v>0</v>
      </c>
      <c r="X18">
        <v>613196415</v>
      </c>
      <c r="Y18">
        <v>7.08</v>
      </c>
      <c r="AA18">
        <v>0</v>
      </c>
      <c r="AB18">
        <v>2201.69</v>
      </c>
      <c r="AC18">
        <v>452.91</v>
      </c>
      <c r="AD18">
        <v>0</v>
      </c>
      <c r="AE18">
        <v>0</v>
      </c>
      <c r="AF18">
        <v>207.12</v>
      </c>
      <c r="AG18">
        <v>12.63</v>
      </c>
      <c r="AH18">
        <v>0</v>
      </c>
      <c r="AI18">
        <v>1</v>
      </c>
      <c r="AJ18">
        <v>10.63</v>
      </c>
      <c r="AK18">
        <v>35.86</v>
      </c>
      <c r="AL18">
        <v>1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3</v>
      </c>
      <c r="AT18">
        <v>7.08</v>
      </c>
      <c r="AU18" t="s">
        <v>3</v>
      </c>
      <c r="AV18">
        <v>0</v>
      </c>
      <c r="AW18">
        <v>2</v>
      </c>
      <c r="AX18">
        <v>29837200</v>
      </c>
      <c r="AY18">
        <v>1</v>
      </c>
      <c r="AZ18">
        <v>0</v>
      </c>
      <c r="BA18">
        <v>19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Y18*Source!I33</f>
        <v>12.581159999999999</v>
      </c>
      <c r="CY18">
        <f>AB18</f>
        <v>2201.69</v>
      </c>
      <c r="CZ18">
        <f>AF18</f>
        <v>207.12</v>
      </c>
      <c r="DA18">
        <f>AJ18</f>
        <v>10.63</v>
      </c>
      <c r="DB18">
        <f t="shared" si="0"/>
        <v>1466</v>
      </c>
      <c r="DC18">
        <f t="shared" si="1"/>
        <v>89</v>
      </c>
    </row>
    <row r="19" spans="1:107" x14ac:dyDescent="0.2">
      <c r="A19">
        <f>ROW(Source!A33)</f>
        <v>33</v>
      </c>
      <c r="B19">
        <v>29836452</v>
      </c>
      <c r="C19">
        <v>29837195</v>
      </c>
      <c r="D19">
        <v>28337789</v>
      </c>
      <c r="E19">
        <v>1</v>
      </c>
      <c r="F19">
        <v>1</v>
      </c>
      <c r="G19">
        <v>1</v>
      </c>
      <c r="H19">
        <v>2</v>
      </c>
      <c r="I19" t="s">
        <v>338</v>
      </c>
      <c r="J19" t="s">
        <v>339</v>
      </c>
      <c r="K19" t="s">
        <v>340</v>
      </c>
      <c r="L19">
        <v>1368</v>
      </c>
      <c r="N19">
        <v>1011</v>
      </c>
      <c r="O19" t="s">
        <v>317</v>
      </c>
      <c r="P19" t="s">
        <v>317</v>
      </c>
      <c r="Q19">
        <v>1</v>
      </c>
      <c r="W19">
        <v>0</v>
      </c>
      <c r="X19">
        <v>-929913149</v>
      </c>
      <c r="Y19">
        <v>1.04</v>
      </c>
      <c r="AA19">
        <v>0</v>
      </c>
      <c r="AB19">
        <v>1269.6500000000001</v>
      </c>
      <c r="AC19">
        <v>363.26</v>
      </c>
      <c r="AD19">
        <v>0</v>
      </c>
      <c r="AE19">
        <v>0</v>
      </c>
      <c r="AF19">
        <v>119.44</v>
      </c>
      <c r="AG19">
        <v>10.130000000000001</v>
      </c>
      <c r="AH19">
        <v>0</v>
      </c>
      <c r="AI19">
        <v>1</v>
      </c>
      <c r="AJ19">
        <v>10.63</v>
      </c>
      <c r="AK19">
        <v>35.86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S19" t="s">
        <v>3</v>
      </c>
      <c r="AT19">
        <v>1.04</v>
      </c>
      <c r="AU19" t="s">
        <v>3</v>
      </c>
      <c r="AV19">
        <v>0</v>
      </c>
      <c r="AW19">
        <v>2</v>
      </c>
      <c r="AX19">
        <v>29837201</v>
      </c>
      <c r="AY19">
        <v>1</v>
      </c>
      <c r="AZ19">
        <v>0</v>
      </c>
      <c r="BA19">
        <v>20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Y19*Source!I33</f>
        <v>1.8480799999999999</v>
      </c>
      <c r="CY19">
        <f>AB19</f>
        <v>1269.6500000000001</v>
      </c>
      <c r="CZ19">
        <f>AF19</f>
        <v>119.44</v>
      </c>
      <c r="DA19">
        <f>AJ19</f>
        <v>10.63</v>
      </c>
      <c r="DB19">
        <f t="shared" si="0"/>
        <v>124</v>
      </c>
      <c r="DC19">
        <f t="shared" si="1"/>
        <v>11</v>
      </c>
    </row>
    <row r="20" spans="1:107" x14ac:dyDescent="0.2">
      <c r="A20">
        <f>ROW(Source!A33)</f>
        <v>33</v>
      </c>
      <c r="B20">
        <v>29836452</v>
      </c>
      <c r="C20">
        <v>29837195</v>
      </c>
      <c r="D20">
        <v>28253181</v>
      </c>
      <c r="E20">
        <v>1</v>
      </c>
      <c r="F20">
        <v>1</v>
      </c>
      <c r="G20">
        <v>1</v>
      </c>
      <c r="H20">
        <v>3</v>
      </c>
      <c r="I20" t="s">
        <v>341</v>
      </c>
      <c r="J20" t="s">
        <v>342</v>
      </c>
      <c r="K20" t="s">
        <v>343</v>
      </c>
      <c r="L20">
        <v>1339</v>
      </c>
      <c r="N20">
        <v>1007</v>
      </c>
      <c r="O20" t="s">
        <v>56</v>
      </c>
      <c r="P20" t="s">
        <v>56</v>
      </c>
      <c r="Q20">
        <v>1</v>
      </c>
      <c r="W20">
        <v>0</v>
      </c>
      <c r="X20">
        <v>82350058</v>
      </c>
      <c r="Y20">
        <v>7</v>
      </c>
      <c r="AA20">
        <v>17.71</v>
      </c>
      <c r="AB20">
        <v>0</v>
      </c>
      <c r="AC20">
        <v>0</v>
      </c>
      <c r="AD20">
        <v>0</v>
      </c>
      <c r="AE20">
        <v>2.44</v>
      </c>
      <c r="AF20">
        <v>0</v>
      </c>
      <c r="AG20">
        <v>0</v>
      </c>
      <c r="AH20">
        <v>0</v>
      </c>
      <c r="AI20">
        <v>7.26</v>
      </c>
      <c r="AJ20">
        <v>1</v>
      </c>
      <c r="AK20">
        <v>1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S20" t="s">
        <v>3</v>
      </c>
      <c r="AT20">
        <v>7</v>
      </c>
      <c r="AU20" t="s">
        <v>3</v>
      </c>
      <c r="AV20">
        <v>0</v>
      </c>
      <c r="AW20">
        <v>2</v>
      </c>
      <c r="AX20">
        <v>29837202</v>
      </c>
      <c r="AY20">
        <v>1</v>
      </c>
      <c r="AZ20">
        <v>0</v>
      </c>
      <c r="BA20">
        <v>21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Y20*Source!I33</f>
        <v>12.439</v>
      </c>
      <c r="CY20">
        <f>AA20</f>
        <v>17.71</v>
      </c>
      <c r="CZ20">
        <f>AE20</f>
        <v>2.44</v>
      </c>
      <c r="DA20">
        <f>AI20</f>
        <v>7.26</v>
      </c>
      <c r="DB20">
        <f t="shared" si="0"/>
        <v>17</v>
      </c>
      <c r="DC20">
        <f t="shared" si="1"/>
        <v>0</v>
      </c>
    </row>
    <row r="21" spans="1:107" x14ac:dyDescent="0.2">
      <c r="A21">
        <f>ROW(Source!A33)</f>
        <v>33</v>
      </c>
      <c r="B21">
        <v>29836452</v>
      </c>
      <c r="C21">
        <v>29837195</v>
      </c>
      <c r="D21">
        <v>28250006</v>
      </c>
      <c r="E21">
        <v>21</v>
      </c>
      <c r="F21">
        <v>1</v>
      </c>
      <c r="G21">
        <v>1</v>
      </c>
      <c r="H21">
        <v>3</v>
      </c>
      <c r="I21" t="s">
        <v>70</v>
      </c>
      <c r="J21" t="s">
        <v>3</v>
      </c>
      <c r="K21" t="s">
        <v>71</v>
      </c>
      <c r="L21">
        <v>1339</v>
      </c>
      <c r="N21">
        <v>1007</v>
      </c>
      <c r="O21" t="s">
        <v>56</v>
      </c>
      <c r="P21" t="s">
        <v>56</v>
      </c>
      <c r="Q21">
        <v>1</v>
      </c>
      <c r="W21">
        <v>0</v>
      </c>
      <c r="X21">
        <v>-784639423</v>
      </c>
      <c r="Y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7.26</v>
      </c>
      <c r="AJ21">
        <v>1</v>
      </c>
      <c r="AK21">
        <v>1</v>
      </c>
      <c r="AL21">
        <v>1</v>
      </c>
      <c r="AN21">
        <v>1</v>
      </c>
      <c r="AO21">
        <v>0</v>
      </c>
      <c r="AP21">
        <v>0</v>
      </c>
      <c r="AQ21">
        <v>0</v>
      </c>
      <c r="AR21">
        <v>0</v>
      </c>
      <c r="AS21" t="s">
        <v>3</v>
      </c>
      <c r="AT21">
        <v>0</v>
      </c>
      <c r="AU21" t="s">
        <v>3</v>
      </c>
      <c r="AV21">
        <v>0</v>
      </c>
      <c r="AW21">
        <v>2</v>
      </c>
      <c r="AX21">
        <v>29837203</v>
      </c>
      <c r="AY21">
        <v>1</v>
      </c>
      <c r="AZ21">
        <v>0</v>
      </c>
      <c r="BA21">
        <v>22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Y21*Source!I33</f>
        <v>0</v>
      </c>
      <c r="CY21">
        <f>AA21</f>
        <v>0</v>
      </c>
      <c r="CZ21">
        <f>AE21</f>
        <v>0</v>
      </c>
      <c r="DA21">
        <f>AI21</f>
        <v>7.26</v>
      </c>
      <c r="DB21">
        <f t="shared" si="0"/>
        <v>0</v>
      </c>
      <c r="DC21">
        <f t="shared" si="1"/>
        <v>0</v>
      </c>
    </row>
    <row r="22" spans="1:107" x14ac:dyDescent="0.2">
      <c r="A22">
        <f>ROW(Source!A36)</f>
        <v>36</v>
      </c>
      <c r="B22">
        <v>29836452</v>
      </c>
      <c r="C22">
        <v>29836664</v>
      </c>
      <c r="D22">
        <v>28425676</v>
      </c>
      <c r="E22">
        <v>1</v>
      </c>
      <c r="F22">
        <v>1</v>
      </c>
      <c r="G22">
        <v>1</v>
      </c>
      <c r="H22">
        <v>1</v>
      </c>
      <c r="I22" t="s">
        <v>346</v>
      </c>
      <c r="J22" t="s">
        <v>3</v>
      </c>
      <c r="K22" t="s">
        <v>347</v>
      </c>
      <c r="L22">
        <v>1191</v>
      </c>
      <c r="N22">
        <v>1013</v>
      </c>
      <c r="O22" t="s">
        <v>311</v>
      </c>
      <c r="P22" t="s">
        <v>311</v>
      </c>
      <c r="Q22">
        <v>1</v>
      </c>
      <c r="W22">
        <v>0</v>
      </c>
      <c r="X22">
        <v>-1853062777</v>
      </c>
      <c r="Y22">
        <v>44.044999999999995</v>
      </c>
      <c r="AA22">
        <v>0</v>
      </c>
      <c r="AB22">
        <v>0</v>
      </c>
      <c r="AC22">
        <v>0</v>
      </c>
      <c r="AD22">
        <v>308.04000000000002</v>
      </c>
      <c r="AE22">
        <v>0</v>
      </c>
      <c r="AF22">
        <v>0</v>
      </c>
      <c r="AG22">
        <v>0</v>
      </c>
      <c r="AH22">
        <v>8.59</v>
      </c>
      <c r="AI22">
        <v>1</v>
      </c>
      <c r="AJ22">
        <v>1</v>
      </c>
      <c r="AK22">
        <v>1</v>
      </c>
      <c r="AL22">
        <v>35.86</v>
      </c>
      <c r="AN22">
        <v>0</v>
      </c>
      <c r="AO22">
        <v>1</v>
      </c>
      <c r="AP22">
        <v>1</v>
      </c>
      <c r="AQ22">
        <v>0</v>
      </c>
      <c r="AR22">
        <v>0</v>
      </c>
      <c r="AS22" t="s">
        <v>3</v>
      </c>
      <c r="AT22">
        <v>38.299999999999997</v>
      </c>
      <c r="AU22" t="s">
        <v>32</v>
      </c>
      <c r="AV22">
        <v>1</v>
      </c>
      <c r="AW22">
        <v>2</v>
      </c>
      <c r="AX22">
        <v>29836679</v>
      </c>
      <c r="AY22">
        <v>1</v>
      </c>
      <c r="AZ22">
        <v>0</v>
      </c>
      <c r="BA22">
        <v>23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Y22*Source!I36</f>
        <v>88.089999999999989</v>
      </c>
      <c r="CY22">
        <f>AD22</f>
        <v>308.04000000000002</v>
      </c>
      <c r="CZ22">
        <f>AH22</f>
        <v>8.59</v>
      </c>
      <c r="DA22">
        <f>AL22</f>
        <v>35.86</v>
      </c>
      <c r="DB22">
        <f>ROUND((ROUND(AT22*CZ22,2)*ROUND(1.15,7)),0)</f>
        <v>378</v>
      </c>
      <c r="DC22">
        <f>ROUND((ROUND(AT22*AG22,2)*ROUND(1.15,7)),0)</f>
        <v>0</v>
      </c>
    </row>
    <row r="23" spans="1:107" x14ac:dyDescent="0.2">
      <c r="A23">
        <f>ROW(Source!A36)</f>
        <v>36</v>
      </c>
      <c r="B23">
        <v>29836452</v>
      </c>
      <c r="C23">
        <v>29836664</v>
      </c>
      <c r="D23">
        <v>28419515</v>
      </c>
      <c r="E23">
        <v>1</v>
      </c>
      <c r="F23">
        <v>1</v>
      </c>
      <c r="G23">
        <v>1</v>
      </c>
      <c r="H23">
        <v>1</v>
      </c>
      <c r="I23" t="s">
        <v>312</v>
      </c>
      <c r="J23" t="s">
        <v>3</v>
      </c>
      <c r="K23" t="s">
        <v>313</v>
      </c>
      <c r="L23">
        <v>1191</v>
      </c>
      <c r="N23">
        <v>1013</v>
      </c>
      <c r="O23" t="s">
        <v>311</v>
      </c>
      <c r="P23" t="s">
        <v>311</v>
      </c>
      <c r="Q23">
        <v>1</v>
      </c>
      <c r="W23">
        <v>0</v>
      </c>
      <c r="X23">
        <v>-383101862</v>
      </c>
      <c r="Y23">
        <v>19.12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1</v>
      </c>
      <c r="AJ23">
        <v>1</v>
      </c>
      <c r="AK23">
        <v>35.86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3</v>
      </c>
      <c r="AT23">
        <v>19.12</v>
      </c>
      <c r="AU23" t="s">
        <v>3</v>
      </c>
      <c r="AV23">
        <v>2</v>
      </c>
      <c r="AW23">
        <v>2</v>
      </c>
      <c r="AX23">
        <v>29836680</v>
      </c>
      <c r="AY23">
        <v>1</v>
      </c>
      <c r="AZ23">
        <v>2048</v>
      </c>
      <c r="BA23">
        <v>24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Y23*Source!I36</f>
        <v>38.24</v>
      </c>
      <c r="CY23">
        <f>AD23</f>
        <v>0</v>
      </c>
      <c r="CZ23">
        <f>AH23</f>
        <v>0</v>
      </c>
      <c r="DA23">
        <f>AL23</f>
        <v>1</v>
      </c>
      <c r="DB23">
        <f>ROUND(ROUND(AT23*CZ23,2),0)</f>
        <v>0</v>
      </c>
      <c r="DC23">
        <f>ROUND(ROUND(AT23*AG23,2),0)</f>
        <v>0</v>
      </c>
    </row>
    <row r="24" spans="1:107" x14ac:dyDescent="0.2">
      <c r="A24">
        <f>ROW(Source!A36)</f>
        <v>36</v>
      </c>
      <c r="B24">
        <v>29836452</v>
      </c>
      <c r="C24">
        <v>29836664</v>
      </c>
      <c r="D24">
        <v>28336675</v>
      </c>
      <c r="E24">
        <v>1</v>
      </c>
      <c r="F24">
        <v>1</v>
      </c>
      <c r="G24">
        <v>1</v>
      </c>
      <c r="H24">
        <v>2</v>
      </c>
      <c r="I24" t="s">
        <v>348</v>
      </c>
      <c r="J24" t="s">
        <v>349</v>
      </c>
      <c r="K24" t="s">
        <v>350</v>
      </c>
      <c r="L24">
        <v>1368</v>
      </c>
      <c r="N24">
        <v>1011</v>
      </c>
      <c r="O24" t="s">
        <v>317</v>
      </c>
      <c r="P24" t="s">
        <v>317</v>
      </c>
      <c r="Q24">
        <v>1</v>
      </c>
      <c r="W24">
        <v>0</v>
      </c>
      <c r="X24">
        <v>903590057</v>
      </c>
      <c r="Y24">
        <v>3.7499999999999999E-2</v>
      </c>
      <c r="AA24">
        <v>0</v>
      </c>
      <c r="AB24">
        <v>1198.75</v>
      </c>
      <c r="AC24">
        <v>424.58</v>
      </c>
      <c r="AD24">
        <v>0</v>
      </c>
      <c r="AE24">
        <v>0</v>
      </c>
      <c r="AF24">
        <v>112.77</v>
      </c>
      <c r="AG24">
        <v>11.84</v>
      </c>
      <c r="AH24">
        <v>0</v>
      </c>
      <c r="AI24">
        <v>1</v>
      </c>
      <c r="AJ24">
        <v>10.63</v>
      </c>
      <c r="AK24">
        <v>35.86</v>
      </c>
      <c r="AL24">
        <v>1</v>
      </c>
      <c r="AN24">
        <v>0</v>
      </c>
      <c r="AO24">
        <v>1</v>
      </c>
      <c r="AP24">
        <v>1</v>
      </c>
      <c r="AQ24">
        <v>0</v>
      </c>
      <c r="AR24">
        <v>0</v>
      </c>
      <c r="AS24" t="s">
        <v>3</v>
      </c>
      <c r="AT24">
        <v>0.03</v>
      </c>
      <c r="AU24" t="s">
        <v>31</v>
      </c>
      <c r="AV24">
        <v>0</v>
      </c>
      <c r="AW24">
        <v>2</v>
      </c>
      <c r="AX24">
        <v>29836681</v>
      </c>
      <c r="AY24">
        <v>1</v>
      </c>
      <c r="AZ24">
        <v>0</v>
      </c>
      <c r="BA24">
        <v>25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Y24*Source!I36</f>
        <v>7.4999999999999997E-2</v>
      </c>
      <c r="CY24">
        <f t="shared" ref="CY24:CY30" si="2">AB24</f>
        <v>1198.75</v>
      </c>
      <c r="CZ24">
        <f t="shared" ref="CZ24:CZ30" si="3">AF24</f>
        <v>112.77</v>
      </c>
      <c r="DA24">
        <f t="shared" ref="DA24:DA30" si="4">AJ24</f>
        <v>10.63</v>
      </c>
      <c r="DB24">
        <f t="shared" ref="DB24:DB30" si="5">ROUND((ROUND(AT24*CZ24,2)*ROUND(1.25,7)),0)</f>
        <v>4</v>
      </c>
      <c r="DC24">
        <f t="shared" ref="DC24:DC30" si="6">ROUND((ROUND(AT24*AG24,2)*ROUND(1.25,7)),0)</f>
        <v>0</v>
      </c>
    </row>
    <row r="25" spans="1:107" x14ac:dyDescent="0.2">
      <c r="A25">
        <f>ROW(Source!A36)</f>
        <v>36</v>
      </c>
      <c r="B25">
        <v>29836452</v>
      </c>
      <c r="C25">
        <v>29836664</v>
      </c>
      <c r="D25">
        <v>28337132</v>
      </c>
      <c r="E25">
        <v>1</v>
      </c>
      <c r="F25">
        <v>1</v>
      </c>
      <c r="G25">
        <v>1</v>
      </c>
      <c r="H25">
        <v>2</v>
      </c>
      <c r="I25" t="s">
        <v>351</v>
      </c>
      <c r="J25" t="s">
        <v>352</v>
      </c>
      <c r="K25" t="s">
        <v>353</v>
      </c>
      <c r="L25">
        <v>1368</v>
      </c>
      <c r="N25">
        <v>1011</v>
      </c>
      <c r="O25" t="s">
        <v>317</v>
      </c>
      <c r="P25" t="s">
        <v>317</v>
      </c>
      <c r="Q25">
        <v>1</v>
      </c>
      <c r="W25">
        <v>0</v>
      </c>
      <c r="X25">
        <v>-1103478361</v>
      </c>
      <c r="Y25">
        <v>3.9874999999999998</v>
      </c>
      <c r="AA25">
        <v>0</v>
      </c>
      <c r="AB25">
        <v>2071.6799999999998</v>
      </c>
      <c r="AC25">
        <v>452.91</v>
      </c>
      <c r="AD25">
        <v>0</v>
      </c>
      <c r="AE25">
        <v>0</v>
      </c>
      <c r="AF25">
        <v>194.89</v>
      </c>
      <c r="AG25">
        <v>12.63</v>
      </c>
      <c r="AH25">
        <v>0</v>
      </c>
      <c r="AI25">
        <v>1</v>
      </c>
      <c r="AJ25">
        <v>10.63</v>
      </c>
      <c r="AK25">
        <v>35.86</v>
      </c>
      <c r="AL25">
        <v>1</v>
      </c>
      <c r="AN25">
        <v>0</v>
      </c>
      <c r="AO25">
        <v>1</v>
      </c>
      <c r="AP25">
        <v>1</v>
      </c>
      <c r="AQ25">
        <v>0</v>
      </c>
      <c r="AR25">
        <v>0</v>
      </c>
      <c r="AS25" t="s">
        <v>3</v>
      </c>
      <c r="AT25">
        <v>3.19</v>
      </c>
      <c r="AU25" t="s">
        <v>31</v>
      </c>
      <c r="AV25">
        <v>0</v>
      </c>
      <c r="AW25">
        <v>2</v>
      </c>
      <c r="AX25">
        <v>29836682</v>
      </c>
      <c r="AY25">
        <v>1</v>
      </c>
      <c r="AZ25">
        <v>0</v>
      </c>
      <c r="BA25">
        <v>26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Y25*Source!I36</f>
        <v>7.9749999999999996</v>
      </c>
      <c r="CY25">
        <f t="shared" si="2"/>
        <v>2071.6799999999998</v>
      </c>
      <c r="CZ25">
        <f t="shared" si="3"/>
        <v>194.89</v>
      </c>
      <c r="DA25">
        <f t="shared" si="4"/>
        <v>10.63</v>
      </c>
      <c r="DB25">
        <f t="shared" si="5"/>
        <v>777</v>
      </c>
      <c r="DC25">
        <f t="shared" si="6"/>
        <v>50</v>
      </c>
    </row>
    <row r="26" spans="1:107" x14ac:dyDescent="0.2">
      <c r="A26">
        <f>ROW(Source!A36)</f>
        <v>36</v>
      </c>
      <c r="B26">
        <v>29836452</v>
      </c>
      <c r="C26">
        <v>29836664</v>
      </c>
      <c r="D26">
        <v>28337147</v>
      </c>
      <c r="E26">
        <v>1</v>
      </c>
      <c r="F26">
        <v>1</v>
      </c>
      <c r="G26">
        <v>1</v>
      </c>
      <c r="H26">
        <v>2</v>
      </c>
      <c r="I26" t="s">
        <v>354</v>
      </c>
      <c r="J26" t="s">
        <v>355</v>
      </c>
      <c r="K26" t="s">
        <v>356</v>
      </c>
      <c r="L26">
        <v>1368</v>
      </c>
      <c r="N26">
        <v>1011</v>
      </c>
      <c r="O26" t="s">
        <v>317</v>
      </c>
      <c r="P26" t="s">
        <v>317</v>
      </c>
      <c r="Q26">
        <v>1</v>
      </c>
      <c r="W26">
        <v>0</v>
      </c>
      <c r="X26">
        <v>-1533253915</v>
      </c>
      <c r="Y26">
        <v>1.75</v>
      </c>
      <c r="AA26">
        <v>0</v>
      </c>
      <c r="AB26">
        <v>182.84</v>
      </c>
      <c r="AC26">
        <v>0</v>
      </c>
      <c r="AD26">
        <v>0</v>
      </c>
      <c r="AE26">
        <v>0</v>
      </c>
      <c r="AF26">
        <v>17.2</v>
      </c>
      <c r="AG26">
        <v>0</v>
      </c>
      <c r="AH26">
        <v>0</v>
      </c>
      <c r="AI26">
        <v>1</v>
      </c>
      <c r="AJ26">
        <v>10.63</v>
      </c>
      <c r="AK26">
        <v>35.86</v>
      </c>
      <c r="AL26">
        <v>1</v>
      </c>
      <c r="AN26">
        <v>0</v>
      </c>
      <c r="AO26">
        <v>1</v>
      </c>
      <c r="AP26">
        <v>1</v>
      </c>
      <c r="AQ26">
        <v>0</v>
      </c>
      <c r="AR26">
        <v>0</v>
      </c>
      <c r="AS26" t="s">
        <v>3</v>
      </c>
      <c r="AT26">
        <v>1.4</v>
      </c>
      <c r="AU26" t="s">
        <v>31</v>
      </c>
      <c r="AV26">
        <v>0</v>
      </c>
      <c r="AW26">
        <v>2</v>
      </c>
      <c r="AX26">
        <v>29836683</v>
      </c>
      <c r="AY26">
        <v>1</v>
      </c>
      <c r="AZ26">
        <v>0</v>
      </c>
      <c r="BA26">
        <v>27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Y26*Source!I36</f>
        <v>3.5</v>
      </c>
      <c r="CY26">
        <f t="shared" si="2"/>
        <v>182.84</v>
      </c>
      <c r="CZ26">
        <f t="shared" si="3"/>
        <v>17.2</v>
      </c>
      <c r="DA26">
        <f t="shared" si="4"/>
        <v>10.63</v>
      </c>
      <c r="DB26">
        <f t="shared" si="5"/>
        <v>30</v>
      </c>
      <c r="DC26">
        <f t="shared" si="6"/>
        <v>0</v>
      </c>
    </row>
    <row r="27" spans="1:107" x14ac:dyDescent="0.2">
      <c r="A27">
        <f>ROW(Source!A36)</f>
        <v>36</v>
      </c>
      <c r="B27">
        <v>29836452</v>
      </c>
      <c r="C27">
        <v>29836664</v>
      </c>
      <c r="D27">
        <v>28337181</v>
      </c>
      <c r="E27">
        <v>1</v>
      </c>
      <c r="F27">
        <v>1</v>
      </c>
      <c r="G27">
        <v>1</v>
      </c>
      <c r="H27">
        <v>2</v>
      </c>
      <c r="I27" t="s">
        <v>357</v>
      </c>
      <c r="J27" t="s">
        <v>358</v>
      </c>
      <c r="K27" t="s">
        <v>359</v>
      </c>
      <c r="L27">
        <v>1368</v>
      </c>
      <c r="N27">
        <v>1011</v>
      </c>
      <c r="O27" t="s">
        <v>317</v>
      </c>
      <c r="P27" t="s">
        <v>317</v>
      </c>
      <c r="Q27">
        <v>1</v>
      </c>
      <c r="W27">
        <v>0</v>
      </c>
      <c r="X27">
        <v>1123770785</v>
      </c>
      <c r="Y27">
        <v>4.95</v>
      </c>
      <c r="AA27">
        <v>0</v>
      </c>
      <c r="AB27">
        <v>802.67</v>
      </c>
      <c r="AC27">
        <v>363.26</v>
      </c>
      <c r="AD27">
        <v>0</v>
      </c>
      <c r="AE27">
        <v>0</v>
      </c>
      <c r="AF27">
        <v>75.510000000000005</v>
      </c>
      <c r="AG27">
        <v>10.130000000000001</v>
      </c>
      <c r="AH27">
        <v>0</v>
      </c>
      <c r="AI27">
        <v>1</v>
      </c>
      <c r="AJ27">
        <v>10.63</v>
      </c>
      <c r="AK27">
        <v>35.86</v>
      </c>
      <c r="AL27">
        <v>1</v>
      </c>
      <c r="AN27">
        <v>0</v>
      </c>
      <c r="AO27">
        <v>1</v>
      </c>
      <c r="AP27">
        <v>1</v>
      </c>
      <c r="AQ27">
        <v>0</v>
      </c>
      <c r="AR27">
        <v>0</v>
      </c>
      <c r="AS27" t="s">
        <v>3</v>
      </c>
      <c r="AT27">
        <v>3.96</v>
      </c>
      <c r="AU27" t="s">
        <v>31</v>
      </c>
      <c r="AV27">
        <v>0</v>
      </c>
      <c r="AW27">
        <v>2</v>
      </c>
      <c r="AX27">
        <v>29836684</v>
      </c>
      <c r="AY27">
        <v>1</v>
      </c>
      <c r="AZ27">
        <v>0</v>
      </c>
      <c r="BA27">
        <v>28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Y27*Source!I36</f>
        <v>9.9</v>
      </c>
      <c r="CY27">
        <f t="shared" si="2"/>
        <v>802.67</v>
      </c>
      <c r="CZ27">
        <f t="shared" si="3"/>
        <v>75.510000000000005</v>
      </c>
      <c r="DA27">
        <f t="shared" si="4"/>
        <v>10.63</v>
      </c>
      <c r="DB27">
        <f t="shared" si="5"/>
        <v>374</v>
      </c>
      <c r="DC27">
        <f t="shared" si="6"/>
        <v>50</v>
      </c>
    </row>
    <row r="28" spans="1:107" x14ac:dyDescent="0.2">
      <c r="A28">
        <f>ROW(Source!A36)</f>
        <v>36</v>
      </c>
      <c r="B28">
        <v>29836452</v>
      </c>
      <c r="C28">
        <v>29836664</v>
      </c>
      <c r="D28">
        <v>28337185</v>
      </c>
      <c r="E28">
        <v>1</v>
      </c>
      <c r="F28">
        <v>1</v>
      </c>
      <c r="G28">
        <v>1</v>
      </c>
      <c r="H28">
        <v>2</v>
      </c>
      <c r="I28" t="s">
        <v>360</v>
      </c>
      <c r="J28" t="s">
        <v>361</v>
      </c>
      <c r="K28" t="s">
        <v>362</v>
      </c>
      <c r="L28">
        <v>1368</v>
      </c>
      <c r="N28">
        <v>1011</v>
      </c>
      <c r="O28" t="s">
        <v>317</v>
      </c>
      <c r="P28" t="s">
        <v>317</v>
      </c>
      <c r="Q28">
        <v>1</v>
      </c>
      <c r="W28">
        <v>0</v>
      </c>
      <c r="X28">
        <v>1429209560</v>
      </c>
      <c r="Y28">
        <v>14.387499999999999</v>
      </c>
      <c r="AA28">
        <v>0</v>
      </c>
      <c r="AB28">
        <v>1283.79</v>
      </c>
      <c r="AC28">
        <v>452.91</v>
      </c>
      <c r="AD28">
        <v>0</v>
      </c>
      <c r="AE28">
        <v>0</v>
      </c>
      <c r="AF28">
        <v>120.77</v>
      </c>
      <c r="AG28">
        <v>12.63</v>
      </c>
      <c r="AH28">
        <v>0</v>
      </c>
      <c r="AI28">
        <v>1</v>
      </c>
      <c r="AJ28">
        <v>10.63</v>
      </c>
      <c r="AK28">
        <v>35.86</v>
      </c>
      <c r="AL28">
        <v>1</v>
      </c>
      <c r="AN28">
        <v>0</v>
      </c>
      <c r="AO28">
        <v>1</v>
      </c>
      <c r="AP28">
        <v>1</v>
      </c>
      <c r="AQ28">
        <v>0</v>
      </c>
      <c r="AR28">
        <v>0</v>
      </c>
      <c r="AS28" t="s">
        <v>3</v>
      </c>
      <c r="AT28">
        <v>11.51</v>
      </c>
      <c r="AU28" t="s">
        <v>31</v>
      </c>
      <c r="AV28">
        <v>0</v>
      </c>
      <c r="AW28">
        <v>2</v>
      </c>
      <c r="AX28">
        <v>29836685</v>
      </c>
      <c r="AY28">
        <v>1</v>
      </c>
      <c r="AZ28">
        <v>0</v>
      </c>
      <c r="BA28">
        <v>29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Y28*Source!I36</f>
        <v>28.774999999999999</v>
      </c>
      <c r="CY28">
        <f t="shared" si="2"/>
        <v>1283.79</v>
      </c>
      <c r="CZ28">
        <f t="shared" si="3"/>
        <v>120.77</v>
      </c>
      <c r="DA28">
        <f t="shared" si="4"/>
        <v>10.63</v>
      </c>
      <c r="DB28">
        <f t="shared" si="5"/>
        <v>1738</v>
      </c>
      <c r="DC28">
        <f t="shared" si="6"/>
        <v>182</v>
      </c>
    </row>
    <row r="29" spans="1:107" x14ac:dyDescent="0.2">
      <c r="A29">
        <f>ROW(Source!A36)</f>
        <v>36</v>
      </c>
      <c r="B29">
        <v>29836452</v>
      </c>
      <c r="C29">
        <v>29836664</v>
      </c>
      <c r="D29">
        <v>28337789</v>
      </c>
      <c r="E29">
        <v>1</v>
      </c>
      <c r="F29">
        <v>1</v>
      </c>
      <c r="G29">
        <v>1</v>
      </c>
      <c r="H29">
        <v>2</v>
      </c>
      <c r="I29" t="s">
        <v>338</v>
      </c>
      <c r="J29" t="s">
        <v>339</v>
      </c>
      <c r="K29" t="s">
        <v>340</v>
      </c>
      <c r="L29">
        <v>1368</v>
      </c>
      <c r="N29">
        <v>1011</v>
      </c>
      <c r="O29" t="s">
        <v>317</v>
      </c>
      <c r="P29" t="s">
        <v>317</v>
      </c>
      <c r="Q29">
        <v>1</v>
      </c>
      <c r="W29">
        <v>0</v>
      </c>
      <c r="X29">
        <v>-929913149</v>
      </c>
      <c r="Y29">
        <v>0.48750000000000004</v>
      </c>
      <c r="AA29">
        <v>0</v>
      </c>
      <c r="AB29">
        <v>1269.6500000000001</v>
      </c>
      <c r="AC29">
        <v>363.26</v>
      </c>
      <c r="AD29">
        <v>0</v>
      </c>
      <c r="AE29">
        <v>0</v>
      </c>
      <c r="AF29">
        <v>119.44</v>
      </c>
      <c r="AG29">
        <v>10.130000000000001</v>
      </c>
      <c r="AH29">
        <v>0</v>
      </c>
      <c r="AI29">
        <v>1</v>
      </c>
      <c r="AJ29">
        <v>10.63</v>
      </c>
      <c r="AK29">
        <v>35.86</v>
      </c>
      <c r="AL29">
        <v>1</v>
      </c>
      <c r="AN29">
        <v>0</v>
      </c>
      <c r="AO29">
        <v>1</v>
      </c>
      <c r="AP29">
        <v>1</v>
      </c>
      <c r="AQ29">
        <v>0</v>
      </c>
      <c r="AR29">
        <v>0</v>
      </c>
      <c r="AS29" t="s">
        <v>3</v>
      </c>
      <c r="AT29">
        <v>0.39</v>
      </c>
      <c r="AU29" t="s">
        <v>31</v>
      </c>
      <c r="AV29">
        <v>0</v>
      </c>
      <c r="AW29">
        <v>2</v>
      </c>
      <c r="AX29">
        <v>29836686</v>
      </c>
      <c r="AY29">
        <v>1</v>
      </c>
      <c r="AZ29">
        <v>0</v>
      </c>
      <c r="BA29">
        <v>30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Y29*Source!I36</f>
        <v>0.97500000000000009</v>
      </c>
      <c r="CY29">
        <f t="shared" si="2"/>
        <v>1269.6500000000001</v>
      </c>
      <c r="CZ29">
        <f t="shared" si="3"/>
        <v>119.44</v>
      </c>
      <c r="DA29">
        <f t="shared" si="4"/>
        <v>10.63</v>
      </c>
      <c r="DB29">
        <f t="shared" si="5"/>
        <v>58</v>
      </c>
      <c r="DC29">
        <f t="shared" si="6"/>
        <v>5</v>
      </c>
    </row>
    <row r="30" spans="1:107" x14ac:dyDescent="0.2">
      <c r="A30">
        <f>ROW(Source!A36)</f>
        <v>36</v>
      </c>
      <c r="B30">
        <v>29836452</v>
      </c>
      <c r="C30">
        <v>29836664</v>
      </c>
      <c r="D30">
        <v>28337840</v>
      </c>
      <c r="E30">
        <v>1</v>
      </c>
      <c r="F30">
        <v>1</v>
      </c>
      <c r="G30">
        <v>1</v>
      </c>
      <c r="H30">
        <v>2</v>
      </c>
      <c r="I30" t="s">
        <v>363</v>
      </c>
      <c r="J30" t="s">
        <v>364</v>
      </c>
      <c r="K30" t="s">
        <v>365</v>
      </c>
      <c r="L30">
        <v>1368</v>
      </c>
      <c r="N30">
        <v>1011</v>
      </c>
      <c r="O30" t="s">
        <v>317</v>
      </c>
      <c r="P30" t="s">
        <v>317</v>
      </c>
      <c r="Q30">
        <v>1</v>
      </c>
      <c r="W30">
        <v>0</v>
      </c>
      <c r="X30">
        <v>1171957361</v>
      </c>
      <c r="Y30">
        <v>0.05</v>
      </c>
      <c r="AA30">
        <v>0</v>
      </c>
      <c r="AB30">
        <v>922.58</v>
      </c>
      <c r="AC30">
        <v>363.26</v>
      </c>
      <c r="AD30">
        <v>0</v>
      </c>
      <c r="AE30">
        <v>0</v>
      </c>
      <c r="AF30">
        <v>86.79</v>
      </c>
      <c r="AG30">
        <v>10.130000000000001</v>
      </c>
      <c r="AH30">
        <v>0</v>
      </c>
      <c r="AI30">
        <v>1</v>
      </c>
      <c r="AJ30">
        <v>10.63</v>
      </c>
      <c r="AK30">
        <v>35.86</v>
      </c>
      <c r="AL30">
        <v>1</v>
      </c>
      <c r="AN30">
        <v>0</v>
      </c>
      <c r="AO30">
        <v>1</v>
      </c>
      <c r="AP30">
        <v>1</v>
      </c>
      <c r="AQ30">
        <v>0</v>
      </c>
      <c r="AR30">
        <v>0</v>
      </c>
      <c r="AS30" t="s">
        <v>3</v>
      </c>
      <c r="AT30">
        <v>0.04</v>
      </c>
      <c r="AU30" t="s">
        <v>31</v>
      </c>
      <c r="AV30">
        <v>0</v>
      </c>
      <c r="AW30">
        <v>2</v>
      </c>
      <c r="AX30">
        <v>29836687</v>
      </c>
      <c r="AY30">
        <v>1</v>
      </c>
      <c r="AZ30">
        <v>0</v>
      </c>
      <c r="BA30">
        <v>31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Y30*Source!I36</f>
        <v>0.1</v>
      </c>
      <c r="CY30">
        <f t="shared" si="2"/>
        <v>922.58</v>
      </c>
      <c r="CZ30">
        <f t="shared" si="3"/>
        <v>86.79</v>
      </c>
      <c r="DA30">
        <f t="shared" si="4"/>
        <v>10.63</v>
      </c>
      <c r="DB30">
        <f t="shared" si="5"/>
        <v>4</v>
      </c>
      <c r="DC30">
        <f t="shared" si="6"/>
        <v>1</v>
      </c>
    </row>
    <row r="31" spans="1:107" x14ac:dyDescent="0.2">
      <c r="A31">
        <f>ROW(Source!A36)</f>
        <v>36</v>
      </c>
      <c r="B31">
        <v>29836452</v>
      </c>
      <c r="C31">
        <v>29836664</v>
      </c>
      <c r="D31">
        <v>28249509</v>
      </c>
      <c r="E31">
        <v>21</v>
      </c>
      <c r="F31">
        <v>1</v>
      </c>
      <c r="G31">
        <v>1</v>
      </c>
      <c r="H31">
        <v>3</v>
      </c>
      <c r="I31" t="s">
        <v>82</v>
      </c>
      <c r="J31" t="s">
        <v>3</v>
      </c>
      <c r="K31" t="s">
        <v>83</v>
      </c>
      <c r="L31">
        <v>1348</v>
      </c>
      <c r="N31">
        <v>1009</v>
      </c>
      <c r="O31" t="s">
        <v>84</v>
      </c>
      <c r="P31" t="s">
        <v>84</v>
      </c>
      <c r="Q31">
        <v>1000</v>
      </c>
      <c r="W31">
        <v>0</v>
      </c>
      <c r="X31">
        <v>-1605379213</v>
      </c>
      <c r="Y31">
        <v>1.0800000000000001E-2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7.26</v>
      </c>
      <c r="AJ31">
        <v>1</v>
      </c>
      <c r="AK31">
        <v>1</v>
      </c>
      <c r="AL31">
        <v>1</v>
      </c>
      <c r="AN31">
        <v>0</v>
      </c>
      <c r="AO31">
        <v>0</v>
      </c>
      <c r="AP31">
        <v>0</v>
      </c>
      <c r="AQ31">
        <v>0</v>
      </c>
      <c r="AR31">
        <v>0</v>
      </c>
      <c r="AS31" t="s">
        <v>3</v>
      </c>
      <c r="AT31">
        <v>1.0800000000000001E-2</v>
      </c>
      <c r="AU31" t="s">
        <v>3</v>
      </c>
      <c r="AV31">
        <v>0</v>
      </c>
      <c r="AW31">
        <v>2</v>
      </c>
      <c r="AX31">
        <v>29836688</v>
      </c>
      <c r="AY31">
        <v>1</v>
      </c>
      <c r="AZ31">
        <v>0</v>
      </c>
      <c r="BA31">
        <v>32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Y31*Source!I36</f>
        <v>2.1600000000000001E-2</v>
      </c>
      <c r="CY31">
        <f>AA31</f>
        <v>0</v>
      </c>
      <c r="CZ31">
        <f>AE31</f>
        <v>0</v>
      </c>
      <c r="DA31">
        <f>AI31</f>
        <v>7.26</v>
      </c>
      <c r="DB31">
        <f>ROUND(ROUND(AT31*CZ31,2),0)</f>
        <v>0</v>
      </c>
      <c r="DC31">
        <f>ROUND(ROUND(AT31*AG31,2),0)</f>
        <v>0</v>
      </c>
    </row>
    <row r="32" spans="1:107" x14ac:dyDescent="0.2">
      <c r="A32">
        <f>ROW(Source!A36)</f>
        <v>36</v>
      </c>
      <c r="B32">
        <v>29836452</v>
      </c>
      <c r="C32">
        <v>29836664</v>
      </c>
      <c r="D32">
        <v>28253181</v>
      </c>
      <c r="E32">
        <v>1</v>
      </c>
      <c r="F32">
        <v>1</v>
      </c>
      <c r="G32">
        <v>1</v>
      </c>
      <c r="H32">
        <v>3</v>
      </c>
      <c r="I32" t="s">
        <v>341</v>
      </c>
      <c r="J32" t="s">
        <v>342</v>
      </c>
      <c r="K32" t="s">
        <v>343</v>
      </c>
      <c r="L32">
        <v>1339</v>
      </c>
      <c r="N32">
        <v>1007</v>
      </c>
      <c r="O32" t="s">
        <v>56</v>
      </c>
      <c r="P32" t="s">
        <v>56</v>
      </c>
      <c r="Q32">
        <v>1</v>
      </c>
      <c r="W32">
        <v>0</v>
      </c>
      <c r="X32">
        <v>82350058</v>
      </c>
      <c r="Y32">
        <v>0.2</v>
      </c>
      <c r="AA32">
        <v>17.71</v>
      </c>
      <c r="AB32">
        <v>0</v>
      </c>
      <c r="AC32">
        <v>0</v>
      </c>
      <c r="AD32">
        <v>0</v>
      </c>
      <c r="AE32">
        <v>2.44</v>
      </c>
      <c r="AF32">
        <v>0</v>
      </c>
      <c r="AG32">
        <v>0</v>
      </c>
      <c r="AH32">
        <v>0</v>
      </c>
      <c r="AI32">
        <v>7.26</v>
      </c>
      <c r="AJ32">
        <v>1</v>
      </c>
      <c r="AK32">
        <v>1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3</v>
      </c>
      <c r="AT32">
        <v>0.2</v>
      </c>
      <c r="AU32" t="s">
        <v>3</v>
      </c>
      <c r="AV32">
        <v>0</v>
      </c>
      <c r="AW32">
        <v>2</v>
      </c>
      <c r="AX32">
        <v>29836689</v>
      </c>
      <c r="AY32">
        <v>1</v>
      </c>
      <c r="AZ32">
        <v>0</v>
      </c>
      <c r="BA32">
        <v>33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Y32*Source!I36</f>
        <v>0.4</v>
      </c>
      <c r="CY32">
        <f>AA32</f>
        <v>17.71</v>
      </c>
      <c r="CZ32">
        <f>AE32</f>
        <v>2.44</v>
      </c>
      <c r="DA32">
        <f>AI32</f>
        <v>7.26</v>
      </c>
      <c r="DB32">
        <f>ROUND(ROUND(AT32*CZ32,2),0)</f>
        <v>0</v>
      </c>
      <c r="DC32">
        <f>ROUND(ROUND(AT32*AG32,2),0)</f>
        <v>0</v>
      </c>
    </row>
    <row r="33" spans="1:107" x14ac:dyDescent="0.2">
      <c r="A33">
        <f>ROW(Source!A36)</f>
        <v>36</v>
      </c>
      <c r="B33">
        <v>29836452</v>
      </c>
      <c r="C33">
        <v>29836664</v>
      </c>
      <c r="D33">
        <v>28247645</v>
      </c>
      <c r="E33">
        <v>21</v>
      </c>
      <c r="F33">
        <v>1</v>
      </c>
      <c r="G33">
        <v>1</v>
      </c>
      <c r="H33">
        <v>3</v>
      </c>
      <c r="I33" t="s">
        <v>86</v>
      </c>
      <c r="J33" t="s">
        <v>3</v>
      </c>
      <c r="K33" t="s">
        <v>87</v>
      </c>
      <c r="L33">
        <v>1348</v>
      </c>
      <c r="N33">
        <v>1009</v>
      </c>
      <c r="O33" t="s">
        <v>84</v>
      </c>
      <c r="P33" t="s">
        <v>84</v>
      </c>
      <c r="Q33">
        <v>1000</v>
      </c>
      <c r="W33">
        <v>0</v>
      </c>
      <c r="X33">
        <v>1670663622</v>
      </c>
      <c r="Y33">
        <v>95.8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7.26</v>
      </c>
      <c r="AJ33">
        <v>1</v>
      </c>
      <c r="AK33">
        <v>1</v>
      </c>
      <c r="AL33">
        <v>1</v>
      </c>
      <c r="AN33">
        <v>0</v>
      </c>
      <c r="AO33">
        <v>0</v>
      </c>
      <c r="AP33">
        <v>0</v>
      </c>
      <c r="AQ33">
        <v>0</v>
      </c>
      <c r="AR33">
        <v>0</v>
      </c>
      <c r="AS33" t="s">
        <v>3</v>
      </c>
      <c r="AT33">
        <v>95.8</v>
      </c>
      <c r="AU33" t="s">
        <v>3</v>
      </c>
      <c r="AV33">
        <v>0</v>
      </c>
      <c r="AW33">
        <v>2</v>
      </c>
      <c r="AX33">
        <v>29836690</v>
      </c>
      <c r="AY33">
        <v>1</v>
      </c>
      <c r="AZ33">
        <v>0</v>
      </c>
      <c r="BA33">
        <v>34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Y33*Source!I36</f>
        <v>191.6</v>
      </c>
      <c r="CY33">
        <f>AA33</f>
        <v>0</v>
      </c>
      <c r="CZ33">
        <f>AE33</f>
        <v>0</v>
      </c>
      <c r="DA33">
        <f>AI33</f>
        <v>7.26</v>
      </c>
      <c r="DB33">
        <f>ROUND(ROUND(AT33*CZ33,2),0)</f>
        <v>0</v>
      </c>
      <c r="DC33">
        <f>ROUND(ROUND(AT33*AG33,2),0)</f>
        <v>0</v>
      </c>
    </row>
    <row r="34" spans="1:107" x14ac:dyDescent="0.2">
      <c r="A34">
        <f>ROW(Source!A36)</f>
        <v>36</v>
      </c>
      <c r="B34">
        <v>29836452</v>
      </c>
      <c r="C34">
        <v>29836664</v>
      </c>
      <c r="D34">
        <v>28277600</v>
      </c>
      <c r="E34">
        <v>1</v>
      </c>
      <c r="F34">
        <v>1</v>
      </c>
      <c r="G34">
        <v>1</v>
      </c>
      <c r="H34">
        <v>3</v>
      </c>
      <c r="I34" t="s">
        <v>366</v>
      </c>
      <c r="J34" t="s">
        <v>367</v>
      </c>
      <c r="K34" t="s">
        <v>368</v>
      </c>
      <c r="L34">
        <v>1348</v>
      </c>
      <c r="N34">
        <v>1009</v>
      </c>
      <c r="O34" t="s">
        <v>84</v>
      </c>
      <c r="P34" t="s">
        <v>84</v>
      </c>
      <c r="Q34">
        <v>1000</v>
      </c>
      <c r="W34">
        <v>0</v>
      </c>
      <c r="X34">
        <v>729703251</v>
      </c>
      <c r="Y34">
        <v>6.1999999999999998E-3</v>
      </c>
      <c r="AA34">
        <v>48861.25</v>
      </c>
      <c r="AB34">
        <v>0</v>
      </c>
      <c r="AC34">
        <v>0</v>
      </c>
      <c r="AD34">
        <v>0</v>
      </c>
      <c r="AE34">
        <v>6730.2</v>
      </c>
      <c r="AF34">
        <v>0</v>
      </c>
      <c r="AG34">
        <v>0</v>
      </c>
      <c r="AH34">
        <v>0</v>
      </c>
      <c r="AI34">
        <v>7.26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S34" t="s">
        <v>3</v>
      </c>
      <c r="AT34">
        <v>6.1999999999999998E-3</v>
      </c>
      <c r="AU34" t="s">
        <v>3</v>
      </c>
      <c r="AV34">
        <v>0</v>
      </c>
      <c r="AW34">
        <v>2</v>
      </c>
      <c r="AX34">
        <v>29836691</v>
      </c>
      <c r="AY34">
        <v>1</v>
      </c>
      <c r="AZ34">
        <v>0</v>
      </c>
      <c r="BA34">
        <v>35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Y34*Source!I36</f>
        <v>1.24E-2</v>
      </c>
      <c r="CY34">
        <f>AA34</f>
        <v>48861.25</v>
      </c>
      <c r="CZ34">
        <f>AE34</f>
        <v>6730.2</v>
      </c>
      <c r="DA34">
        <f>AI34</f>
        <v>7.26</v>
      </c>
      <c r="DB34">
        <f>ROUND(ROUND(AT34*CZ34,2),0)</f>
        <v>42</v>
      </c>
      <c r="DC34">
        <f>ROUND(ROUND(AT34*AG34,2),0)</f>
        <v>0</v>
      </c>
    </row>
    <row r="35" spans="1:107" x14ac:dyDescent="0.2">
      <c r="A35">
        <f>ROW(Source!A36)</f>
        <v>36</v>
      </c>
      <c r="B35">
        <v>29836452</v>
      </c>
      <c r="C35">
        <v>29836664</v>
      </c>
      <c r="D35">
        <v>28283690</v>
      </c>
      <c r="E35">
        <v>1</v>
      </c>
      <c r="F35">
        <v>1</v>
      </c>
      <c r="G35">
        <v>1</v>
      </c>
      <c r="H35">
        <v>3</v>
      </c>
      <c r="I35" t="s">
        <v>369</v>
      </c>
      <c r="J35" t="s">
        <v>370</v>
      </c>
      <c r="K35" t="s">
        <v>371</v>
      </c>
      <c r="L35">
        <v>1339</v>
      </c>
      <c r="N35">
        <v>1007</v>
      </c>
      <c r="O35" t="s">
        <v>56</v>
      </c>
      <c r="P35" t="s">
        <v>56</v>
      </c>
      <c r="Q35">
        <v>1</v>
      </c>
      <c r="W35">
        <v>0</v>
      </c>
      <c r="X35">
        <v>-1059863813</v>
      </c>
      <c r="Y35">
        <v>0.15</v>
      </c>
      <c r="AA35">
        <v>11638.87</v>
      </c>
      <c r="AB35">
        <v>0</v>
      </c>
      <c r="AC35">
        <v>0</v>
      </c>
      <c r="AD35">
        <v>0</v>
      </c>
      <c r="AE35">
        <v>1603.15</v>
      </c>
      <c r="AF35">
        <v>0</v>
      </c>
      <c r="AG35">
        <v>0</v>
      </c>
      <c r="AH35">
        <v>0</v>
      </c>
      <c r="AI35">
        <v>7.26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S35" t="s">
        <v>3</v>
      </c>
      <c r="AT35">
        <v>0.15</v>
      </c>
      <c r="AU35" t="s">
        <v>3</v>
      </c>
      <c r="AV35">
        <v>0</v>
      </c>
      <c r="AW35">
        <v>2</v>
      </c>
      <c r="AX35">
        <v>29836692</v>
      </c>
      <c r="AY35">
        <v>1</v>
      </c>
      <c r="AZ35">
        <v>0</v>
      </c>
      <c r="BA35">
        <v>36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Y35*Source!I36</f>
        <v>0.3</v>
      </c>
      <c r="CY35">
        <f>AA35</f>
        <v>11638.87</v>
      </c>
      <c r="CZ35">
        <f>AE35</f>
        <v>1603.15</v>
      </c>
      <c r="DA35">
        <f>AI35</f>
        <v>7.26</v>
      </c>
      <c r="DB35">
        <f>ROUND(ROUND(AT35*CZ35,2),0)</f>
        <v>240</v>
      </c>
      <c r="DC35">
        <f>ROUND(ROUND(AT35*AG35,2),0)</f>
        <v>0</v>
      </c>
    </row>
    <row r="36" spans="1:107" x14ac:dyDescent="0.2">
      <c r="A36">
        <f>ROW(Source!A39)</f>
        <v>39</v>
      </c>
      <c r="B36">
        <v>29836452</v>
      </c>
      <c r="C36">
        <v>29836695</v>
      </c>
      <c r="D36">
        <v>28425676</v>
      </c>
      <c r="E36">
        <v>1</v>
      </c>
      <c r="F36">
        <v>1</v>
      </c>
      <c r="G36">
        <v>1</v>
      </c>
      <c r="H36">
        <v>1</v>
      </c>
      <c r="I36" t="s">
        <v>346</v>
      </c>
      <c r="J36" t="s">
        <v>3</v>
      </c>
      <c r="K36" t="s">
        <v>347</v>
      </c>
      <c r="L36">
        <v>1191</v>
      </c>
      <c r="N36">
        <v>1013</v>
      </c>
      <c r="O36" t="s">
        <v>311</v>
      </c>
      <c r="P36" t="s">
        <v>311</v>
      </c>
      <c r="Q36">
        <v>1</v>
      </c>
      <c r="W36">
        <v>0</v>
      </c>
      <c r="X36">
        <v>-1853062777</v>
      </c>
      <c r="Y36">
        <v>0.41399999999999998</v>
      </c>
      <c r="AA36">
        <v>0</v>
      </c>
      <c r="AB36">
        <v>0</v>
      </c>
      <c r="AC36">
        <v>0</v>
      </c>
      <c r="AD36">
        <v>308.04000000000002</v>
      </c>
      <c r="AE36">
        <v>0</v>
      </c>
      <c r="AF36">
        <v>0</v>
      </c>
      <c r="AG36">
        <v>0</v>
      </c>
      <c r="AH36">
        <v>8.59</v>
      </c>
      <c r="AI36">
        <v>1</v>
      </c>
      <c r="AJ36">
        <v>1</v>
      </c>
      <c r="AK36">
        <v>1</v>
      </c>
      <c r="AL36">
        <v>35.86</v>
      </c>
      <c r="AN36">
        <v>0</v>
      </c>
      <c r="AO36">
        <v>1</v>
      </c>
      <c r="AP36">
        <v>1</v>
      </c>
      <c r="AQ36">
        <v>0</v>
      </c>
      <c r="AR36">
        <v>0</v>
      </c>
      <c r="AS36" t="s">
        <v>3</v>
      </c>
      <c r="AT36">
        <v>0.09</v>
      </c>
      <c r="AU36" t="s">
        <v>94</v>
      </c>
      <c r="AV36">
        <v>1</v>
      </c>
      <c r="AW36">
        <v>2</v>
      </c>
      <c r="AX36">
        <v>29836700</v>
      </c>
      <c r="AY36">
        <v>1</v>
      </c>
      <c r="AZ36">
        <v>0</v>
      </c>
      <c r="BA36">
        <v>37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Y36*Source!I39</f>
        <v>9.935999999999999E-2</v>
      </c>
      <c r="CY36">
        <f>AD36</f>
        <v>308.04000000000002</v>
      </c>
      <c r="CZ36">
        <f>AH36</f>
        <v>8.59</v>
      </c>
      <c r="DA36">
        <f>AL36</f>
        <v>35.86</v>
      </c>
      <c r="DB36">
        <f>ROUND((ROUND(AT36*CZ36,2)*ROUND((1.15*4),7)),0)</f>
        <v>4</v>
      </c>
      <c r="DC36">
        <f>ROUND((ROUND(AT36*AG36,2)*ROUND((1.15*4),7)),0)</f>
        <v>0</v>
      </c>
    </row>
    <row r="37" spans="1:107" x14ac:dyDescent="0.2">
      <c r="A37">
        <f>ROW(Source!A39)</f>
        <v>39</v>
      </c>
      <c r="B37">
        <v>29836452</v>
      </c>
      <c r="C37">
        <v>29836695</v>
      </c>
      <c r="D37">
        <v>28337147</v>
      </c>
      <c r="E37">
        <v>1</v>
      </c>
      <c r="F37">
        <v>1</v>
      </c>
      <c r="G37">
        <v>1</v>
      </c>
      <c r="H37">
        <v>2</v>
      </c>
      <c r="I37" t="s">
        <v>354</v>
      </c>
      <c r="J37" t="s">
        <v>355</v>
      </c>
      <c r="K37" t="s">
        <v>356</v>
      </c>
      <c r="L37">
        <v>1368</v>
      </c>
      <c r="N37">
        <v>1011</v>
      </c>
      <c r="O37" t="s">
        <v>317</v>
      </c>
      <c r="P37" t="s">
        <v>317</v>
      </c>
      <c r="Q37">
        <v>1</v>
      </c>
      <c r="W37">
        <v>0</v>
      </c>
      <c r="X37">
        <v>-1533253915</v>
      </c>
      <c r="Y37">
        <v>0.85000000000000009</v>
      </c>
      <c r="AA37">
        <v>0</v>
      </c>
      <c r="AB37">
        <v>182.84</v>
      </c>
      <c r="AC37">
        <v>0</v>
      </c>
      <c r="AD37">
        <v>0</v>
      </c>
      <c r="AE37">
        <v>0</v>
      </c>
      <c r="AF37">
        <v>17.2</v>
      </c>
      <c r="AG37">
        <v>0</v>
      </c>
      <c r="AH37">
        <v>0</v>
      </c>
      <c r="AI37">
        <v>1</v>
      </c>
      <c r="AJ37">
        <v>10.63</v>
      </c>
      <c r="AK37">
        <v>35.86</v>
      </c>
      <c r="AL37">
        <v>1</v>
      </c>
      <c r="AN37">
        <v>0</v>
      </c>
      <c r="AO37">
        <v>1</v>
      </c>
      <c r="AP37">
        <v>1</v>
      </c>
      <c r="AQ37">
        <v>0</v>
      </c>
      <c r="AR37">
        <v>0</v>
      </c>
      <c r="AS37" t="s">
        <v>3</v>
      </c>
      <c r="AT37">
        <v>0.17</v>
      </c>
      <c r="AU37" t="s">
        <v>93</v>
      </c>
      <c r="AV37">
        <v>0</v>
      </c>
      <c r="AW37">
        <v>2</v>
      </c>
      <c r="AX37">
        <v>29836701</v>
      </c>
      <c r="AY37">
        <v>1</v>
      </c>
      <c r="AZ37">
        <v>0</v>
      </c>
      <c r="BA37">
        <v>38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Y37*Source!I39</f>
        <v>0.20400000000000001</v>
      </c>
      <c r="CY37">
        <f>AB37</f>
        <v>182.84</v>
      </c>
      <c r="CZ37">
        <f>AF37</f>
        <v>17.2</v>
      </c>
      <c r="DA37">
        <f>AJ37</f>
        <v>10.63</v>
      </c>
      <c r="DB37">
        <f>ROUND((ROUND(AT37*CZ37,2)*ROUND((1.25*4),7)),0)</f>
        <v>15</v>
      </c>
      <c r="DC37">
        <f>ROUND((ROUND(AT37*AG37,2)*ROUND((1.25*4),7)),0)</f>
        <v>0</v>
      </c>
    </row>
    <row r="38" spans="1:107" x14ac:dyDescent="0.2">
      <c r="A38">
        <f>ROW(Source!A39)</f>
        <v>39</v>
      </c>
      <c r="B38">
        <v>29836452</v>
      </c>
      <c r="C38">
        <v>29836695</v>
      </c>
      <c r="D38">
        <v>28249509</v>
      </c>
      <c r="E38">
        <v>21</v>
      </c>
      <c r="F38">
        <v>1</v>
      </c>
      <c r="G38">
        <v>1</v>
      </c>
      <c r="H38">
        <v>3</v>
      </c>
      <c r="I38" t="s">
        <v>82</v>
      </c>
      <c r="J38" t="s">
        <v>3</v>
      </c>
      <c r="K38" t="s">
        <v>83</v>
      </c>
      <c r="L38">
        <v>1348</v>
      </c>
      <c r="N38">
        <v>1009</v>
      </c>
      <c r="O38" t="s">
        <v>84</v>
      </c>
      <c r="P38" t="s">
        <v>84</v>
      </c>
      <c r="Q38">
        <v>1000</v>
      </c>
      <c r="W38">
        <v>0</v>
      </c>
      <c r="X38">
        <v>-1605379213</v>
      </c>
      <c r="Y38">
        <v>5.5999999999999999E-3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7.26</v>
      </c>
      <c r="AJ38">
        <v>1</v>
      </c>
      <c r="AK38">
        <v>1</v>
      </c>
      <c r="AL38">
        <v>1</v>
      </c>
      <c r="AN38">
        <v>0</v>
      </c>
      <c r="AO38">
        <v>0</v>
      </c>
      <c r="AP38">
        <v>1</v>
      </c>
      <c r="AQ38">
        <v>0</v>
      </c>
      <c r="AR38">
        <v>0</v>
      </c>
      <c r="AS38" t="s">
        <v>3</v>
      </c>
      <c r="AT38">
        <v>1.4E-3</v>
      </c>
      <c r="AU38" t="s">
        <v>92</v>
      </c>
      <c r="AV38">
        <v>0</v>
      </c>
      <c r="AW38">
        <v>2</v>
      </c>
      <c r="AX38">
        <v>29836702</v>
      </c>
      <c r="AY38">
        <v>1</v>
      </c>
      <c r="AZ38">
        <v>0</v>
      </c>
      <c r="BA38">
        <v>39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Y38*Source!I39</f>
        <v>1.3439999999999999E-3</v>
      </c>
      <c r="CY38">
        <f>AA38</f>
        <v>0</v>
      </c>
      <c r="CZ38">
        <f>AE38</f>
        <v>0</v>
      </c>
      <c r="DA38">
        <f>AI38</f>
        <v>7.26</v>
      </c>
      <c r="DB38">
        <f>ROUND((ROUND(AT38*CZ38,2)*ROUND(4,7)),0)</f>
        <v>0</v>
      </c>
      <c r="DC38">
        <f>ROUND((ROUND(AT38*AG38,2)*ROUND(4,7)),0)</f>
        <v>0</v>
      </c>
    </row>
    <row r="39" spans="1:107" x14ac:dyDescent="0.2">
      <c r="A39">
        <f>ROW(Source!A39)</f>
        <v>39</v>
      </c>
      <c r="B39">
        <v>29836452</v>
      </c>
      <c r="C39">
        <v>29836695</v>
      </c>
      <c r="D39">
        <v>28247645</v>
      </c>
      <c r="E39">
        <v>21</v>
      </c>
      <c r="F39">
        <v>1</v>
      </c>
      <c r="G39">
        <v>1</v>
      </c>
      <c r="H39">
        <v>3</v>
      </c>
      <c r="I39" t="s">
        <v>86</v>
      </c>
      <c r="J39" t="s">
        <v>3</v>
      </c>
      <c r="K39" t="s">
        <v>87</v>
      </c>
      <c r="L39">
        <v>1348</v>
      </c>
      <c r="N39">
        <v>1009</v>
      </c>
      <c r="O39" t="s">
        <v>84</v>
      </c>
      <c r="P39" t="s">
        <v>84</v>
      </c>
      <c r="Q39">
        <v>1000</v>
      </c>
      <c r="W39">
        <v>0</v>
      </c>
      <c r="X39">
        <v>1670663622</v>
      </c>
      <c r="Y39">
        <v>48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7.26</v>
      </c>
      <c r="AJ39">
        <v>1</v>
      </c>
      <c r="AK39">
        <v>1</v>
      </c>
      <c r="AL39">
        <v>1</v>
      </c>
      <c r="AN39">
        <v>0</v>
      </c>
      <c r="AO39">
        <v>0</v>
      </c>
      <c r="AP39">
        <v>1</v>
      </c>
      <c r="AQ39">
        <v>0</v>
      </c>
      <c r="AR39">
        <v>0</v>
      </c>
      <c r="AS39" t="s">
        <v>3</v>
      </c>
      <c r="AT39">
        <v>12</v>
      </c>
      <c r="AU39" t="s">
        <v>92</v>
      </c>
      <c r="AV39">
        <v>0</v>
      </c>
      <c r="AW39">
        <v>2</v>
      </c>
      <c r="AX39">
        <v>29836703</v>
      </c>
      <c r="AY39">
        <v>1</v>
      </c>
      <c r="AZ39">
        <v>0</v>
      </c>
      <c r="BA39">
        <v>40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Y39*Source!I39</f>
        <v>11.52</v>
      </c>
      <c r="CY39">
        <f>AA39</f>
        <v>0</v>
      </c>
      <c r="CZ39">
        <f>AE39</f>
        <v>0</v>
      </c>
      <c r="DA39">
        <f>AI39</f>
        <v>7.26</v>
      </c>
      <c r="DB39">
        <f>ROUND((ROUND(AT39*CZ39,2)*ROUND(4,7)),0)</f>
        <v>0</v>
      </c>
      <c r="DC39">
        <f>ROUND((ROUND(AT39*AG39,2)*ROUND(4,7)),0)</f>
        <v>0</v>
      </c>
    </row>
    <row r="40" spans="1:107" x14ac:dyDescent="0.2">
      <c r="A40">
        <f>ROW(Source!A42)</f>
        <v>42</v>
      </c>
      <c r="B40">
        <v>29836452</v>
      </c>
      <c r="C40">
        <v>29836706</v>
      </c>
      <c r="D40">
        <v>28425676</v>
      </c>
      <c r="E40">
        <v>1</v>
      </c>
      <c r="F40">
        <v>1</v>
      </c>
      <c r="G40">
        <v>1</v>
      </c>
      <c r="H40">
        <v>1</v>
      </c>
      <c r="I40" t="s">
        <v>346</v>
      </c>
      <c r="J40" t="s">
        <v>3</v>
      </c>
      <c r="K40" t="s">
        <v>347</v>
      </c>
      <c r="L40">
        <v>1191</v>
      </c>
      <c r="N40">
        <v>1013</v>
      </c>
      <c r="O40" t="s">
        <v>311</v>
      </c>
      <c r="P40" t="s">
        <v>311</v>
      </c>
      <c r="Q40">
        <v>1</v>
      </c>
      <c r="W40">
        <v>0</v>
      </c>
      <c r="X40">
        <v>-1853062777</v>
      </c>
      <c r="Y40">
        <v>0.20699999999999999</v>
      </c>
      <c r="AA40">
        <v>0</v>
      </c>
      <c r="AB40">
        <v>0</v>
      </c>
      <c r="AC40">
        <v>0</v>
      </c>
      <c r="AD40">
        <v>308.04000000000002</v>
      </c>
      <c r="AE40">
        <v>0</v>
      </c>
      <c r="AF40">
        <v>0</v>
      </c>
      <c r="AG40">
        <v>0</v>
      </c>
      <c r="AH40">
        <v>8.59</v>
      </c>
      <c r="AI40">
        <v>1</v>
      </c>
      <c r="AJ40">
        <v>1</v>
      </c>
      <c r="AK40">
        <v>1</v>
      </c>
      <c r="AL40">
        <v>35.86</v>
      </c>
      <c r="AN40">
        <v>0</v>
      </c>
      <c r="AO40">
        <v>1</v>
      </c>
      <c r="AP40">
        <v>1</v>
      </c>
      <c r="AQ40">
        <v>0</v>
      </c>
      <c r="AR40">
        <v>0</v>
      </c>
      <c r="AS40" t="s">
        <v>3</v>
      </c>
      <c r="AT40">
        <v>0.09</v>
      </c>
      <c r="AU40" t="s">
        <v>101</v>
      </c>
      <c r="AV40">
        <v>1</v>
      </c>
      <c r="AW40">
        <v>2</v>
      </c>
      <c r="AX40">
        <v>29836711</v>
      </c>
      <c r="AY40">
        <v>1</v>
      </c>
      <c r="AZ40">
        <v>0</v>
      </c>
      <c r="BA40">
        <v>41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Y40*Source!I42</f>
        <v>0.36431999999999998</v>
      </c>
      <c r="CY40">
        <f>AD40</f>
        <v>308.04000000000002</v>
      </c>
      <c r="CZ40">
        <f>AH40</f>
        <v>8.59</v>
      </c>
      <c r="DA40">
        <f>AL40</f>
        <v>35.86</v>
      </c>
      <c r="DB40">
        <f>ROUND((ROUND(AT40*CZ40,2)*ROUND((1.15*2),7)),0)</f>
        <v>2</v>
      </c>
      <c r="DC40">
        <f>ROUND((ROUND(AT40*AG40,2)*ROUND((1.15*2),7)),0)</f>
        <v>0</v>
      </c>
    </row>
    <row r="41" spans="1:107" x14ac:dyDescent="0.2">
      <c r="A41">
        <f>ROW(Source!A42)</f>
        <v>42</v>
      </c>
      <c r="B41">
        <v>29836452</v>
      </c>
      <c r="C41">
        <v>29836706</v>
      </c>
      <c r="D41">
        <v>28337147</v>
      </c>
      <c r="E41">
        <v>1</v>
      </c>
      <c r="F41">
        <v>1</v>
      </c>
      <c r="G41">
        <v>1</v>
      </c>
      <c r="H41">
        <v>2</v>
      </c>
      <c r="I41" t="s">
        <v>354</v>
      </c>
      <c r="J41" t="s">
        <v>355</v>
      </c>
      <c r="K41" t="s">
        <v>356</v>
      </c>
      <c r="L41">
        <v>1368</v>
      </c>
      <c r="N41">
        <v>1011</v>
      </c>
      <c r="O41" t="s">
        <v>317</v>
      </c>
      <c r="P41" t="s">
        <v>317</v>
      </c>
      <c r="Q41">
        <v>1</v>
      </c>
      <c r="W41">
        <v>0</v>
      </c>
      <c r="X41">
        <v>-1533253915</v>
      </c>
      <c r="Y41">
        <v>0.42500000000000004</v>
      </c>
      <c r="AA41">
        <v>0</v>
      </c>
      <c r="AB41">
        <v>182.84</v>
      </c>
      <c r="AC41">
        <v>0</v>
      </c>
      <c r="AD41">
        <v>0</v>
      </c>
      <c r="AE41">
        <v>0</v>
      </c>
      <c r="AF41">
        <v>17.2</v>
      </c>
      <c r="AG41">
        <v>0</v>
      </c>
      <c r="AH41">
        <v>0</v>
      </c>
      <c r="AI41">
        <v>1</v>
      </c>
      <c r="AJ41">
        <v>10.63</v>
      </c>
      <c r="AK41">
        <v>35.86</v>
      </c>
      <c r="AL41">
        <v>1</v>
      </c>
      <c r="AN41">
        <v>0</v>
      </c>
      <c r="AO41">
        <v>1</v>
      </c>
      <c r="AP41">
        <v>1</v>
      </c>
      <c r="AQ41">
        <v>0</v>
      </c>
      <c r="AR41">
        <v>0</v>
      </c>
      <c r="AS41" t="s">
        <v>3</v>
      </c>
      <c r="AT41">
        <v>0.17</v>
      </c>
      <c r="AU41" t="s">
        <v>100</v>
      </c>
      <c r="AV41">
        <v>0</v>
      </c>
      <c r="AW41">
        <v>2</v>
      </c>
      <c r="AX41">
        <v>29836712</v>
      </c>
      <c r="AY41">
        <v>1</v>
      </c>
      <c r="AZ41">
        <v>0</v>
      </c>
      <c r="BA41">
        <v>42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Y41*Source!I42</f>
        <v>0.74800000000000011</v>
      </c>
      <c r="CY41">
        <f>AB41</f>
        <v>182.84</v>
      </c>
      <c r="CZ41">
        <f>AF41</f>
        <v>17.2</v>
      </c>
      <c r="DA41">
        <f>AJ41</f>
        <v>10.63</v>
      </c>
      <c r="DB41">
        <f>ROUND((ROUND(AT41*CZ41,2)*ROUND((1.25*2),7)),0)</f>
        <v>7</v>
      </c>
      <c r="DC41">
        <f>ROUND((ROUND(AT41*AG41,2)*ROUND((1.25*2),7)),0)</f>
        <v>0</v>
      </c>
    </row>
    <row r="42" spans="1:107" x14ac:dyDescent="0.2">
      <c r="A42">
        <f>ROW(Source!A42)</f>
        <v>42</v>
      </c>
      <c r="B42">
        <v>29836452</v>
      </c>
      <c r="C42">
        <v>29836706</v>
      </c>
      <c r="D42">
        <v>28249509</v>
      </c>
      <c r="E42">
        <v>21</v>
      </c>
      <c r="F42">
        <v>1</v>
      </c>
      <c r="G42">
        <v>1</v>
      </c>
      <c r="H42">
        <v>3</v>
      </c>
      <c r="I42" t="s">
        <v>82</v>
      </c>
      <c r="J42" t="s">
        <v>3</v>
      </c>
      <c r="K42" t="s">
        <v>83</v>
      </c>
      <c r="L42">
        <v>1348</v>
      </c>
      <c r="N42">
        <v>1009</v>
      </c>
      <c r="O42" t="s">
        <v>84</v>
      </c>
      <c r="P42" t="s">
        <v>84</v>
      </c>
      <c r="Q42">
        <v>1000</v>
      </c>
      <c r="W42">
        <v>0</v>
      </c>
      <c r="X42">
        <v>-1605379213</v>
      </c>
      <c r="Y42">
        <v>2.8E-3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7.26</v>
      </c>
      <c r="AJ42">
        <v>1</v>
      </c>
      <c r="AK42">
        <v>1</v>
      </c>
      <c r="AL42">
        <v>1</v>
      </c>
      <c r="AN42">
        <v>0</v>
      </c>
      <c r="AO42">
        <v>0</v>
      </c>
      <c r="AP42">
        <v>1</v>
      </c>
      <c r="AQ42">
        <v>0</v>
      </c>
      <c r="AR42">
        <v>0</v>
      </c>
      <c r="AS42" t="s">
        <v>3</v>
      </c>
      <c r="AT42">
        <v>1.4E-3</v>
      </c>
      <c r="AU42" t="s">
        <v>99</v>
      </c>
      <c r="AV42">
        <v>0</v>
      </c>
      <c r="AW42">
        <v>2</v>
      </c>
      <c r="AX42">
        <v>29836713</v>
      </c>
      <c r="AY42">
        <v>1</v>
      </c>
      <c r="AZ42">
        <v>0</v>
      </c>
      <c r="BA42">
        <v>43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Y42*Source!I42</f>
        <v>4.9280000000000001E-3</v>
      </c>
      <c r="CY42">
        <f>AA42</f>
        <v>0</v>
      </c>
      <c r="CZ42">
        <f>AE42</f>
        <v>0</v>
      </c>
      <c r="DA42">
        <f>AI42</f>
        <v>7.26</v>
      </c>
      <c r="DB42">
        <f>ROUND((ROUND(AT42*CZ42,2)*ROUND(2,7)),0)</f>
        <v>0</v>
      </c>
      <c r="DC42">
        <f>ROUND((ROUND(AT42*AG42,2)*ROUND(2,7)),0)</f>
        <v>0</v>
      </c>
    </row>
    <row r="43" spans="1:107" x14ac:dyDescent="0.2">
      <c r="A43">
        <f>ROW(Source!A42)</f>
        <v>42</v>
      </c>
      <c r="B43">
        <v>29836452</v>
      </c>
      <c r="C43">
        <v>29836706</v>
      </c>
      <c r="D43">
        <v>28247645</v>
      </c>
      <c r="E43">
        <v>21</v>
      </c>
      <c r="F43">
        <v>1</v>
      </c>
      <c r="G43">
        <v>1</v>
      </c>
      <c r="H43">
        <v>3</v>
      </c>
      <c r="I43" t="s">
        <v>86</v>
      </c>
      <c r="J43" t="s">
        <v>3</v>
      </c>
      <c r="K43" t="s">
        <v>87</v>
      </c>
      <c r="L43">
        <v>1348</v>
      </c>
      <c r="N43">
        <v>1009</v>
      </c>
      <c r="O43" t="s">
        <v>84</v>
      </c>
      <c r="P43" t="s">
        <v>84</v>
      </c>
      <c r="Q43">
        <v>1000</v>
      </c>
      <c r="W43">
        <v>0</v>
      </c>
      <c r="X43">
        <v>1670663622</v>
      </c>
      <c r="Y43">
        <v>24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7.26</v>
      </c>
      <c r="AJ43">
        <v>1</v>
      </c>
      <c r="AK43">
        <v>1</v>
      </c>
      <c r="AL43">
        <v>1</v>
      </c>
      <c r="AN43">
        <v>0</v>
      </c>
      <c r="AO43">
        <v>0</v>
      </c>
      <c r="AP43">
        <v>1</v>
      </c>
      <c r="AQ43">
        <v>0</v>
      </c>
      <c r="AR43">
        <v>0</v>
      </c>
      <c r="AS43" t="s">
        <v>3</v>
      </c>
      <c r="AT43">
        <v>12</v>
      </c>
      <c r="AU43" t="s">
        <v>99</v>
      </c>
      <c r="AV43">
        <v>0</v>
      </c>
      <c r="AW43">
        <v>2</v>
      </c>
      <c r="AX43">
        <v>29836714</v>
      </c>
      <c r="AY43">
        <v>1</v>
      </c>
      <c r="AZ43">
        <v>0</v>
      </c>
      <c r="BA43">
        <v>44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Y43*Source!I42</f>
        <v>42.24</v>
      </c>
      <c r="CY43">
        <f>AA43</f>
        <v>0</v>
      </c>
      <c r="CZ43">
        <f>AE43</f>
        <v>0</v>
      </c>
      <c r="DA43">
        <f>AI43</f>
        <v>7.26</v>
      </c>
      <c r="DB43">
        <f>ROUND((ROUND(AT43*CZ43,2)*ROUND(2,7)),0)</f>
        <v>0</v>
      </c>
      <c r="DC43">
        <f>ROUND((ROUND(AT43*AG43,2)*ROUND(2,7)),0)</f>
        <v>0</v>
      </c>
    </row>
    <row r="44" spans="1:107" x14ac:dyDescent="0.2">
      <c r="A44">
        <f>ROW(Source!A45)</f>
        <v>45</v>
      </c>
      <c r="B44">
        <v>29836452</v>
      </c>
      <c r="C44">
        <v>29836717</v>
      </c>
      <c r="D44">
        <v>28425676</v>
      </c>
      <c r="E44">
        <v>1</v>
      </c>
      <c r="F44">
        <v>1</v>
      </c>
      <c r="G44">
        <v>1</v>
      </c>
      <c r="H44">
        <v>1</v>
      </c>
      <c r="I44" t="s">
        <v>346</v>
      </c>
      <c r="J44" t="s">
        <v>3</v>
      </c>
      <c r="K44" t="s">
        <v>347</v>
      </c>
      <c r="L44">
        <v>1191</v>
      </c>
      <c r="N44">
        <v>1013</v>
      </c>
      <c r="O44" t="s">
        <v>311</v>
      </c>
      <c r="P44" t="s">
        <v>311</v>
      </c>
      <c r="Q44">
        <v>1</v>
      </c>
      <c r="W44">
        <v>0</v>
      </c>
      <c r="X44">
        <v>-1853062777</v>
      </c>
      <c r="Y44">
        <v>44.044999999999995</v>
      </c>
      <c r="AA44">
        <v>0</v>
      </c>
      <c r="AB44">
        <v>0</v>
      </c>
      <c r="AC44">
        <v>0</v>
      </c>
      <c r="AD44">
        <v>308.04000000000002</v>
      </c>
      <c r="AE44">
        <v>0</v>
      </c>
      <c r="AF44">
        <v>0</v>
      </c>
      <c r="AG44">
        <v>0</v>
      </c>
      <c r="AH44">
        <v>8.59</v>
      </c>
      <c r="AI44">
        <v>1</v>
      </c>
      <c r="AJ44">
        <v>1</v>
      </c>
      <c r="AK44">
        <v>1</v>
      </c>
      <c r="AL44">
        <v>35.86</v>
      </c>
      <c r="AN44">
        <v>0</v>
      </c>
      <c r="AO44">
        <v>1</v>
      </c>
      <c r="AP44">
        <v>1</v>
      </c>
      <c r="AQ44">
        <v>0</v>
      </c>
      <c r="AR44">
        <v>0</v>
      </c>
      <c r="AS44" t="s">
        <v>3</v>
      </c>
      <c r="AT44">
        <v>38.299999999999997</v>
      </c>
      <c r="AU44" t="s">
        <v>32</v>
      </c>
      <c r="AV44">
        <v>1</v>
      </c>
      <c r="AW44">
        <v>2</v>
      </c>
      <c r="AX44">
        <v>29836732</v>
      </c>
      <c r="AY44">
        <v>1</v>
      </c>
      <c r="AZ44">
        <v>0</v>
      </c>
      <c r="BA44">
        <v>45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Y44*Source!I45</f>
        <v>88.089999999999989</v>
      </c>
      <c r="CY44">
        <f>AD44</f>
        <v>308.04000000000002</v>
      </c>
      <c r="CZ44">
        <f>AH44</f>
        <v>8.59</v>
      </c>
      <c r="DA44">
        <f>AL44</f>
        <v>35.86</v>
      </c>
      <c r="DB44">
        <f>ROUND((ROUND(AT44*CZ44,2)*ROUND(1.15,7)),0)</f>
        <v>378</v>
      </c>
      <c r="DC44">
        <f>ROUND((ROUND(AT44*AG44,2)*ROUND(1.15,7)),0)</f>
        <v>0</v>
      </c>
    </row>
    <row r="45" spans="1:107" x14ac:dyDescent="0.2">
      <c r="A45">
        <f>ROW(Source!A45)</f>
        <v>45</v>
      </c>
      <c r="B45">
        <v>29836452</v>
      </c>
      <c r="C45">
        <v>29836717</v>
      </c>
      <c r="D45">
        <v>28419515</v>
      </c>
      <c r="E45">
        <v>1</v>
      </c>
      <c r="F45">
        <v>1</v>
      </c>
      <c r="G45">
        <v>1</v>
      </c>
      <c r="H45">
        <v>1</v>
      </c>
      <c r="I45" t="s">
        <v>312</v>
      </c>
      <c r="J45" t="s">
        <v>3</v>
      </c>
      <c r="K45" t="s">
        <v>313</v>
      </c>
      <c r="L45">
        <v>1191</v>
      </c>
      <c r="N45">
        <v>1013</v>
      </c>
      <c r="O45" t="s">
        <v>311</v>
      </c>
      <c r="P45" t="s">
        <v>311</v>
      </c>
      <c r="Q45">
        <v>1</v>
      </c>
      <c r="W45">
        <v>0</v>
      </c>
      <c r="X45">
        <v>-383101862</v>
      </c>
      <c r="Y45">
        <v>19.12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1</v>
      </c>
      <c r="AJ45">
        <v>1</v>
      </c>
      <c r="AK45">
        <v>35.86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S45" t="s">
        <v>3</v>
      </c>
      <c r="AT45">
        <v>19.12</v>
      </c>
      <c r="AU45" t="s">
        <v>3</v>
      </c>
      <c r="AV45">
        <v>2</v>
      </c>
      <c r="AW45">
        <v>2</v>
      </c>
      <c r="AX45">
        <v>29836733</v>
      </c>
      <c r="AY45">
        <v>1</v>
      </c>
      <c r="AZ45">
        <v>2048</v>
      </c>
      <c r="BA45">
        <v>46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Y45*Source!I45</f>
        <v>38.24</v>
      </c>
      <c r="CY45">
        <f>AD45</f>
        <v>0</v>
      </c>
      <c r="CZ45">
        <f>AH45</f>
        <v>0</v>
      </c>
      <c r="DA45">
        <f>AL45</f>
        <v>1</v>
      </c>
      <c r="DB45">
        <f>ROUND(ROUND(AT45*CZ45,2),0)</f>
        <v>0</v>
      </c>
      <c r="DC45">
        <f>ROUND(ROUND(AT45*AG45,2),0)</f>
        <v>0</v>
      </c>
    </row>
    <row r="46" spans="1:107" x14ac:dyDescent="0.2">
      <c r="A46">
        <f>ROW(Source!A45)</f>
        <v>45</v>
      </c>
      <c r="B46">
        <v>29836452</v>
      </c>
      <c r="C46">
        <v>29836717</v>
      </c>
      <c r="D46">
        <v>28336675</v>
      </c>
      <c r="E46">
        <v>1</v>
      </c>
      <c r="F46">
        <v>1</v>
      </c>
      <c r="G46">
        <v>1</v>
      </c>
      <c r="H46">
        <v>2</v>
      </c>
      <c r="I46" t="s">
        <v>348</v>
      </c>
      <c r="J46" t="s">
        <v>349</v>
      </c>
      <c r="K46" t="s">
        <v>350</v>
      </c>
      <c r="L46">
        <v>1368</v>
      </c>
      <c r="N46">
        <v>1011</v>
      </c>
      <c r="O46" t="s">
        <v>317</v>
      </c>
      <c r="P46" t="s">
        <v>317</v>
      </c>
      <c r="Q46">
        <v>1</v>
      </c>
      <c r="W46">
        <v>0</v>
      </c>
      <c r="X46">
        <v>903590057</v>
      </c>
      <c r="Y46">
        <v>3.7499999999999999E-2</v>
      </c>
      <c r="AA46">
        <v>0</v>
      </c>
      <c r="AB46">
        <v>1198.75</v>
      </c>
      <c r="AC46">
        <v>424.58</v>
      </c>
      <c r="AD46">
        <v>0</v>
      </c>
      <c r="AE46">
        <v>0</v>
      </c>
      <c r="AF46">
        <v>112.77</v>
      </c>
      <c r="AG46">
        <v>11.84</v>
      </c>
      <c r="AH46">
        <v>0</v>
      </c>
      <c r="AI46">
        <v>1</v>
      </c>
      <c r="AJ46">
        <v>10.63</v>
      </c>
      <c r="AK46">
        <v>35.86</v>
      </c>
      <c r="AL46">
        <v>1</v>
      </c>
      <c r="AN46">
        <v>0</v>
      </c>
      <c r="AO46">
        <v>1</v>
      </c>
      <c r="AP46">
        <v>1</v>
      </c>
      <c r="AQ46">
        <v>0</v>
      </c>
      <c r="AR46">
        <v>0</v>
      </c>
      <c r="AS46" t="s">
        <v>3</v>
      </c>
      <c r="AT46">
        <v>0.03</v>
      </c>
      <c r="AU46" t="s">
        <v>31</v>
      </c>
      <c r="AV46">
        <v>0</v>
      </c>
      <c r="AW46">
        <v>2</v>
      </c>
      <c r="AX46">
        <v>29836734</v>
      </c>
      <c r="AY46">
        <v>1</v>
      </c>
      <c r="AZ46">
        <v>0</v>
      </c>
      <c r="BA46">
        <v>47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Y46*Source!I45</f>
        <v>7.4999999999999997E-2</v>
      </c>
      <c r="CY46">
        <f t="shared" ref="CY46:CY52" si="7">AB46</f>
        <v>1198.75</v>
      </c>
      <c r="CZ46">
        <f t="shared" ref="CZ46:CZ52" si="8">AF46</f>
        <v>112.77</v>
      </c>
      <c r="DA46">
        <f t="shared" ref="DA46:DA52" si="9">AJ46</f>
        <v>10.63</v>
      </c>
      <c r="DB46">
        <f t="shared" ref="DB46:DB52" si="10">ROUND((ROUND(AT46*CZ46,2)*ROUND(1.25,7)),0)</f>
        <v>4</v>
      </c>
      <c r="DC46">
        <f t="shared" ref="DC46:DC52" si="11">ROUND((ROUND(AT46*AG46,2)*ROUND(1.25,7)),0)</f>
        <v>0</v>
      </c>
    </row>
    <row r="47" spans="1:107" x14ac:dyDescent="0.2">
      <c r="A47">
        <f>ROW(Source!A45)</f>
        <v>45</v>
      </c>
      <c r="B47">
        <v>29836452</v>
      </c>
      <c r="C47">
        <v>29836717</v>
      </c>
      <c r="D47">
        <v>28337132</v>
      </c>
      <c r="E47">
        <v>1</v>
      </c>
      <c r="F47">
        <v>1</v>
      </c>
      <c r="G47">
        <v>1</v>
      </c>
      <c r="H47">
        <v>2</v>
      </c>
      <c r="I47" t="s">
        <v>351</v>
      </c>
      <c r="J47" t="s">
        <v>352</v>
      </c>
      <c r="K47" t="s">
        <v>353</v>
      </c>
      <c r="L47">
        <v>1368</v>
      </c>
      <c r="N47">
        <v>1011</v>
      </c>
      <c r="O47" t="s">
        <v>317</v>
      </c>
      <c r="P47" t="s">
        <v>317</v>
      </c>
      <c r="Q47">
        <v>1</v>
      </c>
      <c r="W47">
        <v>0</v>
      </c>
      <c r="X47">
        <v>-1103478361</v>
      </c>
      <c r="Y47">
        <v>3.9874999999999998</v>
      </c>
      <c r="AA47">
        <v>0</v>
      </c>
      <c r="AB47">
        <v>2071.6799999999998</v>
      </c>
      <c r="AC47">
        <v>452.91</v>
      </c>
      <c r="AD47">
        <v>0</v>
      </c>
      <c r="AE47">
        <v>0</v>
      </c>
      <c r="AF47">
        <v>194.89</v>
      </c>
      <c r="AG47">
        <v>12.63</v>
      </c>
      <c r="AH47">
        <v>0</v>
      </c>
      <c r="AI47">
        <v>1</v>
      </c>
      <c r="AJ47">
        <v>10.63</v>
      </c>
      <c r="AK47">
        <v>35.86</v>
      </c>
      <c r="AL47">
        <v>1</v>
      </c>
      <c r="AN47">
        <v>0</v>
      </c>
      <c r="AO47">
        <v>1</v>
      </c>
      <c r="AP47">
        <v>1</v>
      </c>
      <c r="AQ47">
        <v>0</v>
      </c>
      <c r="AR47">
        <v>0</v>
      </c>
      <c r="AS47" t="s">
        <v>3</v>
      </c>
      <c r="AT47">
        <v>3.19</v>
      </c>
      <c r="AU47" t="s">
        <v>31</v>
      </c>
      <c r="AV47">
        <v>0</v>
      </c>
      <c r="AW47">
        <v>2</v>
      </c>
      <c r="AX47">
        <v>29836735</v>
      </c>
      <c r="AY47">
        <v>1</v>
      </c>
      <c r="AZ47">
        <v>0</v>
      </c>
      <c r="BA47">
        <v>48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Y47*Source!I45</f>
        <v>7.9749999999999996</v>
      </c>
      <c r="CY47">
        <f t="shared" si="7"/>
        <v>2071.6799999999998</v>
      </c>
      <c r="CZ47">
        <f t="shared" si="8"/>
        <v>194.89</v>
      </c>
      <c r="DA47">
        <f t="shared" si="9"/>
        <v>10.63</v>
      </c>
      <c r="DB47">
        <f t="shared" si="10"/>
        <v>777</v>
      </c>
      <c r="DC47">
        <f t="shared" si="11"/>
        <v>50</v>
      </c>
    </row>
    <row r="48" spans="1:107" x14ac:dyDescent="0.2">
      <c r="A48">
        <f>ROW(Source!A45)</f>
        <v>45</v>
      </c>
      <c r="B48">
        <v>29836452</v>
      </c>
      <c r="C48">
        <v>29836717</v>
      </c>
      <c r="D48">
        <v>28337147</v>
      </c>
      <c r="E48">
        <v>1</v>
      </c>
      <c r="F48">
        <v>1</v>
      </c>
      <c r="G48">
        <v>1</v>
      </c>
      <c r="H48">
        <v>2</v>
      </c>
      <c r="I48" t="s">
        <v>354</v>
      </c>
      <c r="J48" t="s">
        <v>355</v>
      </c>
      <c r="K48" t="s">
        <v>356</v>
      </c>
      <c r="L48">
        <v>1368</v>
      </c>
      <c r="N48">
        <v>1011</v>
      </c>
      <c r="O48" t="s">
        <v>317</v>
      </c>
      <c r="P48" t="s">
        <v>317</v>
      </c>
      <c r="Q48">
        <v>1</v>
      </c>
      <c r="W48">
        <v>0</v>
      </c>
      <c r="X48">
        <v>-1533253915</v>
      </c>
      <c r="Y48">
        <v>1.75</v>
      </c>
      <c r="AA48">
        <v>0</v>
      </c>
      <c r="AB48">
        <v>182.84</v>
      </c>
      <c r="AC48">
        <v>0</v>
      </c>
      <c r="AD48">
        <v>0</v>
      </c>
      <c r="AE48">
        <v>0</v>
      </c>
      <c r="AF48">
        <v>17.2</v>
      </c>
      <c r="AG48">
        <v>0</v>
      </c>
      <c r="AH48">
        <v>0</v>
      </c>
      <c r="AI48">
        <v>1</v>
      </c>
      <c r="AJ48">
        <v>10.63</v>
      </c>
      <c r="AK48">
        <v>35.86</v>
      </c>
      <c r="AL48">
        <v>1</v>
      </c>
      <c r="AN48">
        <v>0</v>
      </c>
      <c r="AO48">
        <v>1</v>
      </c>
      <c r="AP48">
        <v>1</v>
      </c>
      <c r="AQ48">
        <v>0</v>
      </c>
      <c r="AR48">
        <v>0</v>
      </c>
      <c r="AS48" t="s">
        <v>3</v>
      </c>
      <c r="AT48">
        <v>1.4</v>
      </c>
      <c r="AU48" t="s">
        <v>31</v>
      </c>
      <c r="AV48">
        <v>0</v>
      </c>
      <c r="AW48">
        <v>2</v>
      </c>
      <c r="AX48">
        <v>29836736</v>
      </c>
      <c r="AY48">
        <v>1</v>
      </c>
      <c r="AZ48">
        <v>0</v>
      </c>
      <c r="BA48">
        <v>49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Y48*Source!I45</f>
        <v>3.5</v>
      </c>
      <c r="CY48">
        <f t="shared" si="7"/>
        <v>182.84</v>
      </c>
      <c r="CZ48">
        <f t="shared" si="8"/>
        <v>17.2</v>
      </c>
      <c r="DA48">
        <f t="shared" si="9"/>
        <v>10.63</v>
      </c>
      <c r="DB48">
        <f t="shared" si="10"/>
        <v>30</v>
      </c>
      <c r="DC48">
        <f t="shared" si="11"/>
        <v>0</v>
      </c>
    </row>
    <row r="49" spans="1:107" x14ac:dyDescent="0.2">
      <c r="A49">
        <f>ROW(Source!A45)</f>
        <v>45</v>
      </c>
      <c r="B49">
        <v>29836452</v>
      </c>
      <c r="C49">
        <v>29836717</v>
      </c>
      <c r="D49">
        <v>28337181</v>
      </c>
      <c r="E49">
        <v>1</v>
      </c>
      <c r="F49">
        <v>1</v>
      </c>
      <c r="G49">
        <v>1</v>
      </c>
      <c r="H49">
        <v>2</v>
      </c>
      <c r="I49" t="s">
        <v>357</v>
      </c>
      <c r="J49" t="s">
        <v>358</v>
      </c>
      <c r="K49" t="s">
        <v>359</v>
      </c>
      <c r="L49">
        <v>1368</v>
      </c>
      <c r="N49">
        <v>1011</v>
      </c>
      <c r="O49" t="s">
        <v>317</v>
      </c>
      <c r="P49" t="s">
        <v>317</v>
      </c>
      <c r="Q49">
        <v>1</v>
      </c>
      <c r="W49">
        <v>0</v>
      </c>
      <c r="X49">
        <v>1123770785</v>
      </c>
      <c r="Y49">
        <v>4.95</v>
      </c>
      <c r="AA49">
        <v>0</v>
      </c>
      <c r="AB49">
        <v>802.67</v>
      </c>
      <c r="AC49">
        <v>363.26</v>
      </c>
      <c r="AD49">
        <v>0</v>
      </c>
      <c r="AE49">
        <v>0</v>
      </c>
      <c r="AF49">
        <v>75.510000000000005</v>
      </c>
      <c r="AG49">
        <v>10.130000000000001</v>
      </c>
      <c r="AH49">
        <v>0</v>
      </c>
      <c r="AI49">
        <v>1</v>
      </c>
      <c r="AJ49">
        <v>10.63</v>
      </c>
      <c r="AK49">
        <v>35.86</v>
      </c>
      <c r="AL49">
        <v>1</v>
      </c>
      <c r="AN49">
        <v>0</v>
      </c>
      <c r="AO49">
        <v>1</v>
      </c>
      <c r="AP49">
        <v>1</v>
      </c>
      <c r="AQ49">
        <v>0</v>
      </c>
      <c r="AR49">
        <v>0</v>
      </c>
      <c r="AS49" t="s">
        <v>3</v>
      </c>
      <c r="AT49">
        <v>3.96</v>
      </c>
      <c r="AU49" t="s">
        <v>31</v>
      </c>
      <c r="AV49">
        <v>0</v>
      </c>
      <c r="AW49">
        <v>2</v>
      </c>
      <c r="AX49">
        <v>29836737</v>
      </c>
      <c r="AY49">
        <v>1</v>
      </c>
      <c r="AZ49">
        <v>0</v>
      </c>
      <c r="BA49">
        <v>50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Y49*Source!I45</f>
        <v>9.9</v>
      </c>
      <c r="CY49">
        <f t="shared" si="7"/>
        <v>802.67</v>
      </c>
      <c r="CZ49">
        <f t="shared" si="8"/>
        <v>75.510000000000005</v>
      </c>
      <c r="DA49">
        <f t="shared" si="9"/>
        <v>10.63</v>
      </c>
      <c r="DB49">
        <f t="shared" si="10"/>
        <v>374</v>
      </c>
      <c r="DC49">
        <f t="shared" si="11"/>
        <v>50</v>
      </c>
    </row>
    <row r="50" spans="1:107" x14ac:dyDescent="0.2">
      <c r="A50">
        <f>ROW(Source!A45)</f>
        <v>45</v>
      </c>
      <c r="B50">
        <v>29836452</v>
      </c>
      <c r="C50">
        <v>29836717</v>
      </c>
      <c r="D50">
        <v>28337185</v>
      </c>
      <c r="E50">
        <v>1</v>
      </c>
      <c r="F50">
        <v>1</v>
      </c>
      <c r="G50">
        <v>1</v>
      </c>
      <c r="H50">
        <v>2</v>
      </c>
      <c r="I50" t="s">
        <v>360</v>
      </c>
      <c r="J50" t="s">
        <v>361</v>
      </c>
      <c r="K50" t="s">
        <v>362</v>
      </c>
      <c r="L50">
        <v>1368</v>
      </c>
      <c r="N50">
        <v>1011</v>
      </c>
      <c r="O50" t="s">
        <v>317</v>
      </c>
      <c r="P50" t="s">
        <v>317</v>
      </c>
      <c r="Q50">
        <v>1</v>
      </c>
      <c r="W50">
        <v>0</v>
      </c>
      <c r="X50">
        <v>1429209560</v>
      </c>
      <c r="Y50">
        <v>14.387499999999999</v>
      </c>
      <c r="AA50">
        <v>0</v>
      </c>
      <c r="AB50">
        <v>1283.79</v>
      </c>
      <c r="AC50">
        <v>452.91</v>
      </c>
      <c r="AD50">
        <v>0</v>
      </c>
      <c r="AE50">
        <v>0</v>
      </c>
      <c r="AF50">
        <v>120.77</v>
      </c>
      <c r="AG50">
        <v>12.63</v>
      </c>
      <c r="AH50">
        <v>0</v>
      </c>
      <c r="AI50">
        <v>1</v>
      </c>
      <c r="AJ50">
        <v>10.63</v>
      </c>
      <c r="AK50">
        <v>35.86</v>
      </c>
      <c r="AL50">
        <v>1</v>
      </c>
      <c r="AN50">
        <v>0</v>
      </c>
      <c r="AO50">
        <v>1</v>
      </c>
      <c r="AP50">
        <v>1</v>
      </c>
      <c r="AQ50">
        <v>0</v>
      </c>
      <c r="AR50">
        <v>0</v>
      </c>
      <c r="AS50" t="s">
        <v>3</v>
      </c>
      <c r="AT50">
        <v>11.51</v>
      </c>
      <c r="AU50" t="s">
        <v>31</v>
      </c>
      <c r="AV50">
        <v>0</v>
      </c>
      <c r="AW50">
        <v>2</v>
      </c>
      <c r="AX50">
        <v>29836738</v>
      </c>
      <c r="AY50">
        <v>1</v>
      </c>
      <c r="AZ50">
        <v>0</v>
      </c>
      <c r="BA50">
        <v>51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Y50*Source!I45</f>
        <v>28.774999999999999</v>
      </c>
      <c r="CY50">
        <f t="shared" si="7"/>
        <v>1283.79</v>
      </c>
      <c r="CZ50">
        <f t="shared" si="8"/>
        <v>120.77</v>
      </c>
      <c r="DA50">
        <f t="shared" si="9"/>
        <v>10.63</v>
      </c>
      <c r="DB50">
        <f t="shared" si="10"/>
        <v>1738</v>
      </c>
      <c r="DC50">
        <f t="shared" si="11"/>
        <v>182</v>
      </c>
    </row>
    <row r="51" spans="1:107" x14ac:dyDescent="0.2">
      <c r="A51">
        <f>ROW(Source!A45)</f>
        <v>45</v>
      </c>
      <c r="B51">
        <v>29836452</v>
      </c>
      <c r="C51">
        <v>29836717</v>
      </c>
      <c r="D51">
        <v>28337789</v>
      </c>
      <c r="E51">
        <v>1</v>
      </c>
      <c r="F51">
        <v>1</v>
      </c>
      <c r="G51">
        <v>1</v>
      </c>
      <c r="H51">
        <v>2</v>
      </c>
      <c r="I51" t="s">
        <v>338</v>
      </c>
      <c r="J51" t="s">
        <v>339</v>
      </c>
      <c r="K51" t="s">
        <v>340</v>
      </c>
      <c r="L51">
        <v>1368</v>
      </c>
      <c r="N51">
        <v>1011</v>
      </c>
      <c r="O51" t="s">
        <v>317</v>
      </c>
      <c r="P51" t="s">
        <v>317</v>
      </c>
      <c r="Q51">
        <v>1</v>
      </c>
      <c r="W51">
        <v>0</v>
      </c>
      <c r="X51">
        <v>-929913149</v>
      </c>
      <c r="Y51">
        <v>0.48750000000000004</v>
      </c>
      <c r="AA51">
        <v>0</v>
      </c>
      <c r="AB51">
        <v>1269.6500000000001</v>
      </c>
      <c r="AC51">
        <v>363.26</v>
      </c>
      <c r="AD51">
        <v>0</v>
      </c>
      <c r="AE51">
        <v>0</v>
      </c>
      <c r="AF51">
        <v>119.44</v>
      </c>
      <c r="AG51">
        <v>10.130000000000001</v>
      </c>
      <c r="AH51">
        <v>0</v>
      </c>
      <c r="AI51">
        <v>1</v>
      </c>
      <c r="AJ51">
        <v>10.63</v>
      </c>
      <c r="AK51">
        <v>35.86</v>
      </c>
      <c r="AL51">
        <v>1</v>
      </c>
      <c r="AN51">
        <v>0</v>
      </c>
      <c r="AO51">
        <v>1</v>
      </c>
      <c r="AP51">
        <v>1</v>
      </c>
      <c r="AQ51">
        <v>0</v>
      </c>
      <c r="AR51">
        <v>0</v>
      </c>
      <c r="AS51" t="s">
        <v>3</v>
      </c>
      <c r="AT51">
        <v>0.39</v>
      </c>
      <c r="AU51" t="s">
        <v>31</v>
      </c>
      <c r="AV51">
        <v>0</v>
      </c>
      <c r="AW51">
        <v>2</v>
      </c>
      <c r="AX51">
        <v>29836739</v>
      </c>
      <c r="AY51">
        <v>1</v>
      </c>
      <c r="AZ51">
        <v>0</v>
      </c>
      <c r="BA51">
        <v>52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Y51*Source!I45</f>
        <v>0.97500000000000009</v>
      </c>
      <c r="CY51">
        <f t="shared" si="7"/>
        <v>1269.6500000000001</v>
      </c>
      <c r="CZ51">
        <f t="shared" si="8"/>
        <v>119.44</v>
      </c>
      <c r="DA51">
        <f t="shared" si="9"/>
        <v>10.63</v>
      </c>
      <c r="DB51">
        <f t="shared" si="10"/>
        <v>58</v>
      </c>
      <c r="DC51">
        <f t="shared" si="11"/>
        <v>5</v>
      </c>
    </row>
    <row r="52" spans="1:107" x14ac:dyDescent="0.2">
      <c r="A52">
        <f>ROW(Source!A45)</f>
        <v>45</v>
      </c>
      <c r="B52">
        <v>29836452</v>
      </c>
      <c r="C52">
        <v>29836717</v>
      </c>
      <c r="D52">
        <v>28337840</v>
      </c>
      <c r="E52">
        <v>1</v>
      </c>
      <c r="F52">
        <v>1</v>
      </c>
      <c r="G52">
        <v>1</v>
      </c>
      <c r="H52">
        <v>2</v>
      </c>
      <c r="I52" t="s">
        <v>363</v>
      </c>
      <c r="J52" t="s">
        <v>364</v>
      </c>
      <c r="K52" t="s">
        <v>365</v>
      </c>
      <c r="L52">
        <v>1368</v>
      </c>
      <c r="N52">
        <v>1011</v>
      </c>
      <c r="O52" t="s">
        <v>317</v>
      </c>
      <c r="P52" t="s">
        <v>317</v>
      </c>
      <c r="Q52">
        <v>1</v>
      </c>
      <c r="W52">
        <v>0</v>
      </c>
      <c r="X52">
        <v>1171957361</v>
      </c>
      <c r="Y52">
        <v>0.05</v>
      </c>
      <c r="AA52">
        <v>0</v>
      </c>
      <c r="AB52">
        <v>922.58</v>
      </c>
      <c r="AC52">
        <v>363.26</v>
      </c>
      <c r="AD52">
        <v>0</v>
      </c>
      <c r="AE52">
        <v>0</v>
      </c>
      <c r="AF52">
        <v>86.79</v>
      </c>
      <c r="AG52">
        <v>10.130000000000001</v>
      </c>
      <c r="AH52">
        <v>0</v>
      </c>
      <c r="AI52">
        <v>1</v>
      </c>
      <c r="AJ52">
        <v>10.63</v>
      </c>
      <c r="AK52">
        <v>35.86</v>
      </c>
      <c r="AL52">
        <v>1</v>
      </c>
      <c r="AN52">
        <v>0</v>
      </c>
      <c r="AO52">
        <v>1</v>
      </c>
      <c r="AP52">
        <v>1</v>
      </c>
      <c r="AQ52">
        <v>0</v>
      </c>
      <c r="AR52">
        <v>0</v>
      </c>
      <c r="AS52" t="s">
        <v>3</v>
      </c>
      <c r="AT52">
        <v>0.04</v>
      </c>
      <c r="AU52" t="s">
        <v>31</v>
      </c>
      <c r="AV52">
        <v>0</v>
      </c>
      <c r="AW52">
        <v>2</v>
      </c>
      <c r="AX52">
        <v>29836740</v>
      </c>
      <c r="AY52">
        <v>1</v>
      </c>
      <c r="AZ52">
        <v>0</v>
      </c>
      <c r="BA52">
        <v>53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Y52*Source!I45</f>
        <v>0.1</v>
      </c>
      <c r="CY52">
        <f t="shared" si="7"/>
        <v>922.58</v>
      </c>
      <c r="CZ52">
        <f t="shared" si="8"/>
        <v>86.79</v>
      </c>
      <c r="DA52">
        <f t="shared" si="9"/>
        <v>10.63</v>
      </c>
      <c r="DB52">
        <f t="shared" si="10"/>
        <v>4</v>
      </c>
      <c r="DC52">
        <f t="shared" si="11"/>
        <v>1</v>
      </c>
    </row>
    <row r="53" spans="1:107" x14ac:dyDescent="0.2">
      <c r="A53">
        <f>ROW(Source!A45)</f>
        <v>45</v>
      </c>
      <c r="B53">
        <v>29836452</v>
      </c>
      <c r="C53">
        <v>29836717</v>
      </c>
      <c r="D53">
        <v>28249509</v>
      </c>
      <c r="E53">
        <v>21</v>
      </c>
      <c r="F53">
        <v>1</v>
      </c>
      <c r="G53">
        <v>1</v>
      </c>
      <c r="H53">
        <v>3</v>
      </c>
      <c r="I53" t="s">
        <v>82</v>
      </c>
      <c r="J53" t="s">
        <v>3</v>
      </c>
      <c r="K53" t="s">
        <v>83</v>
      </c>
      <c r="L53">
        <v>1348</v>
      </c>
      <c r="N53">
        <v>1009</v>
      </c>
      <c r="O53" t="s">
        <v>84</v>
      </c>
      <c r="P53" t="s">
        <v>84</v>
      </c>
      <c r="Q53">
        <v>1000</v>
      </c>
      <c r="W53">
        <v>0</v>
      </c>
      <c r="X53">
        <v>-1605379213</v>
      </c>
      <c r="Y53">
        <v>1.0800000000000001E-2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7.26</v>
      </c>
      <c r="AJ53">
        <v>1</v>
      </c>
      <c r="AK53">
        <v>1</v>
      </c>
      <c r="AL53">
        <v>1</v>
      </c>
      <c r="AN53">
        <v>0</v>
      </c>
      <c r="AO53">
        <v>0</v>
      </c>
      <c r="AP53">
        <v>0</v>
      </c>
      <c r="AQ53">
        <v>0</v>
      </c>
      <c r="AR53">
        <v>0</v>
      </c>
      <c r="AS53" t="s">
        <v>3</v>
      </c>
      <c r="AT53">
        <v>1.0800000000000001E-2</v>
      </c>
      <c r="AU53" t="s">
        <v>3</v>
      </c>
      <c r="AV53">
        <v>0</v>
      </c>
      <c r="AW53">
        <v>2</v>
      </c>
      <c r="AX53">
        <v>29836741</v>
      </c>
      <c r="AY53">
        <v>1</v>
      </c>
      <c r="AZ53">
        <v>0</v>
      </c>
      <c r="BA53">
        <v>54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Y53*Source!I45</f>
        <v>2.1600000000000001E-2</v>
      </c>
      <c r="CY53">
        <f>AA53</f>
        <v>0</v>
      </c>
      <c r="CZ53">
        <f>AE53</f>
        <v>0</v>
      </c>
      <c r="DA53">
        <f>AI53</f>
        <v>7.26</v>
      </c>
      <c r="DB53">
        <f>ROUND(ROUND(AT53*CZ53,2),0)</f>
        <v>0</v>
      </c>
      <c r="DC53">
        <f>ROUND(ROUND(AT53*AG53,2),0)</f>
        <v>0</v>
      </c>
    </row>
    <row r="54" spans="1:107" x14ac:dyDescent="0.2">
      <c r="A54">
        <f>ROW(Source!A45)</f>
        <v>45</v>
      </c>
      <c r="B54">
        <v>29836452</v>
      </c>
      <c r="C54">
        <v>29836717</v>
      </c>
      <c r="D54">
        <v>28253181</v>
      </c>
      <c r="E54">
        <v>1</v>
      </c>
      <c r="F54">
        <v>1</v>
      </c>
      <c r="G54">
        <v>1</v>
      </c>
      <c r="H54">
        <v>3</v>
      </c>
      <c r="I54" t="s">
        <v>341</v>
      </c>
      <c r="J54" t="s">
        <v>342</v>
      </c>
      <c r="K54" t="s">
        <v>343</v>
      </c>
      <c r="L54">
        <v>1339</v>
      </c>
      <c r="N54">
        <v>1007</v>
      </c>
      <c r="O54" t="s">
        <v>56</v>
      </c>
      <c r="P54" t="s">
        <v>56</v>
      </c>
      <c r="Q54">
        <v>1</v>
      </c>
      <c r="W54">
        <v>0</v>
      </c>
      <c r="X54">
        <v>82350058</v>
      </c>
      <c r="Y54">
        <v>0.2</v>
      </c>
      <c r="AA54">
        <v>17.71</v>
      </c>
      <c r="AB54">
        <v>0</v>
      </c>
      <c r="AC54">
        <v>0</v>
      </c>
      <c r="AD54">
        <v>0</v>
      </c>
      <c r="AE54">
        <v>2.44</v>
      </c>
      <c r="AF54">
        <v>0</v>
      </c>
      <c r="AG54">
        <v>0</v>
      </c>
      <c r="AH54">
        <v>0</v>
      </c>
      <c r="AI54">
        <v>7.26</v>
      </c>
      <c r="AJ54">
        <v>1</v>
      </c>
      <c r="AK54">
        <v>1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S54" t="s">
        <v>3</v>
      </c>
      <c r="AT54">
        <v>0.2</v>
      </c>
      <c r="AU54" t="s">
        <v>3</v>
      </c>
      <c r="AV54">
        <v>0</v>
      </c>
      <c r="AW54">
        <v>2</v>
      </c>
      <c r="AX54">
        <v>29836742</v>
      </c>
      <c r="AY54">
        <v>1</v>
      </c>
      <c r="AZ54">
        <v>0</v>
      </c>
      <c r="BA54">
        <v>55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Y54*Source!I45</f>
        <v>0.4</v>
      </c>
      <c r="CY54">
        <f>AA54</f>
        <v>17.71</v>
      </c>
      <c r="CZ54">
        <f>AE54</f>
        <v>2.44</v>
      </c>
      <c r="DA54">
        <f>AI54</f>
        <v>7.26</v>
      </c>
      <c r="DB54">
        <f>ROUND(ROUND(AT54*CZ54,2),0)</f>
        <v>0</v>
      </c>
      <c r="DC54">
        <f>ROUND(ROUND(AT54*AG54,2),0)</f>
        <v>0</v>
      </c>
    </row>
    <row r="55" spans="1:107" x14ac:dyDescent="0.2">
      <c r="A55">
        <f>ROW(Source!A45)</f>
        <v>45</v>
      </c>
      <c r="B55">
        <v>29836452</v>
      </c>
      <c r="C55">
        <v>29836717</v>
      </c>
      <c r="D55">
        <v>28247645</v>
      </c>
      <c r="E55">
        <v>21</v>
      </c>
      <c r="F55">
        <v>1</v>
      </c>
      <c r="G55">
        <v>1</v>
      </c>
      <c r="H55">
        <v>3</v>
      </c>
      <c r="I55" t="s">
        <v>86</v>
      </c>
      <c r="J55" t="s">
        <v>3</v>
      </c>
      <c r="K55" t="s">
        <v>87</v>
      </c>
      <c r="L55">
        <v>1348</v>
      </c>
      <c r="N55">
        <v>1009</v>
      </c>
      <c r="O55" t="s">
        <v>84</v>
      </c>
      <c r="P55" t="s">
        <v>84</v>
      </c>
      <c r="Q55">
        <v>1000</v>
      </c>
      <c r="W55">
        <v>0</v>
      </c>
      <c r="X55">
        <v>1670663622</v>
      </c>
      <c r="Y55">
        <v>96.6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7.26</v>
      </c>
      <c r="AJ55">
        <v>1</v>
      </c>
      <c r="AK55">
        <v>1</v>
      </c>
      <c r="AL55">
        <v>1</v>
      </c>
      <c r="AN55">
        <v>0</v>
      </c>
      <c r="AO55">
        <v>0</v>
      </c>
      <c r="AP55">
        <v>0</v>
      </c>
      <c r="AQ55">
        <v>0</v>
      </c>
      <c r="AR55">
        <v>0</v>
      </c>
      <c r="AS55" t="s">
        <v>3</v>
      </c>
      <c r="AT55">
        <v>96.6</v>
      </c>
      <c r="AU55" t="s">
        <v>3</v>
      </c>
      <c r="AV55">
        <v>0</v>
      </c>
      <c r="AW55">
        <v>2</v>
      </c>
      <c r="AX55">
        <v>29836743</v>
      </c>
      <c r="AY55">
        <v>1</v>
      </c>
      <c r="AZ55">
        <v>0</v>
      </c>
      <c r="BA55">
        <v>56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Y55*Source!I45</f>
        <v>193.2</v>
      </c>
      <c r="CY55">
        <f>AA55</f>
        <v>0</v>
      </c>
      <c r="CZ55">
        <f>AE55</f>
        <v>0</v>
      </c>
      <c r="DA55">
        <f>AI55</f>
        <v>7.26</v>
      </c>
      <c r="DB55">
        <f>ROUND(ROUND(AT55*CZ55,2),0)</f>
        <v>0</v>
      </c>
      <c r="DC55">
        <f>ROUND(ROUND(AT55*AG55,2),0)</f>
        <v>0</v>
      </c>
    </row>
    <row r="56" spans="1:107" x14ac:dyDescent="0.2">
      <c r="A56">
        <f>ROW(Source!A45)</f>
        <v>45</v>
      </c>
      <c r="B56">
        <v>29836452</v>
      </c>
      <c r="C56">
        <v>29836717</v>
      </c>
      <c r="D56">
        <v>28277600</v>
      </c>
      <c r="E56">
        <v>1</v>
      </c>
      <c r="F56">
        <v>1</v>
      </c>
      <c r="G56">
        <v>1</v>
      </c>
      <c r="H56">
        <v>3</v>
      </c>
      <c r="I56" t="s">
        <v>366</v>
      </c>
      <c r="J56" t="s">
        <v>367</v>
      </c>
      <c r="K56" t="s">
        <v>368</v>
      </c>
      <c r="L56">
        <v>1348</v>
      </c>
      <c r="N56">
        <v>1009</v>
      </c>
      <c r="O56" t="s">
        <v>84</v>
      </c>
      <c r="P56" t="s">
        <v>84</v>
      </c>
      <c r="Q56">
        <v>1000</v>
      </c>
      <c r="W56">
        <v>0</v>
      </c>
      <c r="X56">
        <v>729703251</v>
      </c>
      <c r="Y56">
        <v>6.1999999999999998E-3</v>
      </c>
      <c r="AA56">
        <v>48861.25</v>
      </c>
      <c r="AB56">
        <v>0</v>
      </c>
      <c r="AC56">
        <v>0</v>
      </c>
      <c r="AD56">
        <v>0</v>
      </c>
      <c r="AE56">
        <v>6730.2</v>
      </c>
      <c r="AF56">
        <v>0</v>
      </c>
      <c r="AG56">
        <v>0</v>
      </c>
      <c r="AH56">
        <v>0</v>
      </c>
      <c r="AI56">
        <v>7.26</v>
      </c>
      <c r="AJ56">
        <v>1</v>
      </c>
      <c r="AK56">
        <v>1</v>
      </c>
      <c r="AL56">
        <v>1</v>
      </c>
      <c r="AN56">
        <v>0</v>
      </c>
      <c r="AO56">
        <v>1</v>
      </c>
      <c r="AP56">
        <v>0</v>
      </c>
      <c r="AQ56">
        <v>0</v>
      </c>
      <c r="AR56">
        <v>0</v>
      </c>
      <c r="AS56" t="s">
        <v>3</v>
      </c>
      <c r="AT56">
        <v>6.1999999999999998E-3</v>
      </c>
      <c r="AU56" t="s">
        <v>3</v>
      </c>
      <c r="AV56">
        <v>0</v>
      </c>
      <c r="AW56">
        <v>2</v>
      </c>
      <c r="AX56">
        <v>29836744</v>
      </c>
      <c r="AY56">
        <v>1</v>
      </c>
      <c r="AZ56">
        <v>0</v>
      </c>
      <c r="BA56">
        <v>57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Y56*Source!I45</f>
        <v>1.24E-2</v>
      </c>
      <c r="CY56">
        <f>AA56</f>
        <v>48861.25</v>
      </c>
      <c r="CZ56">
        <f>AE56</f>
        <v>6730.2</v>
      </c>
      <c r="DA56">
        <f>AI56</f>
        <v>7.26</v>
      </c>
      <c r="DB56">
        <f>ROUND(ROUND(AT56*CZ56,2),0)</f>
        <v>42</v>
      </c>
      <c r="DC56">
        <f>ROUND(ROUND(AT56*AG56,2),0)</f>
        <v>0</v>
      </c>
    </row>
    <row r="57" spans="1:107" x14ac:dyDescent="0.2">
      <c r="A57">
        <f>ROW(Source!A45)</f>
        <v>45</v>
      </c>
      <c r="B57">
        <v>29836452</v>
      </c>
      <c r="C57">
        <v>29836717</v>
      </c>
      <c r="D57">
        <v>28283690</v>
      </c>
      <c r="E57">
        <v>1</v>
      </c>
      <c r="F57">
        <v>1</v>
      </c>
      <c r="G57">
        <v>1</v>
      </c>
      <c r="H57">
        <v>3</v>
      </c>
      <c r="I57" t="s">
        <v>369</v>
      </c>
      <c r="J57" t="s">
        <v>370</v>
      </c>
      <c r="K57" t="s">
        <v>371</v>
      </c>
      <c r="L57">
        <v>1339</v>
      </c>
      <c r="N57">
        <v>1007</v>
      </c>
      <c r="O57" t="s">
        <v>56</v>
      </c>
      <c r="P57" t="s">
        <v>56</v>
      </c>
      <c r="Q57">
        <v>1</v>
      </c>
      <c r="W57">
        <v>0</v>
      </c>
      <c r="X57">
        <v>-1059863813</v>
      </c>
      <c r="Y57">
        <v>0.15</v>
      </c>
      <c r="AA57">
        <v>11638.87</v>
      </c>
      <c r="AB57">
        <v>0</v>
      </c>
      <c r="AC57">
        <v>0</v>
      </c>
      <c r="AD57">
        <v>0</v>
      </c>
      <c r="AE57">
        <v>1603.15</v>
      </c>
      <c r="AF57">
        <v>0</v>
      </c>
      <c r="AG57">
        <v>0</v>
      </c>
      <c r="AH57">
        <v>0</v>
      </c>
      <c r="AI57">
        <v>7.26</v>
      </c>
      <c r="AJ57">
        <v>1</v>
      </c>
      <c r="AK57">
        <v>1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S57" t="s">
        <v>3</v>
      </c>
      <c r="AT57">
        <v>0.15</v>
      </c>
      <c r="AU57" t="s">
        <v>3</v>
      </c>
      <c r="AV57">
        <v>0</v>
      </c>
      <c r="AW57">
        <v>2</v>
      </c>
      <c r="AX57">
        <v>29836745</v>
      </c>
      <c r="AY57">
        <v>1</v>
      </c>
      <c r="AZ57">
        <v>0</v>
      </c>
      <c r="BA57">
        <v>58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Y57*Source!I45</f>
        <v>0.3</v>
      </c>
      <c r="CY57">
        <f>AA57</f>
        <v>11638.87</v>
      </c>
      <c r="CZ57">
        <f>AE57</f>
        <v>1603.15</v>
      </c>
      <c r="DA57">
        <f>AI57</f>
        <v>7.26</v>
      </c>
      <c r="DB57">
        <f>ROUND(ROUND(AT57*CZ57,2),0)</f>
        <v>240</v>
      </c>
      <c r="DC57">
        <f>ROUND(ROUND(AT57*AG57,2),0)</f>
        <v>0</v>
      </c>
    </row>
    <row r="58" spans="1:107" x14ac:dyDescent="0.2">
      <c r="A58">
        <f>ROW(Source!A48)</f>
        <v>48</v>
      </c>
      <c r="B58">
        <v>29836452</v>
      </c>
      <c r="C58">
        <v>29836748</v>
      </c>
      <c r="D58">
        <v>28425676</v>
      </c>
      <c r="E58">
        <v>1</v>
      </c>
      <c r="F58">
        <v>1</v>
      </c>
      <c r="G58">
        <v>1</v>
      </c>
      <c r="H58">
        <v>1</v>
      </c>
      <c r="I58" t="s">
        <v>346</v>
      </c>
      <c r="J58" t="s">
        <v>3</v>
      </c>
      <c r="K58" t="s">
        <v>347</v>
      </c>
      <c r="L58">
        <v>1191</v>
      </c>
      <c r="N58">
        <v>1013</v>
      </c>
      <c r="O58" t="s">
        <v>311</v>
      </c>
      <c r="P58" t="s">
        <v>311</v>
      </c>
      <c r="Q58">
        <v>1</v>
      </c>
      <c r="W58">
        <v>0</v>
      </c>
      <c r="X58">
        <v>-1853062777</v>
      </c>
      <c r="Y58">
        <v>0.20699999999999999</v>
      </c>
      <c r="AA58">
        <v>0</v>
      </c>
      <c r="AB58">
        <v>0</v>
      </c>
      <c r="AC58">
        <v>0</v>
      </c>
      <c r="AD58">
        <v>308.04000000000002</v>
      </c>
      <c r="AE58">
        <v>0</v>
      </c>
      <c r="AF58">
        <v>0</v>
      </c>
      <c r="AG58">
        <v>0</v>
      </c>
      <c r="AH58">
        <v>8.59</v>
      </c>
      <c r="AI58">
        <v>1</v>
      </c>
      <c r="AJ58">
        <v>1</v>
      </c>
      <c r="AK58">
        <v>1</v>
      </c>
      <c r="AL58">
        <v>35.86</v>
      </c>
      <c r="AN58">
        <v>0</v>
      </c>
      <c r="AO58">
        <v>1</v>
      </c>
      <c r="AP58">
        <v>1</v>
      </c>
      <c r="AQ58">
        <v>0</v>
      </c>
      <c r="AR58">
        <v>0</v>
      </c>
      <c r="AS58" t="s">
        <v>3</v>
      </c>
      <c r="AT58">
        <v>0.09</v>
      </c>
      <c r="AU58" t="s">
        <v>101</v>
      </c>
      <c r="AV58">
        <v>1</v>
      </c>
      <c r="AW58">
        <v>2</v>
      </c>
      <c r="AX58">
        <v>29836753</v>
      </c>
      <c r="AY58">
        <v>1</v>
      </c>
      <c r="AZ58">
        <v>0</v>
      </c>
      <c r="BA58">
        <v>59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Y58*Source!I48</f>
        <v>4.9679999999999995E-2</v>
      </c>
      <c r="CY58">
        <f>AD58</f>
        <v>308.04000000000002</v>
      </c>
      <c r="CZ58">
        <f>AH58</f>
        <v>8.59</v>
      </c>
      <c r="DA58">
        <f>AL58</f>
        <v>35.86</v>
      </c>
      <c r="DB58">
        <f>ROUND((ROUND(AT58*CZ58,2)*ROUND((1.15*2),7)),0)</f>
        <v>2</v>
      </c>
      <c r="DC58">
        <f>ROUND((ROUND(AT58*AG58,2)*ROUND((1.15*2),7)),0)</f>
        <v>0</v>
      </c>
    </row>
    <row r="59" spans="1:107" x14ac:dyDescent="0.2">
      <c r="A59">
        <f>ROW(Source!A48)</f>
        <v>48</v>
      </c>
      <c r="B59">
        <v>29836452</v>
      </c>
      <c r="C59">
        <v>29836748</v>
      </c>
      <c r="D59">
        <v>28337147</v>
      </c>
      <c r="E59">
        <v>1</v>
      </c>
      <c r="F59">
        <v>1</v>
      </c>
      <c r="G59">
        <v>1</v>
      </c>
      <c r="H59">
        <v>2</v>
      </c>
      <c r="I59" t="s">
        <v>354</v>
      </c>
      <c r="J59" t="s">
        <v>355</v>
      </c>
      <c r="K59" t="s">
        <v>356</v>
      </c>
      <c r="L59">
        <v>1368</v>
      </c>
      <c r="N59">
        <v>1011</v>
      </c>
      <c r="O59" t="s">
        <v>317</v>
      </c>
      <c r="P59" t="s">
        <v>317</v>
      </c>
      <c r="Q59">
        <v>1</v>
      </c>
      <c r="W59">
        <v>0</v>
      </c>
      <c r="X59">
        <v>-1533253915</v>
      </c>
      <c r="Y59">
        <v>0.44999999999999996</v>
      </c>
      <c r="AA59">
        <v>0</v>
      </c>
      <c r="AB59">
        <v>182.84</v>
      </c>
      <c r="AC59">
        <v>0</v>
      </c>
      <c r="AD59">
        <v>0</v>
      </c>
      <c r="AE59">
        <v>0</v>
      </c>
      <c r="AF59">
        <v>17.2</v>
      </c>
      <c r="AG59">
        <v>0</v>
      </c>
      <c r="AH59">
        <v>0</v>
      </c>
      <c r="AI59">
        <v>1</v>
      </c>
      <c r="AJ59">
        <v>10.63</v>
      </c>
      <c r="AK59">
        <v>35.86</v>
      </c>
      <c r="AL59">
        <v>1</v>
      </c>
      <c r="AN59">
        <v>0</v>
      </c>
      <c r="AO59">
        <v>1</v>
      </c>
      <c r="AP59">
        <v>1</v>
      </c>
      <c r="AQ59">
        <v>0</v>
      </c>
      <c r="AR59">
        <v>0</v>
      </c>
      <c r="AS59" t="s">
        <v>3</v>
      </c>
      <c r="AT59">
        <v>0.18</v>
      </c>
      <c r="AU59" t="s">
        <v>100</v>
      </c>
      <c r="AV59">
        <v>0</v>
      </c>
      <c r="AW59">
        <v>2</v>
      </c>
      <c r="AX59">
        <v>29836754</v>
      </c>
      <c r="AY59">
        <v>1</v>
      </c>
      <c r="AZ59">
        <v>0</v>
      </c>
      <c r="BA59">
        <v>60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Y59*Source!I48</f>
        <v>0.10799999999999998</v>
      </c>
      <c r="CY59">
        <f>AB59</f>
        <v>182.84</v>
      </c>
      <c r="CZ59">
        <f>AF59</f>
        <v>17.2</v>
      </c>
      <c r="DA59">
        <f>AJ59</f>
        <v>10.63</v>
      </c>
      <c r="DB59">
        <f>ROUND((ROUND(AT59*CZ59,2)*ROUND((1.25*2),7)),0)</f>
        <v>8</v>
      </c>
      <c r="DC59">
        <f>ROUND((ROUND(AT59*AG59,2)*ROUND((1.25*2),7)),0)</f>
        <v>0</v>
      </c>
    </row>
    <row r="60" spans="1:107" x14ac:dyDescent="0.2">
      <c r="A60">
        <f>ROW(Source!A48)</f>
        <v>48</v>
      </c>
      <c r="B60">
        <v>29836452</v>
      </c>
      <c r="C60">
        <v>29836748</v>
      </c>
      <c r="D60">
        <v>28249509</v>
      </c>
      <c r="E60">
        <v>21</v>
      </c>
      <c r="F60">
        <v>1</v>
      </c>
      <c r="G60">
        <v>1</v>
      </c>
      <c r="H60">
        <v>3</v>
      </c>
      <c r="I60" t="s">
        <v>82</v>
      </c>
      <c r="J60" t="s">
        <v>3</v>
      </c>
      <c r="K60" t="s">
        <v>83</v>
      </c>
      <c r="L60">
        <v>1348</v>
      </c>
      <c r="N60">
        <v>1009</v>
      </c>
      <c r="O60" t="s">
        <v>84</v>
      </c>
      <c r="P60" t="s">
        <v>84</v>
      </c>
      <c r="Q60">
        <v>1000</v>
      </c>
      <c r="W60">
        <v>0</v>
      </c>
      <c r="X60">
        <v>-1605379213</v>
      </c>
      <c r="Y60">
        <v>2.8E-3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7.26</v>
      </c>
      <c r="AJ60">
        <v>1</v>
      </c>
      <c r="AK60">
        <v>1</v>
      </c>
      <c r="AL60">
        <v>1</v>
      </c>
      <c r="AN60">
        <v>0</v>
      </c>
      <c r="AO60">
        <v>0</v>
      </c>
      <c r="AP60">
        <v>1</v>
      </c>
      <c r="AQ60">
        <v>0</v>
      </c>
      <c r="AR60">
        <v>0</v>
      </c>
      <c r="AS60" t="s">
        <v>3</v>
      </c>
      <c r="AT60">
        <v>1.4E-3</v>
      </c>
      <c r="AU60" t="s">
        <v>99</v>
      </c>
      <c r="AV60">
        <v>0</v>
      </c>
      <c r="AW60">
        <v>2</v>
      </c>
      <c r="AX60">
        <v>29836755</v>
      </c>
      <c r="AY60">
        <v>1</v>
      </c>
      <c r="AZ60">
        <v>0</v>
      </c>
      <c r="BA60">
        <v>61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Y60*Source!I48</f>
        <v>6.7199999999999996E-4</v>
      </c>
      <c r="CY60">
        <f>AA60</f>
        <v>0</v>
      </c>
      <c r="CZ60">
        <f>AE60</f>
        <v>0</v>
      </c>
      <c r="DA60">
        <f>AI60</f>
        <v>7.26</v>
      </c>
      <c r="DB60">
        <f>ROUND((ROUND(AT60*CZ60,2)*ROUND(2,7)),0)</f>
        <v>0</v>
      </c>
      <c r="DC60">
        <f>ROUND((ROUND(AT60*AG60,2)*ROUND(2,7)),0)</f>
        <v>0</v>
      </c>
    </row>
    <row r="61" spans="1:107" x14ac:dyDescent="0.2">
      <c r="A61">
        <f>ROW(Source!A48)</f>
        <v>48</v>
      </c>
      <c r="B61">
        <v>29836452</v>
      </c>
      <c r="C61">
        <v>29836748</v>
      </c>
      <c r="D61">
        <v>28247645</v>
      </c>
      <c r="E61">
        <v>21</v>
      </c>
      <c r="F61">
        <v>1</v>
      </c>
      <c r="G61">
        <v>1</v>
      </c>
      <c r="H61">
        <v>3</v>
      </c>
      <c r="I61" t="s">
        <v>86</v>
      </c>
      <c r="J61" t="s">
        <v>3</v>
      </c>
      <c r="K61" t="s">
        <v>87</v>
      </c>
      <c r="L61">
        <v>1348</v>
      </c>
      <c r="N61">
        <v>1009</v>
      </c>
      <c r="O61" t="s">
        <v>84</v>
      </c>
      <c r="P61" t="s">
        <v>84</v>
      </c>
      <c r="Q61">
        <v>1000</v>
      </c>
      <c r="W61">
        <v>0</v>
      </c>
      <c r="X61">
        <v>1670663622</v>
      </c>
      <c r="Y61">
        <v>24.2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7.26</v>
      </c>
      <c r="AJ61">
        <v>1</v>
      </c>
      <c r="AK61">
        <v>1</v>
      </c>
      <c r="AL61">
        <v>1</v>
      </c>
      <c r="AN61">
        <v>0</v>
      </c>
      <c r="AO61">
        <v>0</v>
      </c>
      <c r="AP61">
        <v>1</v>
      </c>
      <c r="AQ61">
        <v>0</v>
      </c>
      <c r="AR61">
        <v>0</v>
      </c>
      <c r="AS61" t="s">
        <v>3</v>
      </c>
      <c r="AT61">
        <v>12.1</v>
      </c>
      <c r="AU61" t="s">
        <v>99</v>
      </c>
      <c r="AV61">
        <v>0</v>
      </c>
      <c r="AW61">
        <v>2</v>
      </c>
      <c r="AX61">
        <v>29836756</v>
      </c>
      <c r="AY61">
        <v>1</v>
      </c>
      <c r="AZ61">
        <v>0</v>
      </c>
      <c r="BA61">
        <v>62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Y61*Source!I48</f>
        <v>5.8079999999999998</v>
      </c>
      <c r="CY61">
        <f>AA61</f>
        <v>0</v>
      </c>
      <c r="CZ61">
        <f>AE61</f>
        <v>0</v>
      </c>
      <c r="DA61">
        <f>AI61</f>
        <v>7.26</v>
      </c>
      <c r="DB61">
        <f>ROUND((ROUND(AT61*CZ61,2)*ROUND(2,7)),0)</f>
        <v>0</v>
      </c>
      <c r="DC61">
        <f>ROUND((ROUND(AT61*AG61,2)*ROUND(2,7)),0)</f>
        <v>0</v>
      </c>
    </row>
    <row r="62" spans="1:107" x14ac:dyDescent="0.2">
      <c r="A62">
        <f>ROW(Source!A53)</f>
        <v>53</v>
      </c>
      <c r="B62">
        <v>29836452</v>
      </c>
      <c r="C62">
        <v>29836761</v>
      </c>
      <c r="D62">
        <v>28421378</v>
      </c>
      <c r="E62">
        <v>1</v>
      </c>
      <c r="F62">
        <v>1</v>
      </c>
      <c r="G62">
        <v>1</v>
      </c>
      <c r="H62">
        <v>1</v>
      </c>
      <c r="I62" t="s">
        <v>372</v>
      </c>
      <c r="J62" t="s">
        <v>3</v>
      </c>
      <c r="K62" t="s">
        <v>373</v>
      </c>
      <c r="L62">
        <v>1191</v>
      </c>
      <c r="N62">
        <v>1013</v>
      </c>
      <c r="O62" t="s">
        <v>311</v>
      </c>
      <c r="P62" t="s">
        <v>311</v>
      </c>
      <c r="Q62">
        <v>1</v>
      </c>
      <c r="W62">
        <v>0</v>
      </c>
      <c r="X62">
        <v>-662100433</v>
      </c>
      <c r="Y62">
        <v>87.49199999999999</v>
      </c>
      <c r="AA62">
        <v>0</v>
      </c>
      <c r="AB62">
        <v>0</v>
      </c>
      <c r="AC62">
        <v>0</v>
      </c>
      <c r="AD62">
        <v>270.74</v>
      </c>
      <c r="AE62">
        <v>0</v>
      </c>
      <c r="AF62">
        <v>0</v>
      </c>
      <c r="AG62">
        <v>0</v>
      </c>
      <c r="AH62">
        <v>7.55</v>
      </c>
      <c r="AI62">
        <v>1</v>
      </c>
      <c r="AJ62">
        <v>1</v>
      </c>
      <c r="AK62">
        <v>1</v>
      </c>
      <c r="AL62">
        <v>35.86</v>
      </c>
      <c r="AN62">
        <v>0</v>
      </c>
      <c r="AO62">
        <v>1</v>
      </c>
      <c r="AP62">
        <v>1</v>
      </c>
      <c r="AQ62">
        <v>0</v>
      </c>
      <c r="AR62">
        <v>0</v>
      </c>
      <c r="AS62" t="s">
        <v>3</v>
      </c>
      <c r="AT62">
        <v>76.08</v>
      </c>
      <c r="AU62" t="s">
        <v>32</v>
      </c>
      <c r="AV62">
        <v>1</v>
      </c>
      <c r="AW62">
        <v>2</v>
      </c>
      <c r="AX62">
        <v>29836770</v>
      </c>
      <c r="AY62">
        <v>1</v>
      </c>
      <c r="AZ62">
        <v>0</v>
      </c>
      <c r="BA62">
        <v>63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Y62*Source!I53</f>
        <v>15.748559999999998</v>
      </c>
      <c r="CY62">
        <f>AD62</f>
        <v>270.74</v>
      </c>
      <c r="CZ62">
        <f>AH62</f>
        <v>7.55</v>
      </c>
      <c r="DA62">
        <f>AL62</f>
        <v>35.86</v>
      </c>
      <c r="DB62">
        <f>ROUND((ROUND(AT62*CZ62,2)*ROUND(1.15,7)),0)</f>
        <v>661</v>
      </c>
      <c r="DC62">
        <f>ROUND((ROUND(AT62*AG62,2)*ROUND(1.15,7)),0)</f>
        <v>0</v>
      </c>
    </row>
    <row r="63" spans="1:107" x14ac:dyDescent="0.2">
      <c r="A63">
        <f>ROW(Source!A53)</f>
        <v>53</v>
      </c>
      <c r="B63">
        <v>29836452</v>
      </c>
      <c r="C63">
        <v>29836761</v>
      </c>
      <c r="D63">
        <v>28419515</v>
      </c>
      <c r="E63">
        <v>1</v>
      </c>
      <c r="F63">
        <v>1</v>
      </c>
      <c r="G63">
        <v>1</v>
      </c>
      <c r="H63">
        <v>1</v>
      </c>
      <c r="I63" t="s">
        <v>312</v>
      </c>
      <c r="J63" t="s">
        <v>3</v>
      </c>
      <c r="K63" t="s">
        <v>313</v>
      </c>
      <c r="L63">
        <v>1191</v>
      </c>
      <c r="N63">
        <v>1013</v>
      </c>
      <c r="O63" t="s">
        <v>311</v>
      </c>
      <c r="P63" t="s">
        <v>311</v>
      </c>
      <c r="Q63">
        <v>1</v>
      </c>
      <c r="W63">
        <v>0</v>
      </c>
      <c r="X63">
        <v>-383101862</v>
      </c>
      <c r="Y63">
        <v>0.72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1</v>
      </c>
      <c r="AJ63">
        <v>1</v>
      </c>
      <c r="AK63">
        <v>35.86</v>
      </c>
      <c r="AL63">
        <v>1</v>
      </c>
      <c r="AN63">
        <v>0</v>
      </c>
      <c r="AO63">
        <v>1</v>
      </c>
      <c r="AP63">
        <v>0</v>
      </c>
      <c r="AQ63">
        <v>0</v>
      </c>
      <c r="AR63">
        <v>0</v>
      </c>
      <c r="AS63" t="s">
        <v>3</v>
      </c>
      <c r="AT63">
        <v>0.72</v>
      </c>
      <c r="AU63" t="s">
        <v>3</v>
      </c>
      <c r="AV63">
        <v>2</v>
      </c>
      <c r="AW63">
        <v>2</v>
      </c>
      <c r="AX63">
        <v>29836771</v>
      </c>
      <c r="AY63">
        <v>1</v>
      </c>
      <c r="AZ63">
        <v>2048</v>
      </c>
      <c r="BA63">
        <v>64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Y63*Source!I53</f>
        <v>0.12959999999999999</v>
      </c>
      <c r="CY63">
        <f>AD63</f>
        <v>0</v>
      </c>
      <c r="CZ63">
        <f>AH63</f>
        <v>0</v>
      </c>
      <c r="DA63">
        <f>AL63</f>
        <v>1</v>
      </c>
      <c r="DB63">
        <f>ROUND(ROUND(AT63*CZ63,2),0)</f>
        <v>0</v>
      </c>
      <c r="DC63">
        <f>ROUND(ROUND(AT63*AG63,2),0)</f>
        <v>0</v>
      </c>
    </row>
    <row r="64" spans="1:107" x14ac:dyDescent="0.2">
      <c r="A64">
        <f>ROW(Source!A53)</f>
        <v>53</v>
      </c>
      <c r="B64">
        <v>29836452</v>
      </c>
      <c r="C64">
        <v>29836761</v>
      </c>
      <c r="D64">
        <v>28336675</v>
      </c>
      <c r="E64">
        <v>1</v>
      </c>
      <c r="F64">
        <v>1</v>
      </c>
      <c r="G64">
        <v>1</v>
      </c>
      <c r="H64">
        <v>2</v>
      </c>
      <c r="I64" t="s">
        <v>348</v>
      </c>
      <c r="J64" t="s">
        <v>349</v>
      </c>
      <c r="K64" t="s">
        <v>350</v>
      </c>
      <c r="L64">
        <v>1368</v>
      </c>
      <c r="N64">
        <v>1011</v>
      </c>
      <c r="O64" t="s">
        <v>317</v>
      </c>
      <c r="P64" t="s">
        <v>317</v>
      </c>
      <c r="Q64">
        <v>1</v>
      </c>
      <c r="W64">
        <v>0</v>
      </c>
      <c r="X64">
        <v>903590057</v>
      </c>
      <c r="Y64">
        <v>0.85000000000000009</v>
      </c>
      <c r="AA64">
        <v>0</v>
      </c>
      <c r="AB64">
        <v>1198.75</v>
      </c>
      <c r="AC64">
        <v>424.58</v>
      </c>
      <c r="AD64">
        <v>0</v>
      </c>
      <c r="AE64">
        <v>0</v>
      </c>
      <c r="AF64">
        <v>112.77</v>
      </c>
      <c r="AG64">
        <v>11.84</v>
      </c>
      <c r="AH64">
        <v>0</v>
      </c>
      <c r="AI64">
        <v>1</v>
      </c>
      <c r="AJ64">
        <v>10.63</v>
      </c>
      <c r="AK64">
        <v>35.86</v>
      </c>
      <c r="AL64">
        <v>1</v>
      </c>
      <c r="AN64">
        <v>0</v>
      </c>
      <c r="AO64">
        <v>1</v>
      </c>
      <c r="AP64">
        <v>1</v>
      </c>
      <c r="AQ64">
        <v>0</v>
      </c>
      <c r="AR64">
        <v>0</v>
      </c>
      <c r="AS64" t="s">
        <v>3</v>
      </c>
      <c r="AT64">
        <v>0.68</v>
      </c>
      <c r="AU64" t="s">
        <v>31</v>
      </c>
      <c r="AV64">
        <v>0</v>
      </c>
      <c r="AW64">
        <v>2</v>
      </c>
      <c r="AX64">
        <v>29836772</v>
      </c>
      <c r="AY64">
        <v>1</v>
      </c>
      <c r="AZ64">
        <v>0</v>
      </c>
      <c r="BA64">
        <v>65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Y64*Source!I53</f>
        <v>0.153</v>
      </c>
      <c r="CY64">
        <f>AB64</f>
        <v>1198.75</v>
      </c>
      <c r="CZ64">
        <f>AF64</f>
        <v>112.77</v>
      </c>
      <c r="DA64">
        <f>AJ64</f>
        <v>10.63</v>
      </c>
      <c r="DB64">
        <f>ROUND((ROUND(AT64*CZ64,2)*ROUND(1.25,7)),0)</f>
        <v>96</v>
      </c>
      <c r="DC64">
        <f>ROUND((ROUND(AT64*AG64,2)*ROUND(1.25,7)),0)</f>
        <v>10</v>
      </c>
    </row>
    <row r="65" spans="1:107" x14ac:dyDescent="0.2">
      <c r="A65">
        <f>ROW(Source!A53)</f>
        <v>53</v>
      </c>
      <c r="B65">
        <v>29836452</v>
      </c>
      <c r="C65">
        <v>29836761</v>
      </c>
      <c r="D65">
        <v>28337840</v>
      </c>
      <c r="E65">
        <v>1</v>
      </c>
      <c r="F65">
        <v>1</v>
      </c>
      <c r="G65">
        <v>1</v>
      </c>
      <c r="H65">
        <v>2</v>
      </c>
      <c r="I65" t="s">
        <v>363</v>
      </c>
      <c r="J65" t="s">
        <v>364</v>
      </c>
      <c r="K65" t="s">
        <v>365</v>
      </c>
      <c r="L65">
        <v>1368</v>
      </c>
      <c r="N65">
        <v>1011</v>
      </c>
      <c r="O65" t="s">
        <v>317</v>
      </c>
      <c r="P65" t="s">
        <v>317</v>
      </c>
      <c r="Q65">
        <v>1</v>
      </c>
      <c r="W65">
        <v>0</v>
      </c>
      <c r="X65">
        <v>1171957361</v>
      </c>
      <c r="Y65">
        <v>0.05</v>
      </c>
      <c r="AA65">
        <v>0</v>
      </c>
      <c r="AB65">
        <v>922.58</v>
      </c>
      <c r="AC65">
        <v>363.26</v>
      </c>
      <c r="AD65">
        <v>0</v>
      </c>
      <c r="AE65">
        <v>0</v>
      </c>
      <c r="AF65">
        <v>86.79</v>
      </c>
      <c r="AG65">
        <v>10.130000000000001</v>
      </c>
      <c r="AH65">
        <v>0</v>
      </c>
      <c r="AI65">
        <v>1</v>
      </c>
      <c r="AJ65">
        <v>10.63</v>
      </c>
      <c r="AK65">
        <v>35.86</v>
      </c>
      <c r="AL65">
        <v>1</v>
      </c>
      <c r="AN65">
        <v>0</v>
      </c>
      <c r="AO65">
        <v>1</v>
      </c>
      <c r="AP65">
        <v>1</v>
      </c>
      <c r="AQ65">
        <v>0</v>
      </c>
      <c r="AR65">
        <v>0</v>
      </c>
      <c r="AS65" t="s">
        <v>3</v>
      </c>
      <c r="AT65">
        <v>0.04</v>
      </c>
      <c r="AU65" t="s">
        <v>31</v>
      </c>
      <c r="AV65">
        <v>0</v>
      </c>
      <c r="AW65">
        <v>2</v>
      </c>
      <c r="AX65">
        <v>29836773</v>
      </c>
      <c r="AY65">
        <v>1</v>
      </c>
      <c r="AZ65">
        <v>0</v>
      </c>
      <c r="BA65">
        <v>66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Y65*Source!I53</f>
        <v>8.9999999999999993E-3</v>
      </c>
      <c r="CY65">
        <f>AB65</f>
        <v>922.58</v>
      </c>
      <c r="CZ65">
        <f>AF65</f>
        <v>86.79</v>
      </c>
      <c r="DA65">
        <f>AJ65</f>
        <v>10.63</v>
      </c>
      <c r="DB65">
        <f>ROUND((ROUND(AT65*CZ65,2)*ROUND(1.25,7)),0)</f>
        <v>4</v>
      </c>
      <c r="DC65">
        <f>ROUND((ROUND(AT65*AG65,2)*ROUND(1.25,7)),0)</f>
        <v>1</v>
      </c>
    </row>
    <row r="66" spans="1:107" x14ac:dyDescent="0.2">
      <c r="A66">
        <f>ROW(Source!A53)</f>
        <v>53</v>
      </c>
      <c r="B66">
        <v>29836452</v>
      </c>
      <c r="C66">
        <v>29836761</v>
      </c>
      <c r="D66">
        <v>28256174</v>
      </c>
      <c r="E66">
        <v>1</v>
      </c>
      <c r="F66">
        <v>1</v>
      </c>
      <c r="G66">
        <v>1</v>
      </c>
      <c r="H66">
        <v>3</v>
      </c>
      <c r="I66" t="s">
        <v>374</v>
      </c>
      <c r="J66" t="s">
        <v>375</v>
      </c>
      <c r="K66" t="s">
        <v>376</v>
      </c>
      <c r="L66">
        <v>1348</v>
      </c>
      <c r="N66">
        <v>1009</v>
      </c>
      <c r="O66" t="s">
        <v>84</v>
      </c>
      <c r="P66" t="s">
        <v>84</v>
      </c>
      <c r="Q66">
        <v>1000</v>
      </c>
      <c r="W66">
        <v>0</v>
      </c>
      <c r="X66">
        <v>628974256</v>
      </c>
      <c r="Y66">
        <v>1E-3</v>
      </c>
      <c r="AA66">
        <v>55694.51</v>
      </c>
      <c r="AB66">
        <v>0</v>
      </c>
      <c r="AC66">
        <v>0</v>
      </c>
      <c r="AD66">
        <v>0</v>
      </c>
      <c r="AE66">
        <v>7671.42</v>
      </c>
      <c r="AF66">
        <v>0</v>
      </c>
      <c r="AG66">
        <v>0</v>
      </c>
      <c r="AH66">
        <v>0</v>
      </c>
      <c r="AI66">
        <v>7.26</v>
      </c>
      <c r="AJ66">
        <v>1</v>
      </c>
      <c r="AK66">
        <v>1</v>
      </c>
      <c r="AL66">
        <v>1</v>
      </c>
      <c r="AN66">
        <v>0</v>
      </c>
      <c r="AO66">
        <v>1</v>
      </c>
      <c r="AP66">
        <v>0</v>
      </c>
      <c r="AQ66">
        <v>0</v>
      </c>
      <c r="AR66">
        <v>0</v>
      </c>
      <c r="AS66" t="s">
        <v>3</v>
      </c>
      <c r="AT66">
        <v>1E-3</v>
      </c>
      <c r="AU66" t="s">
        <v>3</v>
      </c>
      <c r="AV66">
        <v>0</v>
      </c>
      <c r="AW66">
        <v>2</v>
      </c>
      <c r="AX66">
        <v>29836774</v>
      </c>
      <c r="AY66">
        <v>1</v>
      </c>
      <c r="AZ66">
        <v>0</v>
      </c>
      <c r="BA66">
        <v>67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Y66*Source!I53</f>
        <v>1.7999999999999998E-4</v>
      </c>
      <c r="CY66">
        <f>AA66</f>
        <v>55694.51</v>
      </c>
      <c r="CZ66">
        <f>AE66</f>
        <v>7671.42</v>
      </c>
      <c r="DA66">
        <f>AI66</f>
        <v>7.26</v>
      </c>
      <c r="DB66">
        <f>ROUND(ROUND(AT66*CZ66,2),0)</f>
        <v>8</v>
      </c>
      <c r="DC66">
        <f>ROUND(ROUND(AT66*AG66,2),0)</f>
        <v>0</v>
      </c>
    </row>
    <row r="67" spans="1:107" x14ac:dyDescent="0.2">
      <c r="A67">
        <f>ROW(Source!A53)</f>
        <v>53</v>
      </c>
      <c r="B67">
        <v>29836452</v>
      </c>
      <c r="C67">
        <v>29836761</v>
      </c>
      <c r="D67">
        <v>28258912</v>
      </c>
      <c r="E67">
        <v>1</v>
      </c>
      <c r="F67">
        <v>1</v>
      </c>
      <c r="G67">
        <v>1</v>
      </c>
      <c r="H67">
        <v>3</v>
      </c>
      <c r="I67" t="s">
        <v>377</v>
      </c>
      <c r="J67" t="s">
        <v>378</v>
      </c>
      <c r="K67" t="s">
        <v>379</v>
      </c>
      <c r="L67">
        <v>1339</v>
      </c>
      <c r="N67">
        <v>1007</v>
      </c>
      <c r="O67" t="s">
        <v>56</v>
      </c>
      <c r="P67" t="s">
        <v>56</v>
      </c>
      <c r="Q67">
        <v>1</v>
      </c>
      <c r="W67">
        <v>0</v>
      </c>
      <c r="X67">
        <v>-1451531808</v>
      </c>
      <c r="Y67">
        <v>5.9</v>
      </c>
      <c r="AA67">
        <v>4895.8500000000004</v>
      </c>
      <c r="AB67">
        <v>0</v>
      </c>
      <c r="AC67">
        <v>0</v>
      </c>
      <c r="AD67">
        <v>0</v>
      </c>
      <c r="AE67">
        <v>674.36</v>
      </c>
      <c r="AF67">
        <v>0</v>
      </c>
      <c r="AG67">
        <v>0</v>
      </c>
      <c r="AH67">
        <v>0</v>
      </c>
      <c r="AI67">
        <v>7.26</v>
      </c>
      <c r="AJ67">
        <v>1</v>
      </c>
      <c r="AK67">
        <v>1</v>
      </c>
      <c r="AL67">
        <v>1</v>
      </c>
      <c r="AN67">
        <v>0</v>
      </c>
      <c r="AO67">
        <v>1</v>
      </c>
      <c r="AP67">
        <v>0</v>
      </c>
      <c r="AQ67">
        <v>0</v>
      </c>
      <c r="AR67">
        <v>0</v>
      </c>
      <c r="AS67" t="s">
        <v>3</v>
      </c>
      <c r="AT67">
        <v>5.9</v>
      </c>
      <c r="AU67" t="s">
        <v>3</v>
      </c>
      <c r="AV67">
        <v>0</v>
      </c>
      <c r="AW67">
        <v>2</v>
      </c>
      <c r="AX67">
        <v>29836775</v>
      </c>
      <c r="AY67">
        <v>1</v>
      </c>
      <c r="AZ67">
        <v>0</v>
      </c>
      <c r="BA67">
        <v>68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Y67*Source!I53</f>
        <v>1.0620000000000001</v>
      </c>
      <c r="CY67">
        <f>AA67</f>
        <v>4895.8500000000004</v>
      </c>
      <c r="CZ67">
        <f>AE67</f>
        <v>674.36</v>
      </c>
      <c r="DA67">
        <f>AI67</f>
        <v>7.26</v>
      </c>
      <c r="DB67">
        <f>ROUND(ROUND(AT67*CZ67,2),0)</f>
        <v>3979</v>
      </c>
      <c r="DC67">
        <f>ROUND(ROUND(AT67*AG67,2),0)</f>
        <v>0</v>
      </c>
    </row>
    <row r="68" spans="1:107" x14ac:dyDescent="0.2">
      <c r="A68">
        <f>ROW(Source!A53)</f>
        <v>53</v>
      </c>
      <c r="B68">
        <v>29836452</v>
      </c>
      <c r="C68">
        <v>29836761</v>
      </c>
      <c r="D68">
        <v>28259185</v>
      </c>
      <c r="E68">
        <v>1</v>
      </c>
      <c r="F68">
        <v>1</v>
      </c>
      <c r="G68">
        <v>1</v>
      </c>
      <c r="H68">
        <v>3</v>
      </c>
      <c r="I68" t="s">
        <v>380</v>
      </c>
      <c r="J68" t="s">
        <v>381</v>
      </c>
      <c r="K68" t="s">
        <v>382</v>
      </c>
      <c r="L68">
        <v>1339</v>
      </c>
      <c r="N68">
        <v>1007</v>
      </c>
      <c r="O68" t="s">
        <v>56</v>
      </c>
      <c r="P68" t="s">
        <v>56</v>
      </c>
      <c r="Q68">
        <v>1</v>
      </c>
      <c r="W68">
        <v>0</v>
      </c>
      <c r="X68">
        <v>-1150819817</v>
      </c>
      <c r="Y68">
        <v>0.06</v>
      </c>
      <c r="AA68">
        <v>5801.83</v>
      </c>
      <c r="AB68">
        <v>0</v>
      </c>
      <c r="AC68">
        <v>0</v>
      </c>
      <c r="AD68">
        <v>0</v>
      </c>
      <c r="AE68">
        <v>799.15</v>
      </c>
      <c r="AF68">
        <v>0</v>
      </c>
      <c r="AG68">
        <v>0</v>
      </c>
      <c r="AH68">
        <v>0</v>
      </c>
      <c r="AI68">
        <v>7.26</v>
      </c>
      <c r="AJ68">
        <v>1</v>
      </c>
      <c r="AK68">
        <v>1</v>
      </c>
      <c r="AL68">
        <v>1</v>
      </c>
      <c r="AN68">
        <v>0</v>
      </c>
      <c r="AO68">
        <v>1</v>
      </c>
      <c r="AP68">
        <v>0</v>
      </c>
      <c r="AQ68">
        <v>0</v>
      </c>
      <c r="AR68">
        <v>0</v>
      </c>
      <c r="AS68" t="s">
        <v>3</v>
      </c>
      <c r="AT68">
        <v>0.06</v>
      </c>
      <c r="AU68" t="s">
        <v>3</v>
      </c>
      <c r="AV68">
        <v>0</v>
      </c>
      <c r="AW68">
        <v>2</v>
      </c>
      <c r="AX68">
        <v>29836776</v>
      </c>
      <c r="AY68">
        <v>1</v>
      </c>
      <c r="AZ68">
        <v>0</v>
      </c>
      <c r="BA68">
        <v>69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Y68*Source!I53</f>
        <v>1.0799999999999999E-2</v>
      </c>
      <c r="CY68">
        <f>AA68</f>
        <v>5801.83</v>
      </c>
      <c r="CZ68">
        <f>AE68</f>
        <v>799.15</v>
      </c>
      <c r="DA68">
        <f>AI68</f>
        <v>7.26</v>
      </c>
      <c r="DB68">
        <f>ROUND(ROUND(AT68*CZ68,2),0)</f>
        <v>48</v>
      </c>
      <c r="DC68">
        <f>ROUND(ROUND(AT68*AG68,2),0)</f>
        <v>0</v>
      </c>
    </row>
    <row r="69" spans="1:107" x14ac:dyDescent="0.2">
      <c r="A69">
        <f>ROW(Source!A53)</f>
        <v>53</v>
      </c>
      <c r="B69">
        <v>29836452</v>
      </c>
      <c r="C69">
        <v>29836761</v>
      </c>
      <c r="D69">
        <v>28283721</v>
      </c>
      <c r="E69">
        <v>1</v>
      </c>
      <c r="F69">
        <v>1</v>
      </c>
      <c r="G69">
        <v>1</v>
      </c>
      <c r="H69">
        <v>3</v>
      </c>
      <c r="I69" t="s">
        <v>383</v>
      </c>
      <c r="J69" t="s">
        <v>384</v>
      </c>
      <c r="K69" t="s">
        <v>385</v>
      </c>
      <c r="L69">
        <v>1339</v>
      </c>
      <c r="N69">
        <v>1007</v>
      </c>
      <c r="O69" t="s">
        <v>56</v>
      </c>
      <c r="P69" t="s">
        <v>56</v>
      </c>
      <c r="Q69">
        <v>1</v>
      </c>
      <c r="W69">
        <v>0</v>
      </c>
      <c r="X69">
        <v>1684834088</v>
      </c>
      <c r="Y69">
        <v>0.17</v>
      </c>
      <c r="AA69">
        <v>9555.32</v>
      </c>
      <c r="AB69">
        <v>0</v>
      </c>
      <c r="AC69">
        <v>0</v>
      </c>
      <c r="AD69">
        <v>0</v>
      </c>
      <c r="AE69">
        <v>1316.16</v>
      </c>
      <c r="AF69">
        <v>0</v>
      </c>
      <c r="AG69">
        <v>0</v>
      </c>
      <c r="AH69">
        <v>0</v>
      </c>
      <c r="AI69">
        <v>7.26</v>
      </c>
      <c r="AJ69">
        <v>1</v>
      </c>
      <c r="AK69">
        <v>1</v>
      </c>
      <c r="AL69">
        <v>1</v>
      </c>
      <c r="AN69">
        <v>0</v>
      </c>
      <c r="AO69">
        <v>1</v>
      </c>
      <c r="AP69">
        <v>0</v>
      </c>
      <c r="AQ69">
        <v>0</v>
      </c>
      <c r="AR69">
        <v>0</v>
      </c>
      <c r="AS69" t="s">
        <v>3</v>
      </c>
      <c r="AT69">
        <v>0.17</v>
      </c>
      <c r="AU69" t="s">
        <v>3</v>
      </c>
      <c r="AV69">
        <v>0</v>
      </c>
      <c r="AW69">
        <v>2</v>
      </c>
      <c r="AX69">
        <v>29836777</v>
      </c>
      <c r="AY69">
        <v>1</v>
      </c>
      <c r="AZ69">
        <v>0</v>
      </c>
      <c r="BA69">
        <v>70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Y69*Source!I53</f>
        <v>3.0600000000000002E-2</v>
      </c>
      <c r="CY69">
        <f>AA69</f>
        <v>9555.32</v>
      </c>
      <c r="CZ69">
        <f>AE69</f>
        <v>1316.16</v>
      </c>
      <c r="DA69">
        <f>AI69</f>
        <v>7.26</v>
      </c>
      <c r="DB69">
        <f>ROUND(ROUND(AT69*CZ69,2),0)</f>
        <v>224</v>
      </c>
      <c r="DC69">
        <f>ROUND(ROUND(AT69*AG69,2),0)</f>
        <v>0</v>
      </c>
    </row>
    <row r="70" spans="1:107" x14ac:dyDescent="0.2">
      <c r="A70">
        <f>ROW(Source!A55)</f>
        <v>55</v>
      </c>
      <c r="B70">
        <v>29836452</v>
      </c>
      <c r="C70">
        <v>29836780</v>
      </c>
      <c r="D70">
        <v>28419515</v>
      </c>
      <c r="E70">
        <v>1</v>
      </c>
      <c r="F70">
        <v>1</v>
      </c>
      <c r="G70">
        <v>1</v>
      </c>
      <c r="H70">
        <v>1</v>
      </c>
      <c r="I70" t="s">
        <v>312</v>
      </c>
      <c r="J70" t="s">
        <v>3</v>
      </c>
      <c r="K70" t="s">
        <v>313</v>
      </c>
      <c r="L70">
        <v>1191</v>
      </c>
      <c r="N70">
        <v>1013</v>
      </c>
      <c r="O70" t="s">
        <v>311</v>
      </c>
      <c r="P70" t="s">
        <v>311</v>
      </c>
      <c r="Q70">
        <v>1</v>
      </c>
      <c r="W70">
        <v>0</v>
      </c>
      <c r="X70">
        <v>-383101862</v>
      </c>
      <c r="Y70">
        <v>0.82500000000000007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1</v>
      </c>
      <c r="AJ70">
        <v>1</v>
      </c>
      <c r="AK70">
        <v>35.86</v>
      </c>
      <c r="AL70">
        <v>1</v>
      </c>
      <c r="AN70">
        <v>0</v>
      </c>
      <c r="AO70">
        <v>1</v>
      </c>
      <c r="AP70">
        <v>1</v>
      </c>
      <c r="AQ70">
        <v>0</v>
      </c>
      <c r="AR70">
        <v>0</v>
      </c>
      <c r="AS70" t="s">
        <v>3</v>
      </c>
      <c r="AT70">
        <v>0.66</v>
      </c>
      <c r="AU70" t="s">
        <v>31</v>
      </c>
      <c r="AV70">
        <v>2</v>
      </c>
      <c r="AW70">
        <v>2</v>
      </c>
      <c r="AX70">
        <v>29836784</v>
      </c>
      <c r="AY70">
        <v>1</v>
      </c>
      <c r="AZ70">
        <v>0</v>
      </c>
      <c r="BA70">
        <v>72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Y70*Source!I55</f>
        <v>1.3200000000000003</v>
      </c>
      <c r="CY70">
        <f>AD70</f>
        <v>0</v>
      </c>
      <c r="CZ70">
        <f>AH70</f>
        <v>0</v>
      </c>
      <c r="DA70">
        <f>AL70</f>
        <v>1</v>
      </c>
      <c r="DB70">
        <f>ROUND((ROUND(AT70*CZ70,2)*ROUND(1.25,7)),0)</f>
        <v>0</v>
      </c>
      <c r="DC70">
        <f>ROUND((ROUND(AT70*AG70,2)*ROUND(1.25,7)),0)</f>
        <v>0</v>
      </c>
    </row>
    <row r="71" spans="1:107" x14ac:dyDescent="0.2">
      <c r="A71">
        <f>ROW(Source!A55)</f>
        <v>55</v>
      </c>
      <c r="B71">
        <v>29836452</v>
      </c>
      <c r="C71">
        <v>29836780</v>
      </c>
      <c r="D71">
        <v>28337141</v>
      </c>
      <c r="E71">
        <v>1</v>
      </c>
      <c r="F71">
        <v>1</v>
      </c>
      <c r="G71">
        <v>1</v>
      </c>
      <c r="H71">
        <v>2</v>
      </c>
      <c r="I71" t="s">
        <v>386</v>
      </c>
      <c r="J71" t="s">
        <v>387</v>
      </c>
      <c r="K71" t="s">
        <v>388</v>
      </c>
      <c r="L71">
        <v>1368</v>
      </c>
      <c r="N71">
        <v>1011</v>
      </c>
      <c r="O71" t="s">
        <v>317</v>
      </c>
      <c r="P71" t="s">
        <v>317</v>
      </c>
      <c r="Q71">
        <v>1</v>
      </c>
      <c r="W71">
        <v>0</v>
      </c>
      <c r="X71">
        <v>1163394735</v>
      </c>
      <c r="Y71">
        <v>0.41250000000000003</v>
      </c>
      <c r="AA71">
        <v>0</v>
      </c>
      <c r="AB71">
        <v>1342.46</v>
      </c>
      <c r="AC71">
        <v>679.55</v>
      </c>
      <c r="AD71">
        <v>0</v>
      </c>
      <c r="AE71">
        <v>0</v>
      </c>
      <c r="AF71">
        <v>126.29</v>
      </c>
      <c r="AG71">
        <v>18.95</v>
      </c>
      <c r="AH71">
        <v>0</v>
      </c>
      <c r="AI71">
        <v>1</v>
      </c>
      <c r="AJ71">
        <v>10.63</v>
      </c>
      <c r="AK71">
        <v>35.86</v>
      </c>
      <c r="AL71">
        <v>1</v>
      </c>
      <c r="AN71">
        <v>0</v>
      </c>
      <c r="AO71">
        <v>1</v>
      </c>
      <c r="AP71">
        <v>1</v>
      </c>
      <c r="AQ71">
        <v>0</v>
      </c>
      <c r="AR71">
        <v>0</v>
      </c>
      <c r="AS71" t="s">
        <v>3</v>
      </c>
      <c r="AT71">
        <v>0.33</v>
      </c>
      <c r="AU71" t="s">
        <v>31</v>
      </c>
      <c r="AV71">
        <v>0</v>
      </c>
      <c r="AW71">
        <v>2</v>
      </c>
      <c r="AX71">
        <v>29836785</v>
      </c>
      <c r="AY71">
        <v>1</v>
      </c>
      <c r="AZ71">
        <v>2048</v>
      </c>
      <c r="BA71">
        <v>73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Y71*Source!I55</f>
        <v>0.66000000000000014</v>
      </c>
      <c r="CY71">
        <f>AB71</f>
        <v>1342.46</v>
      </c>
      <c r="CZ71">
        <f>AF71</f>
        <v>126.29</v>
      </c>
      <c r="DA71">
        <f>AJ71</f>
        <v>10.63</v>
      </c>
      <c r="DB71">
        <f>ROUND((ROUND(AT71*CZ71,2)*ROUND(1.25,7)),0)</f>
        <v>52</v>
      </c>
      <c r="DC71">
        <f>ROUND((ROUND(AT71*AG71,2)*ROUND(1.25,7)),0)</f>
        <v>8</v>
      </c>
    </row>
    <row r="72" spans="1:107" x14ac:dyDescent="0.2">
      <c r="A72">
        <f>ROW(Source!A55)</f>
        <v>55</v>
      </c>
      <c r="B72">
        <v>29836452</v>
      </c>
      <c r="C72">
        <v>29836780</v>
      </c>
      <c r="D72">
        <v>28249509</v>
      </c>
      <c r="E72">
        <v>21</v>
      </c>
      <c r="F72">
        <v>1</v>
      </c>
      <c r="G72">
        <v>1</v>
      </c>
      <c r="H72">
        <v>3</v>
      </c>
      <c r="I72" t="s">
        <v>82</v>
      </c>
      <c r="J72" t="s">
        <v>3</v>
      </c>
      <c r="K72" t="s">
        <v>83</v>
      </c>
      <c r="L72">
        <v>1348</v>
      </c>
      <c r="N72">
        <v>1009</v>
      </c>
      <c r="O72" t="s">
        <v>84</v>
      </c>
      <c r="P72" t="s">
        <v>84</v>
      </c>
      <c r="Q72">
        <v>1000</v>
      </c>
      <c r="W72">
        <v>0</v>
      </c>
      <c r="X72">
        <v>-1605379213</v>
      </c>
      <c r="Y72">
        <v>1.03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7.26</v>
      </c>
      <c r="AJ72">
        <v>1</v>
      </c>
      <c r="AK72">
        <v>1</v>
      </c>
      <c r="AL72">
        <v>1</v>
      </c>
      <c r="AN72">
        <v>0</v>
      </c>
      <c r="AO72">
        <v>0</v>
      </c>
      <c r="AP72">
        <v>0</v>
      </c>
      <c r="AQ72">
        <v>0</v>
      </c>
      <c r="AR72">
        <v>0</v>
      </c>
      <c r="AS72" t="s">
        <v>3</v>
      </c>
      <c r="AT72">
        <v>1.03</v>
      </c>
      <c r="AU72" t="s">
        <v>3</v>
      </c>
      <c r="AV72">
        <v>0</v>
      </c>
      <c r="AW72">
        <v>2</v>
      </c>
      <c r="AX72">
        <v>29836786</v>
      </c>
      <c r="AY72">
        <v>1</v>
      </c>
      <c r="AZ72">
        <v>0</v>
      </c>
      <c r="BA72">
        <v>74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Y72*Source!I55</f>
        <v>1.6480000000000001</v>
      </c>
      <c r="CY72">
        <f>AA72</f>
        <v>0</v>
      </c>
      <c r="CZ72">
        <f>AE72</f>
        <v>0</v>
      </c>
      <c r="DA72">
        <f>AI72</f>
        <v>7.26</v>
      </c>
      <c r="DB72">
        <f>ROUND(ROUND(AT72*CZ72,2),0)</f>
        <v>0</v>
      </c>
      <c r="DC72">
        <f>ROUND(ROUND(AT72*AG72,2),0)</f>
        <v>0</v>
      </c>
    </row>
    <row r="73" spans="1:107" x14ac:dyDescent="0.2">
      <c r="A73">
        <f>ROW(Source!A58)</f>
        <v>58</v>
      </c>
      <c r="B73">
        <v>29836452</v>
      </c>
      <c r="C73">
        <v>29836789</v>
      </c>
      <c r="D73">
        <v>28421356</v>
      </c>
      <c r="E73">
        <v>1</v>
      </c>
      <c r="F73">
        <v>1</v>
      </c>
      <c r="G73">
        <v>1</v>
      </c>
      <c r="H73">
        <v>1</v>
      </c>
      <c r="I73" t="s">
        <v>389</v>
      </c>
      <c r="J73" t="s">
        <v>3</v>
      </c>
      <c r="K73" t="s">
        <v>390</v>
      </c>
      <c r="L73">
        <v>1191</v>
      </c>
      <c r="N73">
        <v>1013</v>
      </c>
      <c r="O73" t="s">
        <v>311</v>
      </c>
      <c r="P73" t="s">
        <v>311</v>
      </c>
      <c r="Q73">
        <v>1</v>
      </c>
      <c r="W73">
        <v>0</v>
      </c>
      <c r="X73">
        <v>608178714</v>
      </c>
      <c r="Y73">
        <v>25.173499999999997</v>
      </c>
      <c r="AA73">
        <v>0</v>
      </c>
      <c r="AB73">
        <v>0</v>
      </c>
      <c r="AC73">
        <v>0</v>
      </c>
      <c r="AD73">
        <v>261.42</v>
      </c>
      <c r="AE73">
        <v>0</v>
      </c>
      <c r="AF73">
        <v>0</v>
      </c>
      <c r="AG73">
        <v>0</v>
      </c>
      <c r="AH73">
        <v>7.29</v>
      </c>
      <c r="AI73">
        <v>1</v>
      </c>
      <c r="AJ73">
        <v>1</v>
      </c>
      <c r="AK73">
        <v>1</v>
      </c>
      <c r="AL73">
        <v>35.86</v>
      </c>
      <c r="AN73">
        <v>0</v>
      </c>
      <c r="AO73">
        <v>1</v>
      </c>
      <c r="AP73">
        <v>1</v>
      </c>
      <c r="AQ73">
        <v>0</v>
      </c>
      <c r="AR73">
        <v>0</v>
      </c>
      <c r="AS73" t="s">
        <v>3</v>
      </c>
      <c r="AT73">
        <v>21.89</v>
      </c>
      <c r="AU73" t="s">
        <v>32</v>
      </c>
      <c r="AV73">
        <v>1</v>
      </c>
      <c r="AW73">
        <v>2</v>
      </c>
      <c r="AX73">
        <v>29836802</v>
      </c>
      <c r="AY73">
        <v>1</v>
      </c>
      <c r="AZ73">
        <v>0</v>
      </c>
      <c r="BA73">
        <v>75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Y73*Source!I58</f>
        <v>302.08199999999999</v>
      </c>
      <c r="CY73">
        <f>AD73</f>
        <v>261.42</v>
      </c>
      <c r="CZ73">
        <f>AH73</f>
        <v>7.29</v>
      </c>
      <c r="DA73">
        <f>AL73</f>
        <v>35.86</v>
      </c>
      <c r="DB73">
        <f>ROUND((ROUND(AT73*CZ73,2)*ROUND(1.15,7)),0)</f>
        <v>184</v>
      </c>
      <c r="DC73">
        <f>ROUND((ROUND(AT73*AG73,2)*ROUND(1.15,7)),0)</f>
        <v>0</v>
      </c>
    </row>
    <row r="74" spans="1:107" x14ac:dyDescent="0.2">
      <c r="A74">
        <f>ROW(Source!A58)</f>
        <v>58</v>
      </c>
      <c r="B74">
        <v>29836452</v>
      </c>
      <c r="C74">
        <v>29836789</v>
      </c>
      <c r="D74">
        <v>28419515</v>
      </c>
      <c r="E74">
        <v>1</v>
      </c>
      <c r="F74">
        <v>1</v>
      </c>
      <c r="G74">
        <v>1</v>
      </c>
      <c r="H74">
        <v>1</v>
      </c>
      <c r="I74" t="s">
        <v>312</v>
      </c>
      <c r="J74" t="s">
        <v>3</v>
      </c>
      <c r="K74" t="s">
        <v>313</v>
      </c>
      <c r="L74">
        <v>1191</v>
      </c>
      <c r="N74">
        <v>1013</v>
      </c>
      <c r="O74" t="s">
        <v>311</v>
      </c>
      <c r="P74" t="s">
        <v>311</v>
      </c>
      <c r="Q74">
        <v>1</v>
      </c>
      <c r="W74">
        <v>0</v>
      </c>
      <c r="X74">
        <v>-383101862</v>
      </c>
      <c r="Y74">
        <v>4.5199999999999996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1</v>
      </c>
      <c r="AJ74">
        <v>1</v>
      </c>
      <c r="AK74">
        <v>35.86</v>
      </c>
      <c r="AL74">
        <v>1</v>
      </c>
      <c r="AN74">
        <v>0</v>
      </c>
      <c r="AO74">
        <v>1</v>
      </c>
      <c r="AP74">
        <v>0</v>
      </c>
      <c r="AQ74">
        <v>0</v>
      </c>
      <c r="AR74">
        <v>0</v>
      </c>
      <c r="AS74" t="s">
        <v>3</v>
      </c>
      <c r="AT74">
        <v>4.5199999999999996</v>
      </c>
      <c r="AU74" t="s">
        <v>3</v>
      </c>
      <c r="AV74">
        <v>2</v>
      </c>
      <c r="AW74">
        <v>2</v>
      </c>
      <c r="AX74">
        <v>29836803</v>
      </c>
      <c r="AY74">
        <v>1</v>
      </c>
      <c r="AZ74">
        <v>2048</v>
      </c>
      <c r="BA74">
        <v>76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Y74*Source!I58</f>
        <v>54.239999999999995</v>
      </c>
      <c r="CY74">
        <f>AD74</f>
        <v>0</v>
      </c>
      <c r="CZ74">
        <f>AH74</f>
        <v>0</v>
      </c>
      <c r="DA74">
        <f>AL74</f>
        <v>1</v>
      </c>
      <c r="DB74">
        <f>ROUND(ROUND(AT74*CZ74,2),0)</f>
        <v>0</v>
      </c>
      <c r="DC74">
        <f>ROUND(ROUND(AT74*AG74,2),0)</f>
        <v>0</v>
      </c>
    </row>
    <row r="75" spans="1:107" x14ac:dyDescent="0.2">
      <c r="A75">
        <f>ROW(Source!A58)</f>
        <v>58</v>
      </c>
      <c r="B75">
        <v>29836452</v>
      </c>
      <c r="C75">
        <v>29836789</v>
      </c>
      <c r="D75">
        <v>28336884</v>
      </c>
      <c r="E75">
        <v>1</v>
      </c>
      <c r="F75">
        <v>1</v>
      </c>
      <c r="G75">
        <v>1</v>
      </c>
      <c r="H75">
        <v>2</v>
      </c>
      <c r="I75" t="s">
        <v>332</v>
      </c>
      <c r="J75" t="s">
        <v>333</v>
      </c>
      <c r="K75" t="s">
        <v>334</v>
      </c>
      <c r="L75">
        <v>1368</v>
      </c>
      <c r="N75">
        <v>1011</v>
      </c>
      <c r="O75" t="s">
        <v>317</v>
      </c>
      <c r="P75" t="s">
        <v>317</v>
      </c>
      <c r="Q75">
        <v>1</v>
      </c>
      <c r="W75">
        <v>0</v>
      </c>
      <c r="X75">
        <v>-1700234874</v>
      </c>
      <c r="Y75">
        <v>0.16250000000000001</v>
      </c>
      <c r="AA75">
        <v>0</v>
      </c>
      <c r="AB75">
        <v>996.35</v>
      </c>
      <c r="AC75">
        <v>316.29000000000002</v>
      </c>
      <c r="AD75">
        <v>0</v>
      </c>
      <c r="AE75">
        <v>0</v>
      </c>
      <c r="AF75">
        <v>93.73</v>
      </c>
      <c r="AG75">
        <v>8.82</v>
      </c>
      <c r="AH75">
        <v>0</v>
      </c>
      <c r="AI75">
        <v>1</v>
      </c>
      <c r="AJ75">
        <v>10.63</v>
      </c>
      <c r="AK75">
        <v>35.86</v>
      </c>
      <c r="AL75">
        <v>1</v>
      </c>
      <c r="AN75">
        <v>0</v>
      </c>
      <c r="AO75">
        <v>1</v>
      </c>
      <c r="AP75">
        <v>1</v>
      </c>
      <c r="AQ75">
        <v>0</v>
      </c>
      <c r="AR75">
        <v>0</v>
      </c>
      <c r="AS75" t="s">
        <v>3</v>
      </c>
      <c r="AT75">
        <v>0.13</v>
      </c>
      <c r="AU75" t="s">
        <v>31</v>
      </c>
      <c r="AV75">
        <v>0</v>
      </c>
      <c r="AW75">
        <v>2</v>
      </c>
      <c r="AX75">
        <v>29836804</v>
      </c>
      <c r="AY75">
        <v>1</v>
      </c>
      <c r="AZ75">
        <v>0</v>
      </c>
      <c r="BA75">
        <v>77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Y75*Source!I58</f>
        <v>1.9500000000000002</v>
      </c>
      <c r="CY75">
        <f t="shared" ref="CY75:CY81" si="12">AB75</f>
        <v>996.35</v>
      </c>
      <c r="CZ75">
        <f t="shared" ref="CZ75:CZ81" si="13">AF75</f>
        <v>93.73</v>
      </c>
      <c r="DA75">
        <f t="shared" ref="DA75:DA81" si="14">AJ75</f>
        <v>10.63</v>
      </c>
      <c r="DB75">
        <f t="shared" ref="DB75:DB81" si="15">ROUND((ROUND(AT75*CZ75,2)*ROUND(1.25,7)),0)</f>
        <v>15</v>
      </c>
      <c r="DC75">
        <f t="shared" ref="DC75:DC81" si="16">ROUND((ROUND(AT75*AG75,2)*ROUND(1.25,7)),0)</f>
        <v>1</v>
      </c>
    </row>
    <row r="76" spans="1:107" x14ac:dyDescent="0.2">
      <c r="A76">
        <f>ROW(Source!A58)</f>
        <v>58</v>
      </c>
      <c r="B76">
        <v>29836452</v>
      </c>
      <c r="C76">
        <v>29836789</v>
      </c>
      <c r="D76">
        <v>28337241</v>
      </c>
      <c r="E76">
        <v>1</v>
      </c>
      <c r="F76">
        <v>1</v>
      </c>
      <c r="G76">
        <v>1</v>
      </c>
      <c r="H76">
        <v>2</v>
      </c>
      <c r="I76" t="s">
        <v>391</v>
      </c>
      <c r="J76" t="s">
        <v>392</v>
      </c>
      <c r="K76" t="s">
        <v>393</v>
      </c>
      <c r="L76">
        <v>1368</v>
      </c>
      <c r="N76">
        <v>1011</v>
      </c>
      <c r="O76" t="s">
        <v>317</v>
      </c>
      <c r="P76" t="s">
        <v>317</v>
      </c>
      <c r="Q76">
        <v>1</v>
      </c>
      <c r="W76">
        <v>0</v>
      </c>
      <c r="X76">
        <v>-1249005973</v>
      </c>
      <c r="Y76">
        <v>0.75</v>
      </c>
      <c r="AA76">
        <v>0</v>
      </c>
      <c r="AB76">
        <v>336.23</v>
      </c>
      <c r="AC76">
        <v>0</v>
      </c>
      <c r="AD76">
        <v>0</v>
      </c>
      <c r="AE76">
        <v>0</v>
      </c>
      <c r="AF76">
        <v>31.63</v>
      </c>
      <c r="AG76">
        <v>0</v>
      </c>
      <c r="AH76">
        <v>0</v>
      </c>
      <c r="AI76">
        <v>1</v>
      </c>
      <c r="AJ76">
        <v>10.63</v>
      </c>
      <c r="AK76">
        <v>35.86</v>
      </c>
      <c r="AL76">
        <v>1</v>
      </c>
      <c r="AN76">
        <v>0</v>
      </c>
      <c r="AO76">
        <v>1</v>
      </c>
      <c r="AP76">
        <v>1</v>
      </c>
      <c r="AQ76">
        <v>0</v>
      </c>
      <c r="AR76">
        <v>0</v>
      </c>
      <c r="AS76" t="s">
        <v>3</v>
      </c>
      <c r="AT76">
        <v>0.6</v>
      </c>
      <c r="AU76" t="s">
        <v>31</v>
      </c>
      <c r="AV76">
        <v>0</v>
      </c>
      <c r="AW76">
        <v>2</v>
      </c>
      <c r="AX76">
        <v>29836805</v>
      </c>
      <c r="AY76">
        <v>1</v>
      </c>
      <c r="AZ76">
        <v>0</v>
      </c>
      <c r="BA76">
        <v>78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Y76*Source!I58</f>
        <v>9</v>
      </c>
      <c r="CY76">
        <f t="shared" si="12"/>
        <v>336.23</v>
      </c>
      <c r="CZ76">
        <f t="shared" si="13"/>
        <v>31.63</v>
      </c>
      <c r="DA76">
        <f t="shared" si="14"/>
        <v>10.63</v>
      </c>
      <c r="DB76">
        <f t="shared" si="15"/>
        <v>24</v>
      </c>
      <c r="DC76">
        <f t="shared" si="16"/>
        <v>0</v>
      </c>
    </row>
    <row r="77" spans="1:107" x14ac:dyDescent="0.2">
      <c r="A77">
        <f>ROW(Source!A58)</f>
        <v>58</v>
      </c>
      <c r="B77">
        <v>29836452</v>
      </c>
      <c r="C77">
        <v>29836789</v>
      </c>
      <c r="D77">
        <v>28337292</v>
      </c>
      <c r="E77">
        <v>1</v>
      </c>
      <c r="F77">
        <v>1</v>
      </c>
      <c r="G77">
        <v>1</v>
      </c>
      <c r="H77">
        <v>2</v>
      </c>
      <c r="I77" t="s">
        <v>394</v>
      </c>
      <c r="J77" t="s">
        <v>395</v>
      </c>
      <c r="K77" t="s">
        <v>396</v>
      </c>
      <c r="L77">
        <v>1368</v>
      </c>
      <c r="N77">
        <v>1011</v>
      </c>
      <c r="O77" t="s">
        <v>317</v>
      </c>
      <c r="P77" t="s">
        <v>317</v>
      </c>
      <c r="Q77">
        <v>1</v>
      </c>
      <c r="W77">
        <v>0</v>
      </c>
      <c r="X77">
        <v>937974085</v>
      </c>
      <c r="Y77">
        <v>10.45</v>
      </c>
      <c r="AA77">
        <v>0</v>
      </c>
      <c r="AB77">
        <v>671.5</v>
      </c>
      <c r="AC77">
        <v>0</v>
      </c>
      <c r="AD77">
        <v>0</v>
      </c>
      <c r="AE77">
        <v>0</v>
      </c>
      <c r="AF77">
        <v>63.17</v>
      </c>
      <c r="AG77">
        <v>0</v>
      </c>
      <c r="AH77">
        <v>0</v>
      </c>
      <c r="AI77">
        <v>1</v>
      </c>
      <c r="AJ77">
        <v>10.63</v>
      </c>
      <c r="AK77">
        <v>35.86</v>
      </c>
      <c r="AL77">
        <v>1</v>
      </c>
      <c r="AN77">
        <v>0</v>
      </c>
      <c r="AO77">
        <v>1</v>
      </c>
      <c r="AP77">
        <v>1</v>
      </c>
      <c r="AQ77">
        <v>0</v>
      </c>
      <c r="AR77">
        <v>0</v>
      </c>
      <c r="AS77" t="s">
        <v>3</v>
      </c>
      <c r="AT77">
        <v>8.36</v>
      </c>
      <c r="AU77" t="s">
        <v>31</v>
      </c>
      <c r="AV77">
        <v>0</v>
      </c>
      <c r="AW77">
        <v>2</v>
      </c>
      <c r="AX77">
        <v>29836806</v>
      </c>
      <c r="AY77">
        <v>1</v>
      </c>
      <c r="AZ77">
        <v>0</v>
      </c>
      <c r="BA77">
        <v>79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Y77*Source!I58</f>
        <v>125.39999999999999</v>
      </c>
      <c r="CY77">
        <f t="shared" si="12"/>
        <v>671.5</v>
      </c>
      <c r="CZ77">
        <f t="shared" si="13"/>
        <v>63.17</v>
      </c>
      <c r="DA77">
        <f t="shared" si="14"/>
        <v>10.63</v>
      </c>
      <c r="DB77">
        <f t="shared" si="15"/>
        <v>660</v>
      </c>
      <c r="DC77">
        <f t="shared" si="16"/>
        <v>0</v>
      </c>
    </row>
    <row r="78" spans="1:107" x14ac:dyDescent="0.2">
      <c r="A78">
        <f>ROW(Source!A58)</f>
        <v>58</v>
      </c>
      <c r="B78">
        <v>29836452</v>
      </c>
      <c r="C78">
        <v>29836789</v>
      </c>
      <c r="D78">
        <v>28337361</v>
      </c>
      <c r="E78">
        <v>1</v>
      </c>
      <c r="F78">
        <v>1</v>
      </c>
      <c r="G78">
        <v>1</v>
      </c>
      <c r="H78">
        <v>2</v>
      </c>
      <c r="I78" t="s">
        <v>397</v>
      </c>
      <c r="J78" t="s">
        <v>398</v>
      </c>
      <c r="K78" t="s">
        <v>399</v>
      </c>
      <c r="L78">
        <v>1368</v>
      </c>
      <c r="N78">
        <v>1011</v>
      </c>
      <c r="O78" t="s">
        <v>317</v>
      </c>
      <c r="P78" t="s">
        <v>317</v>
      </c>
      <c r="Q78">
        <v>1</v>
      </c>
      <c r="W78">
        <v>0</v>
      </c>
      <c r="X78">
        <v>1904776468</v>
      </c>
      <c r="Y78">
        <v>4.0625</v>
      </c>
      <c r="AA78">
        <v>0</v>
      </c>
      <c r="AB78">
        <v>2069.34</v>
      </c>
      <c r="AC78">
        <v>363.26</v>
      </c>
      <c r="AD78">
        <v>0</v>
      </c>
      <c r="AE78">
        <v>0</v>
      </c>
      <c r="AF78">
        <v>194.67</v>
      </c>
      <c r="AG78">
        <v>10.130000000000001</v>
      </c>
      <c r="AH78">
        <v>0</v>
      </c>
      <c r="AI78">
        <v>1</v>
      </c>
      <c r="AJ78">
        <v>10.63</v>
      </c>
      <c r="AK78">
        <v>35.86</v>
      </c>
      <c r="AL78">
        <v>1</v>
      </c>
      <c r="AN78">
        <v>0</v>
      </c>
      <c r="AO78">
        <v>1</v>
      </c>
      <c r="AP78">
        <v>1</v>
      </c>
      <c r="AQ78">
        <v>0</v>
      </c>
      <c r="AR78">
        <v>0</v>
      </c>
      <c r="AS78" t="s">
        <v>3</v>
      </c>
      <c r="AT78">
        <v>3.25</v>
      </c>
      <c r="AU78" t="s">
        <v>31</v>
      </c>
      <c r="AV78">
        <v>0</v>
      </c>
      <c r="AW78">
        <v>2</v>
      </c>
      <c r="AX78">
        <v>29836807</v>
      </c>
      <c r="AY78">
        <v>1</v>
      </c>
      <c r="AZ78">
        <v>0</v>
      </c>
      <c r="BA78">
        <v>80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Y78*Source!I58</f>
        <v>48.75</v>
      </c>
      <c r="CY78">
        <f t="shared" si="12"/>
        <v>2069.34</v>
      </c>
      <c r="CZ78">
        <f t="shared" si="13"/>
        <v>194.67</v>
      </c>
      <c r="DA78">
        <f t="shared" si="14"/>
        <v>10.63</v>
      </c>
      <c r="DB78">
        <f t="shared" si="15"/>
        <v>791</v>
      </c>
      <c r="DC78">
        <f t="shared" si="16"/>
        <v>41</v>
      </c>
    </row>
    <row r="79" spans="1:107" x14ac:dyDescent="0.2">
      <c r="A79">
        <f>ROW(Source!A58)</f>
        <v>58</v>
      </c>
      <c r="B79">
        <v>29836452</v>
      </c>
      <c r="C79">
        <v>29836789</v>
      </c>
      <c r="D79">
        <v>28337789</v>
      </c>
      <c r="E79">
        <v>1</v>
      </c>
      <c r="F79">
        <v>1</v>
      </c>
      <c r="G79">
        <v>1</v>
      </c>
      <c r="H79">
        <v>2</v>
      </c>
      <c r="I79" t="s">
        <v>338</v>
      </c>
      <c r="J79" t="s">
        <v>339</v>
      </c>
      <c r="K79" t="s">
        <v>340</v>
      </c>
      <c r="L79">
        <v>1368</v>
      </c>
      <c r="N79">
        <v>1011</v>
      </c>
      <c r="O79" t="s">
        <v>317</v>
      </c>
      <c r="P79" t="s">
        <v>317</v>
      </c>
      <c r="Q79">
        <v>1</v>
      </c>
      <c r="W79">
        <v>0</v>
      </c>
      <c r="X79">
        <v>-929913149</v>
      </c>
      <c r="Y79">
        <v>1.1500000000000001</v>
      </c>
      <c r="AA79">
        <v>0</v>
      </c>
      <c r="AB79">
        <v>1269.6500000000001</v>
      </c>
      <c r="AC79">
        <v>363.26</v>
      </c>
      <c r="AD79">
        <v>0</v>
      </c>
      <c r="AE79">
        <v>0</v>
      </c>
      <c r="AF79">
        <v>119.44</v>
      </c>
      <c r="AG79">
        <v>10.130000000000001</v>
      </c>
      <c r="AH79">
        <v>0</v>
      </c>
      <c r="AI79">
        <v>1</v>
      </c>
      <c r="AJ79">
        <v>10.63</v>
      </c>
      <c r="AK79">
        <v>35.86</v>
      </c>
      <c r="AL79">
        <v>1</v>
      </c>
      <c r="AN79">
        <v>0</v>
      </c>
      <c r="AO79">
        <v>1</v>
      </c>
      <c r="AP79">
        <v>1</v>
      </c>
      <c r="AQ79">
        <v>0</v>
      </c>
      <c r="AR79">
        <v>0</v>
      </c>
      <c r="AS79" t="s">
        <v>3</v>
      </c>
      <c r="AT79">
        <v>0.92</v>
      </c>
      <c r="AU79" t="s">
        <v>31</v>
      </c>
      <c r="AV79">
        <v>0</v>
      </c>
      <c r="AW79">
        <v>2</v>
      </c>
      <c r="AX79">
        <v>29836808</v>
      </c>
      <c r="AY79">
        <v>1</v>
      </c>
      <c r="AZ79">
        <v>0</v>
      </c>
      <c r="BA79">
        <v>81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Y79*Source!I58</f>
        <v>13.8</v>
      </c>
      <c r="CY79">
        <f t="shared" si="12"/>
        <v>1269.6500000000001</v>
      </c>
      <c r="CZ79">
        <f t="shared" si="13"/>
        <v>119.44</v>
      </c>
      <c r="DA79">
        <f t="shared" si="14"/>
        <v>10.63</v>
      </c>
      <c r="DB79">
        <f t="shared" si="15"/>
        <v>137</v>
      </c>
      <c r="DC79">
        <f t="shared" si="16"/>
        <v>12</v>
      </c>
    </row>
    <row r="80" spans="1:107" x14ac:dyDescent="0.2">
      <c r="A80">
        <f>ROW(Source!A58)</f>
        <v>58</v>
      </c>
      <c r="B80">
        <v>29836452</v>
      </c>
      <c r="C80">
        <v>29836789</v>
      </c>
      <c r="D80">
        <v>28337840</v>
      </c>
      <c r="E80">
        <v>1</v>
      </c>
      <c r="F80">
        <v>1</v>
      </c>
      <c r="G80">
        <v>1</v>
      </c>
      <c r="H80">
        <v>2</v>
      </c>
      <c r="I80" t="s">
        <v>363</v>
      </c>
      <c r="J80" t="s">
        <v>364</v>
      </c>
      <c r="K80" t="s">
        <v>365</v>
      </c>
      <c r="L80">
        <v>1368</v>
      </c>
      <c r="N80">
        <v>1011</v>
      </c>
      <c r="O80" t="s">
        <v>317</v>
      </c>
      <c r="P80" t="s">
        <v>317</v>
      </c>
      <c r="Q80">
        <v>1</v>
      </c>
      <c r="W80">
        <v>0</v>
      </c>
      <c r="X80">
        <v>1171957361</v>
      </c>
      <c r="Y80">
        <v>3.7499999999999999E-2</v>
      </c>
      <c r="AA80">
        <v>0</v>
      </c>
      <c r="AB80">
        <v>922.58</v>
      </c>
      <c r="AC80">
        <v>363.26</v>
      </c>
      <c r="AD80">
        <v>0</v>
      </c>
      <c r="AE80">
        <v>0</v>
      </c>
      <c r="AF80">
        <v>86.79</v>
      </c>
      <c r="AG80">
        <v>10.130000000000001</v>
      </c>
      <c r="AH80">
        <v>0</v>
      </c>
      <c r="AI80">
        <v>1</v>
      </c>
      <c r="AJ80">
        <v>10.63</v>
      </c>
      <c r="AK80">
        <v>35.86</v>
      </c>
      <c r="AL80">
        <v>1</v>
      </c>
      <c r="AN80">
        <v>0</v>
      </c>
      <c r="AO80">
        <v>1</v>
      </c>
      <c r="AP80">
        <v>1</v>
      </c>
      <c r="AQ80">
        <v>0</v>
      </c>
      <c r="AR80">
        <v>0</v>
      </c>
      <c r="AS80" t="s">
        <v>3</v>
      </c>
      <c r="AT80">
        <v>0.03</v>
      </c>
      <c r="AU80" t="s">
        <v>31</v>
      </c>
      <c r="AV80">
        <v>0</v>
      </c>
      <c r="AW80">
        <v>2</v>
      </c>
      <c r="AX80">
        <v>29836809</v>
      </c>
      <c r="AY80">
        <v>1</v>
      </c>
      <c r="AZ80">
        <v>0</v>
      </c>
      <c r="BA80">
        <v>82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Y80*Source!I58</f>
        <v>0.44999999999999996</v>
      </c>
      <c r="CY80">
        <f t="shared" si="12"/>
        <v>922.58</v>
      </c>
      <c r="CZ80">
        <f t="shared" si="13"/>
        <v>86.79</v>
      </c>
      <c r="DA80">
        <f t="shared" si="14"/>
        <v>10.63</v>
      </c>
      <c r="DB80">
        <f t="shared" si="15"/>
        <v>3</v>
      </c>
      <c r="DC80">
        <f t="shared" si="16"/>
        <v>0</v>
      </c>
    </row>
    <row r="81" spans="1:107" x14ac:dyDescent="0.2">
      <c r="A81">
        <f>ROW(Source!A58)</f>
        <v>58</v>
      </c>
      <c r="B81">
        <v>29836452</v>
      </c>
      <c r="C81">
        <v>29836789</v>
      </c>
      <c r="D81">
        <v>28338155</v>
      </c>
      <c r="E81">
        <v>1</v>
      </c>
      <c r="F81">
        <v>1</v>
      </c>
      <c r="G81">
        <v>1</v>
      </c>
      <c r="H81">
        <v>2</v>
      </c>
      <c r="I81" t="s">
        <v>400</v>
      </c>
      <c r="J81" t="s">
        <v>401</v>
      </c>
      <c r="K81" t="s">
        <v>402</v>
      </c>
      <c r="L81">
        <v>1368</v>
      </c>
      <c r="N81">
        <v>1011</v>
      </c>
      <c r="O81" t="s">
        <v>317</v>
      </c>
      <c r="P81" t="s">
        <v>317</v>
      </c>
      <c r="Q81">
        <v>1</v>
      </c>
      <c r="W81">
        <v>0</v>
      </c>
      <c r="X81">
        <v>-1956901277</v>
      </c>
      <c r="Y81">
        <v>0.23749999999999999</v>
      </c>
      <c r="AA81">
        <v>0</v>
      </c>
      <c r="AB81">
        <v>968.39</v>
      </c>
      <c r="AC81">
        <v>316.29000000000002</v>
      </c>
      <c r="AD81">
        <v>0</v>
      </c>
      <c r="AE81">
        <v>0</v>
      </c>
      <c r="AF81">
        <v>91.1</v>
      </c>
      <c r="AG81">
        <v>8.82</v>
      </c>
      <c r="AH81">
        <v>0</v>
      </c>
      <c r="AI81">
        <v>1</v>
      </c>
      <c r="AJ81">
        <v>10.63</v>
      </c>
      <c r="AK81">
        <v>35.86</v>
      </c>
      <c r="AL81">
        <v>1</v>
      </c>
      <c r="AN81">
        <v>0</v>
      </c>
      <c r="AO81">
        <v>1</v>
      </c>
      <c r="AP81">
        <v>1</v>
      </c>
      <c r="AQ81">
        <v>0</v>
      </c>
      <c r="AR81">
        <v>0</v>
      </c>
      <c r="AS81" t="s">
        <v>3</v>
      </c>
      <c r="AT81">
        <v>0.19</v>
      </c>
      <c r="AU81" t="s">
        <v>31</v>
      </c>
      <c r="AV81">
        <v>0</v>
      </c>
      <c r="AW81">
        <v>2</v>
      </c>
      <c r="AX81">
        <v>29836810</v>
      </c>
      <c r="AY81">
        <v>1</v>
      </c>
      <c r="AZ81">
        <v>0</v>
      </c>
      <c r="BA81">
        <v>83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Y81*Source!I58</f>
        <v>2.8499999999999996</v>
      </c>
      <c r="CY81">
        <f t="shared" si="12"/>
        <v>968.39</v>
      </c>
      <c r="CZ81">
        <f t="shared" si="13"/>
        <v>91.1</v>
      </c>
      <c r="DA81">
        <f t="shared" si="14"/>
        <v>10.63</v>
      </c>
      <c r="DB81">
        <f t="shared" si="15"/>
        <v>22</v>
      </c>
      <c r="DC81">
        <f t="shared" si="16"/>
        <v>2</v>
      </c>
    </row>
    <row r="82" spans="1:107" x14ac:dyDescent="0.2">
      <c r="A82">
        <f>ROW(Source!A58)</f>
        <v>58</v>
      </c>
      <c r="B82">
        <v>29836452</v>
      </c>
      <c r="C82">
        <v>29836789</v>
      </c>
      <c r="D82">
        <v>28251150</v>
      </c>
      <c r="E82">
        <v>1</v>
      </c>
      <c r="F82">
        <v>1</v>
      </c>
      <c r="G82">
        <v>1</v>
      </c>
      <c r="H82">
        <v>3</v>
      </c>
      <c r="I82" t="s">
        <v>225</v>
      </c>
      <c r="J82" t="s">
        <v>227</v>
      </c>
      <c r="K82" t="s">
        <v>226</v>
      </c>
      <c r="L82">
        <v>1348</v>
      </c>
      <c r="N82">
        <v>1009</v>
      </c>
      <c r="O82" t="s">
        <v>84</v>
      </c>
      <c r="P82" t="s">
        <v>84</v>
      </c>
      <c r="Q82">
        <v>1000</v>
      </c>
      <c r="W82">
        <v>0</v>
      </c>
      <c r="X82">
        <v>-994642722</v>
      </c>
      <c r="Y82">
        <v>0.01</v>
      </c>
      <c r="AA82">
        <v>15418.43</v>
      </c>
      <c r="AB82">
        <v>0</v>
      </c>
      <c r="AC82">
        <v>0</v>
      </c>
      <c r="AD82">
        <v>0</v>
      </c>
      <c r="AE82">
        <v>2123.75</v>
      </c>
      <c r="AF82">
        <v>0</v>
      </c>
      <c r="AG82">
        <v>0</v>
      </c>
      <c r="AH82">
        <v>0</v>
      </c>
      <c r="AI82">
        <v>7.26</v>
      </c>
      <c r="AJ82">
        <v>1</v>
      </c>
      <c r="AK82">
        <v>1</v>
      </c>
      <c r="AL82">
        <v>1</v>
      </c>
      <c r="AN82">
        <v>0</v>
      </c>
      <c r="AO82">
        <v>1</v>
      </c>
      <c r="AP82">
        <v>0</v>
      </c>
      <c r="AQ82">
        <v>0</v>
      </c>
      <c r="AR82">
        <v>0</v>
      </c>
      <c r="AS82" t="s">
        <v>3</v>
      </c>
      <c r="AT82">
        <v>0.01</v>
      </c>
      <c r="AU82" t="s">
        <v>3</v>
      </c>
      <c r="AV82">
        <v>0</v>
      </c>
      <c r="AW82">
        <v>2</v>
      </c>
      <c r="AX82">
        <v>29836811</v>
      </c>
      <c r="AY82">
        <v>1</v>
      </c>
      <c r="AZ82">
        <v>0</v>
      </c>
      <c r="BA82">
        <v>84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Y82*Source!I58</f>
        <v>0.12</v>
      </c>
      <c r="CY82">
        <f>AA82</f>
        <v>15418.43</v>
      </c>
      <c r="CZ82">
        <f>AE82</f>
        <v>2123.75</v>
      </c>
      <c r="DA82">
        <f>AI82</f>
        <v>7.26</v>
      </c>
      <c r="DB82">
        <f>ROUND(ROUND(AT82*CZ82,2),0)</f>
        <v>21</v>
      </c>
      <c r="DC82">
        <f>ROUND(ROUND(AT82*AG82,2),0)</f>
        <v>0</v>
      </c>
    </row>
    <row r="83" spans="1:107" x14ac:dyDescent="0.2">
      <c r="A83">
        <f>ROW(Source!A58)</f>
        <v>58</v>
      </c>
      <c r="B83">
        <v>29836452</v>
      </c>
      <c r="C83">
        <v>29836789</v>
      </c>
      <c r="D83">
        <v>28251227</v>
      </c>
      <c r="E83">
        <v>1</v>
      </c>
      <c r="F83">
        <v>1</v>
      </c>
      <c r="G83">
        <v>1</v>
      </c>
      <c r="H83">
        <v>3</v>
      </c>
      <c r="I83" t="s">
        <v>403</v>
      </c>
      <c r="J83" t="s">
        <v>404</v>
      </c>
      <c r="K83" t="s">
        <v>405</v>
      </c>
      <c r="L83">
        <v>1348</v>
      </c>
      <c r="N83">
        <v>1009</v>
      </c>
      <c r="O83" t="s">
        <v>84</v>
      </c>
      <c r="P83" t="s">
        <v>84</v>
      </c>
      <c r="Q83">
        <v>1000</v>
      </c>
      <c r="W83">
        <v>0</v>
      </c>
      <c r="X83">
        <v>391304092</v>
      </c>
      <c r="Y83">
        <v>7.0000000000000007E-2</v>
      </c>
      <c r="AA83">
        <v>85722.16</v>
      </c>
      <c r="AB83">
        <v>0</v>
      </c>
      <c r="AC83">
        <v>0</v>
      </c>
      <c r="AD83">
        <v>0</v>
      </c>
      <c r="AE83">
        <v>11807.46</v>
      </c>
      <c r="AF83">
        <v>0</v>
      </c>
      <c r="AG83">
        <v>0</v>
      </c>
      <c r="AH83">
        <v>0</v>
      </c>
      <c r="AI83">
        <v>7.26</v>
      </c>
      <c r="AJ83">
        <v>1</v>
      </c>
      <c r="AK83">
        <v>1</v>
      </c>
      <c r="AL83">
        <v>1</v>
      </c>
      <c r="AN83">
        <v>0</v>
      </c>
      <c r="AO83">
        <v>1</v>
      </c>
      <c r="AP83">
        <v>0</v>
      </c>
      <c r="AQ83">
        <v>0</v>
      </c>
      <c r="AR83">
        <v>0</v>
      </c>
      <c r="AS83" t="s">
        <v>3</v>
      </c>
      <c r="AT83">
        <v>7.0000000000000007E-2</v>
      </c>
      <c r="AU83" t="s">
        <v>3</v>
      </c>
      <c r="AV83">
        <v>0</v>
      </c>
      <c r="AW83">
        <v>2</v>
      </c>
      <c r="AX83">
        <v>29836812</v>
      </c>
      <c r="AY83">
        <v>1</v>
      </c>
      <c r="AZ83">
        <v>0</v>
      </c>
      <c r="BA83">
        <v>85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Y83*Source!I58</f>
        <v>0.84000000000000008</v>
      </c>
      <c r="CY83">
        <f>AA83</f>
        <v>85722.16</v>
      </c>
      <c r="CZ83">
        <f>AE83</f>
        <v>11807.46</v>
      </c>
      <c r="DA83">
        <f>AI83</f>
        <v>7.26</v>
      </c>
      <c r="DB83">
        <f>ROUND(ROUND(AT83*CZ83,2),0)</f>
        <v>827</v>
      </c>
      <c r="DC83">
        <f>ROUND(ROUND(AT83*AG83,2),0)</f>
        <v>0</v>
      </c>
    </row>
    <row r="84" spans="1:107" x14ac:dyDescent="0.2">
      <c r="A84">
        <f>ROW(Source!A58)</f>
        <v>58</v>
      </c>
      <c r="B84">
        <v>29836452</v>
      </c>
      <c r="C84">
        <v>29836789</v>
      </c>
      <c r="D84">
        <v>28253181</v>
      </c>
      <c r="E84">
        <v>1</v>
      </c>
      <c r="F84">
        <v>1</v>
      </c>
      <c r="G84">
        <v>1</v>
      </c>
      <c r="H84">
        <v>3</v>
      </c>
      <c r="I84" t="s">
        <v>341</v>
      </c>
      <c r="J84" t="s">
        <v>342</v>
      </c>
      <c r="K84" t="s">
        <v>343</v>
      </c>
      <c r="L84">
        <v>1339</v>
      </c>
      <c r="N84">
        <v>1007</v>
      </c>
      <c r="O84" t="s">
        <v>56</v>
      </c>
      <c r="P84" t="s">
        <v>56</v>
      </c>
      <c r="Q84">
        <v>1</v>
      </c>
      <c r="W84">
        <v>0</v>
      </c>
      <c r="X84">
        <v>82350058</v>
      </c>
      <c r="Y84">
        <v>3.5</v>
      </c>
      <c r="AA84">
        <v>17.71</v>
      </c>
      <c r="AB84">
        <v>0</v>
      </c>
      <c r="AC84">
        <v>0</v>
      </c>
      <c r="AD84">
        <v>0</v>
      </c>
      <c r="AE84">
        <v>2.44</v>
      </c>
      <c r="AF84">
        <v>0</v>
      </c>
      <c r="AG84">
        <v>0</v>
      </c>
      <c r="AH84">
        <v>0</v>
      </c>
      <c r="AI84">
        <v>7.26</v>
      </c>
      <c r="AJ84">
        <v>1</v>
      </c>
      <c r="AK84">
        <v>1</v>
      </c>
      <c r="AL84">
        <v>1</v>
      </c>
      <c r="AN84">
        <v>0</v>
      </c>
      <c r="AO84">
        <v>1</v>
      </c>
      <c r="AP84">
        <v>0</v>
      </c>
      <c r="AQ84">
        <v>0</v>
      </c>
      <c r="AR84">
        <v>0</v>
      </c>
      <c r="AS84" t="s">
        <v>3</v>
      </c>
      <c r="AT84">
        <v>3.5</v>
      </c>
      <c r="AU84" t="s">
        <v>3</v>
      </c>
      <c r="AV84">
        <v>0</v>
      </c>
      <c r="AW84">
        <v>2</v>
      </c>
      <c r="AX84">
        <v>29836813</v>
      </c>
      <c r="AY84">
        <v>1</v>
      </c>
      <c r="AZ84">
        <v>0</v>
      </c>
      <c r="BA84">
        <v>86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Y84*Source!I58</f>
        <v>42</v>
      </c>
      <c r="CY84">
        <f>AA84</f>
        <v>17.71</v>
      </c>
      <c r="CZ84">
        <f>AE84</f>
        <v>2.44</v>
      </c>
      <c r="DA84">
        <f>AI84</f>
        <v>7.26</v>
      </c>
      <c r="DB84">
        <f>ROUND(ROUND(AT84*CZ84,2),0)</f>
        <v>9</v>
      </c>
      <c r="DC84">
        <f>ROUND(ROUND(AT84*AG84,2),0)</f>
        <v>0</v>
      </c>
    </row>
    <row r="85" spans="1:107" x14ac:dyDescent="0.2">
      <c r="A85">
        <f>ROW(Source!A94)</f>
        <v>94</v>
      </c>
      <c r="B85">
        <v>29836452</v>
      </c>
      <c r="C85">
        <v>29836816</v>
      </c>
      <c r="D85">
        <v>28419637</v>
      </c>
      <c r="E85">
        <v>1</v>
      </c>
      <c r="F85">
        <v>1</v>
      </c>
      <c r="G85">
        <v>1</v>
      </c>
      <c r="H85">
        <v>1</v>
      </c>
      <c r="I85" t="s">
        <v>309</v>
      </c>
      <c r="J85" t="s">
        <v>3</v>
      </c>
      <c r="K85" t="s">
        <v>310</v>
      </c>
      <c r="L85">
        <v>1191</v>
      </c>
      <c r="N85">
        <v>1013</v>
      </c>
      <c r="O85" t="s">
        <v>311</v>
      </c>
      <c r="P85" t="s">
        <v>311</v>
      </c>
      <c r="Q85">
        <v>1</v>
      </c>
      <c r="W85">
        <v>0</v>
      </c>
      <c r="X85">
        <v>-884919233</v>
      </c>
      <c r="Y85">
        <v>36.018000000000001</v>
      </c>
      <c r="AA85">
        <v>0</v>
      </c>
      <c r="AB85">
        <v>0</v>
      </c>
      <c r="AC85">
        <v>0</v>
      </c>
      <c r="AD85">
        <v>249.94</v>
      </c>
      <c r="AE85">
        <v>0</v>
      </c>
      <c r="AF85">
        <v>0</v>
      </c>
      <c r="AG85">
        <v>0</v>
      </c>
      <c r="AH85">
        <v>6.97</v>
      </c>
      <c r="AI85">
        <v>1</v>
      </c>
      <c r="AJ85">
        <v>1</v>
      </c>
      <c r="AK85">
        <v>1</v>
      </c>
      <c r="AL85">
        <v>35.86</v>
      </c>
      <c r="AN85">
        <v>0</v>
      </c>
      <c r="AO85">
        <v>1</v>
      </c>
      <c r="AP85">
        <v>1</v>
      </c>
      <c r="AQ85">
        <v>0</v>
      </c>
      <c r="AR85">
        <v>0</v>
      </c>
      <c r="AS85" t="s">
        <v>3</v>
      </c>
      <c r="AT85">
        <v>31.32</v>
      </c>
      <c r="AU85" t="s">
        <v>32</v>
      </c>
      <c r="AV85">
        <v>1</v>
      </c>
      <c r="AW85">
        <v>2</v>
      </c>
      <c r="AX85">
        <v>29836822</v>
      </c>
      <c r="AY85">
        <v>1</v>
      </c>
      <c r="AZ85">
        <v>0</v>
      </c>
      <c r="BA85">
        <v>89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Y85*Source!I94</f>
        <v>1.9449719999999999</v>
      </c>
      <c r="CY85">
        <f>AD85</f>
        <v>249.94</v>
      </c>
      <c r="CZ85">
        <f>AH85</f>
        <v>6.97</v>
      </c>
      <c r="DA85">
        <f>AL85</f>
        <v>35.86</v>
      </c>
      <c r="DB85">
        <f>ROUND((ROUND(AT85*CZ85,2)*ROUND(1.15,7)),0)</f>
        <v>251</v>
      </c>
      <c r="DC85">
        <f>ROUND((ROUND(AT85*AG85,2)*ROUND(1.15,7)),0)</f>
        <v>0</v>
      </c>
    </row>
    <row r="86" spans="1:107" x14ac:dyDescent="0.2">
      <c r="A86">
        <f>ROW(Source!A94)</f>
        <v>94</v>
      </c>
      <c r="B86">
        <v>29836452</v>
      </c>
      <c r="C86">
        <v>29836816</v>
      </c>
      <c r="D86">
        <v>28419515</v>
      </c>
      <c r="E86">
        <v>1</v>
      </c>
      <c r="F86">
        <v>1</v>
      </c>
      <c r="G86">
        <v>1</v>
      </c>
      <c r="H86">
        <v>1</v>
      </c>
      <c r="I86" t="s">
        <v>312</v>
      </c>
      <c r="J86" t="s">
        <v>3</v>
      </c>
      <c r="K86" t="s">
        <v>313</v>
      </c>
      <c r="L86">
        <v>1191</v>
      </c>
      <c r="N86">
        <v>1013</v>
      </c>
      <c r="O86" t="s">
        <v>311</v>
      </c>
      <c r="P86" t="s">
        <v>311</v>
      </c>
      <c r="Q86">
        <v>1</v>
      </c>
      <c r="W86">
        <v>0</v>
      </c>
      <c r="X86">
        <v>-383101862</v>
      </c>
      <c r="Y86">
        <v>90.09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1</v>
      </c>
      <c r="AJ86">
        <v>1</v>
      </c>
      <c r="AK86">
        <v>35.86</v>
      </c>
      <c r="AL86">
        <v>1</v>
      </c>
      <c r="AN86">
        <v>0</v>
      </c>
      <c r="AO86">
        <v>1</v>
      </c>
      <c r="AP86">
        <v>0</v>
      </c>
      <c r="AQ86">
        <v>0</v>
      </c>
      <c r="AR86">
        <v>0</v>
      </c>
      <c r="AS86" t="s">
        <v>3</v>
      </c>
      <c r="AT86">
        <v>90.09</v>
      </c>
      <c r="AU86" t="s">
        <v>3</v>
      </c>
      <c r="AV86">
        <v>2</v>
      </c>
      <c r="AW86">
        <v>2</v>
      </c>
      <c r="AX86">
        <v>29836823</v>
      </c>
      <c r="AY86">
        <v>1</v>
      </c>
      <c r="AZ86">
        <v>2048</v>
      </c>
      <c r="BA86">
        <v>90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Y86*Source!I94</f>
        <v>4.8648600000000002</v>
      </c>
      <c r="CY86">
        <f>AD86</f>
        <v>0</v>
      </c>
      <c r="CZ86">
        <f>AH86</f>
        <v>0</v>
      </c>
      <c r="DA86">
        <f>AL86</f>
        <v>1</v>
      </c>
      <c r="DB86">
        <f>ROUND(ROUND(AT86*CZ86,2),0)</f>
        <v>0</v>
      </c>
      <c r="DC86">
        <f>ROUND(ROUND(AT86*AG86,2),0)</f>
        <v>0</v>
      </c>
    </row>
    <row r="87" spans="1:107" x14ac:dyDescent="0.2">
      <c r="A87">
        <f>ROW(Source!A94)</f>
        <v>94</v>
      </c>
      <c r="B87">
        <v>29836452</v>
      </c>
      <c r="C87">
        <v>29836816</v>
      </c>
      <c r="D87">
        <v>28335946</v>
      </c>
      <c r="E87">
        <v>1</v>
      </c>
      <c r="F87">
        <v>1</v>
      </c>
      <c r="G87">
        <v>1</v>
      </c>
      <c r="H87">
        <v>2</v>
      </c>
      <c r="I87" t="s">
        <v>314</v>
      </c>
      <c r="J87" t="s">
        <v>315</v>
      </c>
      <c r="K87" t="s">
        <v>316</v>
      </c>
      <c r="L87">
        <v>1368</v>
      </c>
      <c r="N87">
        <v>1011</v>
      </c>
      <c r="O87" t="s">
        <v>317</v>
      </c>
      <c r="P87" t="s">
        <v>317</v>
      </c>
      <c r="Q87">
        <v>1</v>
      </c>
      <c r="W87">
        <v>0</v>
      </c>
      <c r="X87">
        <v>-2072523220</v>
      </c>
      <c r="Y87">
        <v>21.3125</v>
      </c>
      <c r="AA87">
        <v>0</v>
      </c>
      <c r="AB87">
        <v>643.75</v>
      </c>
      <c r="AC87">
        <v>363.26</v>
      </c>
      <c r="AD87">
        <v>0</v>
      </c>
      <c r="AE87">
        <v>0</v>
      </c>
      <c r="AF87">
        <v>60.56</v>
      </c>
      <c r="AG87">
        <v>10.130000000000001</v>
      </c>
      <c r="AH87">
        <v>0</v>
      </c>
      <c r="AI87">
        <v>1</v>
      </c>
      <c r="AJ87">
        <v>10.63</v>
      </c>
      <c r="AK87">
        <v>35.86</v>
      </c>
      <c r="AL87">
        <v>1</v>
      </c>
      <c r="AN87">
        <v>0</v>
      </c>
      <c r="AO87">
        <v>1</v>
      </c>
      <c r="AP87">
        <v>1</v>
      </c>
      <c r="AQ87">
        <v>0</v>
      </c>
      <c r="AR87">
        <v>0</v>
      </c>
      <c r="AS87" t="s">
        <v>3</v>
      </c>
      <c r="AT87">
        <v>17.05</v>
      </c>
      <c r="AU87" t="s">
        <v>31</v>
      </c>
      <c r="AV87">
        <v>0</v>
      </c>
      <c r="AW87">
        <v>2</v>
      </c>
      <c r="AX87">
        <v>29836824</v>
      </c>
      <c r="AY87">
        <v>1</v>
      </c>
      <c r="AZ87">
        <v>0</v>
      </c>
      <c r="BA87">
        <v>91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Y87*Source!I94</f>
        <v>1.1508750000000001</v>
      </c>
      <c r="CY87">
        <f>AB87</f>
        <v>643.75</v>
      </c>
      <c r="CZ87">
        <f>AF87</f>
        <v>60.56</v>
      </c>
      <c r="DA87">
        <f>AJ87</f>
        <v>10.63</v>
      </c>
      <c r="DB87">
        <f>ROUND((ROUND(AT87*CZ87,2)*ROUND(1.25,7)),0)</f>
        <v>1291</v>
      </c>
      <c r="DC87">
        <f>ROUND((ROUND(AT87*AG87,2)*ROUND(1.25,7)),0)</f>
        <v>216</v>
      </c>
    </row>
    <row r="88" spans="1:107" x14ac:dyDescent="0.2">
      <c r="A88">
        <f>ROW(Source!A94)</f>
        <v>94</v>
      </c>
      <c r="B88">
        <v>29836452</v>
      </c>
      <c r="C88">
        <v>29836816</v>
      </c>
      <c r="D88">
        <v>28336068</v>
      </c>
      <c r="E88">
        <v>1</v>
      </c>
      <c r="F88">
        <v>1</v>
      </c>
      <c r="G88">
        <v>1</v>
      </c>
      <c r="H88">
        <v>2</v>
      </c>
      <c r="I88" t="s">
        <v>318</v>
      </c>
      <c r="J88" t="s">
        <v>319</v>
      </c>
      <c r="K88" t="s">
        <v>320</v>
      </c>
      <c r="L88">
        <v>1368</v>
      </c>
      <c r="N88">
        <v>1011</v>
      </c>
      <c r="O88" t="s">
        <v>317</v>
      </c>
      <c r="P88" t="s">
        <v>317</v>
      </c>
      <c r="Q88">
        <v>1</v>
      </c>
      <c r="W88">
        <v>0</v>
      </c>
      <c r="X88">
        <v>-116189257</v>
      </c>
      <c r="Y88">
        <v>91.300000000000011</v>
      </c>
      <c r="AA88">
        <v>0</v>
      </c>
      <c r="AB88">
        <v>749.31</v>
      </c>
      <c r="AC88">
        <v>363.26</v>
      </c>
      <c r="AD88">
        <v>0</v>
      </c>
      <c r="AE88">
        <v>0</v>
      </c>
      <c r="AF88">
        <v>70.489999999999995</v>
      </c>
      <c r="AG88">
        <v>10.130000000000001</v>
      </c>
      <c r="AH88">
        <v>0</v>
      </c>
      <c r="AI88">
        <v>1</v>
      </c>
      <c r="AJ88">
        <v>10.63</v>
      </c>
      <c r="AK88">
        <v>35.86</v>
      </c>
      <c r="AL88">
        <v>1</v>
      </c>
      <c r="AN88">
        <v>0</v>
      </c>
      <c r="AO88">
        <v>1</v>
      </c>
      <c r="AP88">
        <v>1</v>
      </c>
      <c r="AQ88">
        <v>0</v>
      </c>
      <c r="AR88">
        <v>0</v>
      </c>
      <c r="AS88" t="s">
        <v>3</v>
      </c>
      <c r="AT88">
        <v>73.040000000000006</v>
      </c>
      <c r="AU88" t="s">
        <v>31</v>
      </c>
      <c r="AV88">
        <v>0</v>
      </c>
      <c r="AW88">
        <v>2</v>
      </c>
      <c r="AX88">
        <v>29836825</v>
      </c>
      <c r="AY88">
        <v>1</v>
      </c>
      <c r="AZ88">
        <v>0</v>
      </c>
      <c r="BA88">
        <v>92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Y88*Source!I94</f>
        <v>4.9302000000000001</v>
      </c>
      <c r="CY88">
        <f>AB88</f>
        <v>749.31</v>
      </c>
      <c r="CZ88">
        <f>AF88</f>
        <v>70.489999999999995</v>
      </c>
      <c r="DA88">
        <f>AJ88</f>
        <v>10.63</v>
      </c>
      <c r="DB88">
        <f>ROUND((ROUND(AT88*CZ88,2)*ROUND(1.25,7)),0)</f>
        <v>6436</v>
      </c>
      <c r="DC88">
        <f>ROUND((ROUND(AT88*AG88,2)*ROUND(1.25,7)),0)</f>
        <v>925</v>
      </c>
    </row>
    <row r="89" spans="1:107" x14ac:dyDescent="0.2">
      <c r="A89">
        <f>ROW(Source!A94)</f>
        <v>94</v>
      </c>
      <c r="B89">
        <v>29836452</v>
      </c>
      <c r="C89">
        <v>29836816</v>
      </c>
      <c r="D89">
        <v>28257901</v>
      </c>
      <c r="E89">
        <v>1</v>
      </c>
      <c r="F89">
        <v>1</v>
      </c>
      <c r="G89">
        <v>1</v>
      </c>
      <c r="H89">
        <v>3</v>
      </c>
      <c r="I89" t="s">
        <v>321</v>
      </c>
      <c r="J89" t="s">
        <v>322</v>
      </c>
      <c r="K89" t="s">
        <v>323</v>
      </c>
      <c r="L89">
        <v>1339</v>
      </c>
      <c r="N89">
        <v>1007</v>
      </c>
      <c r="O89" t="s">
        <v>56</v>
      </c>
      <c r="P89" t="s">
        <v>56</v>
      </c>
      <c r="Q89">
        <v>1</v>
      </c>
      <c r="W89">
        <v>0</v>
      </c>
      <c r="X89">
        <v>-2007354963</v>
      </c>
      <c r="Y89">
        <v>0.04</v>
      </c>
      <c r="AA89">
        <v>1200.3</v>
      </c>
      <c r="AB89">
        <v>0</v>
      </c>
      <c r="AC89">
        <v>0</v>
      </c>
      <c r="AD89">
        <v>0</v>
      </c>
      <c r="AE89">
        <v>165.33</v>
      </c>
      <c r="AF89">
        <v>0</v>
      </c>
      <c r="AG89">
        <v>0</v>
      </c>
      <c r="AH89">
        <v>0</v>
      </c>
      <c r="AI89">
        <v>7.26</v>
      </c>
      <c r="AJ89">
        <v>1</v>
      </c>
      <c r="AK89">
        <v>1</v>
      </c>
      <c r="AL89">
        <v>1</v>
      </c>
      <c r="AN89">
        <v>0</v>
      </c>
      <c r="AO89">
        <v>1</v>
      </c>
      <c r="AP89">
        <v>0</v>
      </c>
      <c r="AQ89">
        <v>0</v>
      </c>
      <c r="AR89">
        <v>0</v>
      </c>
      <c r="AS89" t="s">
        <v>3</v>
      </c>
      <c r="AT89">
        <v>0.04</v>
      </c>
      <c r="AU89" t="s">
        <v>3</v>
      </c>
      <c r="AV89">
        <v>0</v>
      </c>
      <c r="AW89">
        <v>2</v>
      </c>
      <c r="AX89">
        <v>29836826</v>
      </c>
      <c r="AY89">
        <v>1</v>
      </c>
      <c r="AZ89">
        <v>0</v>
      </c>
      <c r="BA89">
        <v>93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Y89*Source!I94</f>
        <v>2.16E-3</v>
      </c>
      <c r="CY89">
        <f>AA89</f>
        <v>1200.3</v>
      </c>
      <c r="CZ89">
        <f>AE89</f>
        <v>165.33</v>
      </c>
      <c r="DA89">
        <f>AI89</f>
        <v>7.26</v>
      </c>
      <c r="DB89">
        <f>ROUND(ROUND(AT89*CZ89,2),0)</f>
        <v>7</v>
      </c>
      <c r="DC89">
        <f>ROUND(ROUND(AT89*AG89,2),0)</f>
        <v>0</v>
      </c>
    </row>
    <row r="90" spans="1:107" x14ac:dyDescent="0.2">
      <c r="A90">
        <f>ROW(Source!A96)</f>
        <v>96</v>
      </c>
      <c r="B90">
        <v>29836452</v>
      </c>
      <c r="C90">
        <v>29836828</v>
      </c>
      <c r="D90">
        <v>28421356</v>
      </c>
      <c r="E90">
        <v>1</v>
      </c>
      <c r="F90">
        <v>1</v>
      </c>
      <c r="G90">
        <v>1</v>
      </c>
      <c r="H90">
        <v>1</v>
      </c>
      <c r="I90" t="s">
        <v>389</v>
      </c>
      <c r="J90" t="s">
        <v>3</v>
      </c>
      <c r="K90" t="s">
        <v>390</v>
      </c>
      <c r="L90">
        <v>1191</v>
      </c>
      <c r="N90">
        <v>1013</v>
      </c>
      <c r="O90" t="s">
        <v>311</v>
      </c>
      <c r="P90" t="s">
        <v>311</v>
      </c>
      <c r="Q90">
        <v>1</v>
      </c>
      <c r="W90">
        <v>0</v>
      </c>
      <c r="X90">
        <v>608178714</v>
      </c>
      <c r="Y90">
        <v>25.173499999999997</v>
      </c>
      <c r="AA90">
        <v>0</v>
      </c>
      <c r="AB90">
        <v>0</v>
      </c>
      <c r="AC90">
        <v>0</v>
      </c>
      <c r="AD90">
        <v>261.42</v>
      </c>
      <c r="AE90">
        <v>0</v>
      </c>
      <c r="AF90">
        <v>0</v>
      </c>
      <c r="AG90">
        <v>0</v>
      </c>
      <c r="AH90">
        <v>7.29</v>
      </c>
      <c r="AI90">
        <v>1</v>
      </c>
      <c r="AJ90">
        <v>1</v>
      </c>
      <c r="AK90">
        <v>1</v>
      </c>
      <c r="AL90">
        <v>35.86</v>
      </c>
      <c r="AN90">
        <v>0</v>
      </c>
      <c r="AO90">
        <v>1</v>
      </c>
      <c r="AP90">
        <v>1</v>
      </c>
      <c r="AQ90">
        <v>0</v>
      </c>
      <c r="AR90">
        <v>0</v>
      </c>
      <c r="AS90" t="s">
        <v>3</v>
      </c>
      <c r="AT90">
        <v>21.89</v>
      </c>
      <c r="AU90" t="s">
        <v>32</v>
      </c>
      <c r="AV90">
        <v>1</v>
      </c>
      <c r="AW90">
        <v>2</v>
      </c>
      <c r="AX90">
        <v>29836841</v>
      </c>
      <c r="AY90">
        <v>1</v>
      </c>
      <c r="AZ90">
        <v>0</v>
      </c>
      <c r="BA90">
        <v>94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Y90*Source!I96</f>
        <v>27.690849999999998</v>
      </c>
      <c r="CY90">
        <f>AD90</f>
        <v>261.42</v>
      </c>
      <c r="CZ90">
        <f>AH90</f>
        <v>7.29</v>
      </c>
      <c r="DA90">
        <f>AL90</f>
        <v>35.86</v>
      </c>
      <c r="DB90">
        <f>ROUND((ROUND(AT90*CZ90,2)*ROUND(1.15,7)),0)</f>
        <v>184</v>
      </c>
      <c r="DC90">
        <f>ROUND((ROUND(AT90*AG90,2)*ROUND(1.15,7)),0)</f>
        <v>0</v>
      </c>
    </row>
    <row r="91" spans="1:107" x14ac:dyDescent="0.2">
      <c r="A91">
        <f>ROW(Source!A96)</f>
        <v>96</v>
      </c>
      <c r="B91">
        <v>29836452</v>
      </c>
      <c r="C91">
        <v>29836828</v>
      </c>
      <c r="D91">
        <v>28419515</v>
      </c>
      <c r="E91">
        <v>1</v>
      </c>
      <c r="F91">
        <v>1</v>
      </c>
      <c r="G91">
        <v>1</v>
      </c>
      <c r="H91">
        <v>1</v>
      </c>
      <c r="I91" t="s">
        <v>312</v>
      </c>
      <c r="J91" t="s">
        <v>3</v>
      </c>
      <c r="K91" t="s">
        <v>313</v>
      </c>
      <c r="L91">
        <v>1191</v>
      </c>
      <c r="N91">
        <v>1013</v>
      </c>
      <c r="O91" t="s">
        <v>311</v>
      </c>
      <c r="P91" t="s">
        <v>311</v>
      </c>
      <c r="Q91">
        <v>1</v>
      </c>
      <c r="W91">
        <v>0</v>
      </c>
      <c r="X91">
        <v>-383101862</v>
      </c>
      <c r="Y91">
        <v>5.6499999999999995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1</v>
      </c>
      <c r="AJ91">
        <v>1</v>
      </c>
      <c r="AK91">
        <v>35.86</v>
      </c>
      <c r="AL91">
        <v>1</v>
      </c>
      <c r="AN91">
        <v>0</v>
      </c>
      <c r="AO91">
        <v>1</v>
      </c>
      <c r="AP91">
        <v>1</v>
      </c>
      <c r="AQ91">
        <v>0</v>
      </c>
      <c r="AR91">
        <v>0</v>
      </c>
      <c r="AS91" t="s">
        <v>3</v>
      </c>
      <c r="AT91">
        <v>4.5199999999999996</v>
      </c>
      <c r="AU91" t="s">
        <v>31</v>
      </c>
      <c r="AV91">
        <v>2</v>
      </c>
      <c r="AW91">
        <v>2</v>
      </c>
      <c r="AX91">
        <v>29836842</v>
      </c>
      <c r="AY91">
        <v>1</v>
      </c>
      <c r="AZ91">
        <v>0</v>
      </c>
      <c r="BA91">
        <v>95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Y91*Source!I96</f>
        <v>6.2149999999999999</v>
      </c>
      <c r="CY91">
        <f>AD91</f>
        <v>0</v>
      </c>
      <c r="CZ91">
        <f>AH91</f>
        <v>0</v>
      </c>
      <c r="DA91">
        <f>AL91</f>
        <v>1</v>
      </c>
      <c r="DB91">
        <f t="shared" ref="DB91:DB98" si="17">ROUND((ROUND(AT91*CZ91,2)*ROUND(1.25,7)),0)</f>
        <v>0</v>
      </c>
      <c r="DC91">
        <f t="shared" ref="DC91:DC98" si="18">ROUND((ROUND(AT91*AG91,2)*ROUND(1.25,7)),0)</f>
        <v>0</v>
      </c>
    </row>
    <row r="92" spans="1:107" x14ac:dyDescent="0.2">
      <c r="A92">
        <f>ROW(Source!A96)</f>
        <v>96</v>
      </c>
      <c r="B92">
        <v>29836452</v>
      </c>
      <c r="C92">
        <v>29836828</v>
      </c>
      <c r="D92">
        <v>28336884</v>
      </c>
      <c r="E92">
        <v>1</v>
      </c>
      <c r="F92">
        <v>1</v>
      </c>
      <c r="G92">
        <v>1</v>
      </c>
      <c r="H92">
        <v>2</v>
      </c>
      <c r="I92" t="s">
        <v>332</v>
      </c>
      <c r="J92" t="s">
        <v>333</v>
      </c>
      <c r="K92" t="s">
        <v>334</v>
      </c>
      <c r="L92">
        <v>1368</v>
      </c>
      <c r="N92">
        <v>1011</v>
      </c>
      <c r="O92" t="s">
        <v>317</v>
      </c>
      <c r="P92" t="s">
        <v>317</v>
      </c>
      <c r="Q92">
        <v>1</v>
      </c>
      <c r="W92">
        <v>0</v>
      </c>
      <c r="X92">
        <v>-1700234874</v>
      </c>
      <c r="Y92">
        <v>0.16250000000000001</v>
      </c>
      <c r="AA92">
        <v>0</v>
      </c>
      <c r="AB92">
        <v>996.35</v>
      </c>
      <c r="AC92">
        <v>316.29000000000002</v>
      </c>
      <c r="AD92">
        <v>0</v>
      </c>
      <c r="AE92">
        <v>0</v>
      </c>
      <c r="AF92">
        <v>93.73</v>
      </c>
      <c r="AG92">
        <v>8.82</v>
      </c>
      <c r="AH92">
        <v>0</v>
      </c>
      <c r="AI92">
        <v>1</v>
      </c>
      <c r="AJ92">
        <v>10.63</v>
      </c>
      <c r="AK92">
        <v>35.86</v>
      </c>
      <c r="AL92">
        <v>1</v>
      </c>
      <c r="AN92">
        <v>0</v>
      </c>
      <c r="AO92">
        <v>1</v>
      </c>
      <c r="AP92">
        <v>1</v>
      </c>
      <c r="AQ92">
        <v>0</v>
      </c>
      <c r="AR92">
        <v>0</v>
      </c>
      <c r="AS92" t="s">
        <v>3</v>
      </c>
      <c r="AT92">
        <v>0.13</v>
      </c>
      <c r="AU92" t="s">
        <v>31</v>
      </c>
      <c r="AV92">
        <v>0</v>
      </c>
      <c r="AW92">
        <v>2</v>
      </c>
      <c r="AX92">
        <v>29836843</v>
      </c>
      <c r="AY92">
        <v>1</v>
      </c>
      <c r="AZ92">
        <v>0</v>
      </c>
      <c r="BA92">
        <v>96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Y92*Source!I96</f>
        <v>0.17875000000000002</v>
      </c>
      <c r="CY92">
        <f t="shared" ref="CY92:CY98" si="19">AB92</f>
        <v>996.35</v>
      </c>
      <c r="CZ92">
        <f t="shared" ref="CZ92:CZ98" si="20">AF92</f>
        <v>93.73</v>
      </c>
      <c r="DA92">
        <f t="shared" ref="DA92:DA98" si="21">AJ92</f>
        <v>10.63</v>
      </c>
      <c r="DB92">
        <f t="shared" si="17"/>
        <v>15</v>
      </c>
      <c r="DC92">
        <f t="shared" si="18"/>
        <v>1</v>
      </c>
    </row>
    <row r="93" spans="1:107" x14ac:dyDescent="0.2">
      <c r="A93">
        <f>ROW(Source!A96)</f>
        <v>96</v>
      </c>
      <c r="B93">
        <v>29836452</v>
      </c>
      <c r="C93">
        <v>29836828</v>
      </c>
      <c r="D93">
        <v>28337241</v>
      </c>
      <c r="E93">
        <v>1</v>
      </c>
      <c r="F93">
        <v>1</v>
      </c>
      <c r="G93">
        <v>1</v>
      </c>
      <c r="H93">
        <v>2</v>
      </c>
      <c r="I93" t="s">
        <v>391</v>
      </c>
      <c r="J93" t="s">
        <v>392</v>
      </c>
      <c r="K93" t="s">
        <v>393</v>
      </c>
      <c r="L93">
        <v>1368</v>
      </c>
      <c r="N93">
        <v>1011</v>
      </c>
      <c r="O93" t="s">
        <v>317</v>
      </c>
      <c r="P93" t="s">
        <v>317</v>
      </c>
      <c r="Q93">
        <v>1</v>
      </c>
      <c r="W93">
        <v>0</v>
      </c>
      <c r="X93">
        <v>-1249005973</v>
      </c>
      <c r="Y93">
        <v>0.75</v>
      </c>
      <c r="AA93">
        <v>0</v>
      </c>
      <c r="AB93">
        <v>336.23</v>
      </c>
      <c r="AC93">
        <v>0</v>
      </c>
      <c r="AD93">
        <v>0</v>
      </c>
      <c r="AE93">
        <v>0</v>
      </c>
      <c r="AF93">
        <v>31.63</v>
      </c>
      <c r="AG93">
        <v>0</v>
      </c>
      <c r="AH93">
        <v>0</v>
      </c>
      <c r="AI93">
        <v>1</v>
      </c>
      <c r="AJ93">
        <v>10.63</v>
      </c>
      <c r="AK93">
        <v>35.86</v>
      </c>
      <c r="AL93">
        <v>1</v>
      </c>
      <c r="AN93">
        <v>0</v>
      </c>
      <c r="AO93">
        <v>1</v>
      </c>
      <c r="AP93">
        <v>1</v>
      </c>
      <c r="AQ93">
        <v>0</v>
      </c>
      <c r="AR93">
        <v>0</v>
      </c>
      <c r="AS93" t="s">
        <v>3</v>
      </c>
      <c r="AT93">
        <v>0.6</v>
      </c>
      <c r="AU93" t="s">
        <v>31</v>
      </c>
      <c r="AV93">
        <v>0</v>
      </c>
      <c r="AW93">
        <v>2</v>
      </c>
      <c r="AX93">
        <v>29836844</v>
      </c>
      <c r="AY93">
        <v>1</v>
      </c>
      <c r="AZ93">
        <v>0</v>
      </c>
      <c r="BA93">
        <v>97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Y93*Source!I96</f>
        <v>0.82500000000000007</v>
      </c>
      <c r="CY93">
        <f t="shared" si="19"/>
        <v>336.23</v>
      </c>
      <c r="CZ93">
        <f t="shared" si="20"/>
        <v>31.63</v>
      </c>
      <c r="DA93">
        <f t="shared" si="21"/>
        <v>10.63</v>
      </c>
      <c r="DB93">
        <f t="shared" si="17"/>
        <v>24</v>
      </c>
      <c r="DC93">
        <f t="shared" si="18"/>
        <v>0</v>
      </c>
    </row>
    <row r="94" spans="1:107" x14ac:dyDescent="0.2">
      <c r="A94">
        <f>ROW(Source!A96)</f>
        <v>96</v>
      </c>
      <c r="B94">
        <v>29836452</v>
      </c>
      <c r="C94">
        <v>29836828</v>
      </c>
      <c r="D94">
        <v>28337292</v>
      </c>
      <c r="E94">
        <v>1</v>
      </c>
      <c r="F94">
        <v>1</v>
      </c>
      <c r="G94">
        <v>1</v>
      </c>
      <c r="H94">
        <v>2</v>
      </c>
      <c r="I94" t="s">
        <v>394</v>
      </c>
      <c r="J94" t="s">
        <v>395</v>
      </c>
      <c r="K94" t="s">
        <v>396</v>
      </c>
      <c r="L94">
        <v>1368</v>
      </c>
      <c r="N94">
        <v>1011</v>
      </c>
      <c r="O94" t="s">
        <v>317</v>
      </c>
      <c r="P94" t="s">
        <v>317</v>
      </c>
      <c r="Q94">
        <v>1</v>
      </c>
      <c r="W94">
        <v>0</v>
      </c>
      <c r="X94">
        <v>937974085</v>
      </c>
      <c r="Y94">
        <v>10.45</v>
      </c>
      <c r="AA94">
        <v>0</v>
      </c>
      <c r="AB94">
        <v>671.5</v>
      </c>
      <c r="AC94">
        <v>0</v>
      </c>
      <c r="AD94">
        <v>0</v>
      </c>
      <c r="AE94">
        <v>0</v>
      </c>
      <c r="AF94">
        <v>63.17</v>
      </c>
      <c r="AG94">
        <v>0</v>
      </c>
      <c r="AH94">
        <v>0</v>
      </c>
      <c r="AI94">
        <v>1</v>
      </c>
      <c r="AJ94">
        <v>10.63</v>
      </c>
      <c r="AK94">
        <v>35.86</v>
      </c>
      <c r="AL94">
        <v>1</v>
      </c>
      <c r="AN94">
        <v>0</v>
      </c>
      <c r="AO94">
        <v>1</v>
      </c>
      <c r="AP94">
        <v>1</v>
      </c>
      <c r="AQ94">
        <v>0</v>
      </c>
      <c r="AR94">
        <v>0</v>
      </c>
      <c r="AS94" t="s">
        <v>3</v>
      </c>
      <c r="AT94">
        <v>8.36</v>
      </c>
      <c r="AU94" t="s">
        <v>31</v>
      </c>
      <c r="AV94">
        <v>0</v>
      </c>
      <c r="AW94">
        <v>2</v>
      </c>
      <c r="AX94">
        <v>29836845</v>
      </c>
      <c r="AY94">
        <v>1</v>
      </c>
      <c r="AZ94">
        <v>0</v>
      </c>
      <c r="BA94">
        <v>98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Y94*Source!I96</f>
        <v>11.495000000000001</v>
      </c>
      <c r="CY94">
        <f t="shared" si="19"/>
        <v>671.5</v>
      </c>
      <c r="CZ94">
        <f t="shared" si="20"/>
        <v>63.17</v>
      </c>
      <c r="DA94">
        <f t="shared" si="21"/>
        <v>10.63</v>
      </c>
      <c r="DB94">
        <f t="shared" si="17"/>
        <v>660</v>
      </c>
      <c r="DC94">
        <f t="shared" si="18"/>
        <v>0</v>
      </c>
    </row>
    <row r="95" spans="1:107" x14ac:dyDescent="0.2">
      <c r="A95">
        <f>ROW(Source!A96)</f>
        <v>96</v>
      </c>
      <c r="B95">
        <v>29836452</v>
      </c>
      <c r="C95">
        <v>29836828</v>
      </c>
      <c r="D95">
        <v>28337361</v>
      </c>
      <c r="E95">
        <v>1</v>
      </c>
      <c r="F95">
        <v>1</v>
      </c>
      <c r="G95">
        <v>1</v>
      </c>
      <c r="H95">
        <v>2</v>
      </c>
      <c r="I95" t="s">
        <v>397</v>
      </c>
      <c r="J95" t="s">
        <v>398</v>
      </c>
      <c r="K95" t="s">
        <v>399</v>
      </c>
      <c r="L95">
        <v>1368</v>
      </c>
      <c r="N95">
        <v>1011</v>
      </c>
      <c r="O95" t="s">
        <v>317</v>
      </c>
      <c r="P95" t="s">
        <v>317</v>
      </c>
      <c r="Q95">
        <v>1</v>
      </c>
      <c r="W95">
        <v>0</v>
      </c>
      <c r="X95">
        <v>1904776468</v>
      </c>
      <c r="Y95">
        <v>4.0625</v>
      </c>
      <c r="AA95">
        <v>0</v>
      </c>
      <c r="AB95">
        <v>2069.34</v>
      </c>
      <c r="AC95">
        <v>363.26</v>
      </c>
      <c r="AD95">
        <v>0</v>
      </c>
      <c r="AE95">
        <v>0</v>
      </c>
      <c r="AF95">
        <v>194.67</v>
      </c>
      <c r="AG95">
        <v>10.130000000000001</v>
      </c>
      <c r="AH95">
        <v>0</v>
      </c>
      <c r="AI95">
        <v>1</v>
      </c>
      <c r="AJ95">
        <v>10.63</v>
      </c>
      <c r="AK95">
        <v>35.86</v>
      </c>
      <c r="AL95">
        <v>1</v>
      </c>
      <c r="AN95">
        <v>0</v>
      </c>
      <c r="AO95">
        <v>1</v>
      </c>
      <c r="AP95">
        <v>1</v>
      </c>
      <c r="AQ95">
        <v>0</v>
      </c>
      <c r="AR95">
        <v>0</v>
      </c>
      <c r="AS95" t="s">
        <v>3</v>
      </c>
      <c r="AT95">
        <v>3.25</v>
      </c>
      <c r="AU95" t="s">
        <v>31</v>
      </c>
      <c r="AV95">
        <v>0</v>
      </c>
      <c r="AW95">
        <v>2</v>
      </c>
      <c r="AX95">
        <v>29836846</v>
      </c>
      <c r="AY95">
        <v>1</v>
      </c>
      <c r="AZ95">
        <v>0</v>
      </c>
      <c r="BA95">
        <v>99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Y95*Source!I96</f>
        <v>4.46875</v>
      </c>
      <c r="CY95">
        <f t="shared" si="19"/>
        <v>2069.34</v>
      </c>
      <c r="CZ95">
        <f t="shared" si="20"/>
        <v>194.67</v>
      </c>
      <c r="DA95">
        <f t="shared" si="21"/>
        <v>10.63</v>
      </c>
      <c r="DB95">
        <f t="shared" si="17"/>
        <v>791</v>
      </c>
      <c r="DC95">
        <f t="shared" si="18"/>
        <v>41</v>
      </c>
    </row>
    <row r="96" spans="1:107" x14ac:dyDescent="0.2">
      <c r="A96">
        <f>ROW(Source!A96)</f>
        <v>96</v>
      </c>
      <c r="B96">
        <v>29836452</v>
      </c>
      <c r="C96">
        <v>29836828</v>
      </c>
      <c r="D96">
        <v>28337789</v>
      </c>
      <c r="E96">
        <v>1</v>
      </c>
      <c r="F96">
        <v>1</v>
      </c>
      <c r="G96">
        <v>1</v>
      </c>
      <c r="H96">
        <v>2</v>
      </c>
      <c r="I96" t="s">
        <v>338</v>
      </c>
      <c r="J96" t="s">
        <v>339</v>
      </c>
      <c r="K96" t="s">
        <v>340</v>
      </c>
      <c r="L96">
        <v>1368</v>
      </c>
      <c r="N96">
        <v>1011</v>
      </c>
      <c r="O96" t="s">
        <v>317</v>
      </c>
      <c r="P96" t="s">
        <v>317</v>
      </c>
      <c r="Q96">
        <v>1</v>
      </c>
      <c r="W96">
        <v>0</v>
      </c>
      <c r="X96">
        <v>-929913149</v>
      </c>
      <c r="Y96">
        <v>1.1500000000000001</v>
      </c>
      <c r="AA96">
        <v>0</v>
      </c>
      <c r="AB96">
        <v>1269.6500000000001</v>
      </c>
      <c r="AC96">
        <v>363.26</v>
      </c>
      <c r="AD96">
        <v>0</v>
      </c>
      <c r="AE96">
        <v>0</v>
      </c>
      <c r="AF96">
        <v>119.44</v>
      </c>
      <c r="AG96">
        <v>10.130000000000001</v>
      </c>
      <c r="AH96">
        <v>0</v>
      </c>
      <c r="AI96">
        <v>1</v>
      </c>
      <c r="AJ96">
        <v>10.63</v>
      </c>
      <c r="AK96">
        <v>35.86</v>
      </c>
      <c r="AL96">
        <v>1</v>
      </c>
      <c r="AN96">
        <v>0</v>
      </c>
      <c r="AO96">
        <v>1</v>
      </c>
      <c r="AP96">
        <v>1</v>
      </c>
      <c r="AQ96">
        <v>0</v>
      </c>
      <c r="AR96">
        <v>0</v>
      </c>
      <c r="AS96" t="s">
        <v>3</v>
      </c>
      <c r="AT96">
        <v>0.92</v>
      </c>
      <c r="AU96" t="s">
        <v>31</v>
      </c>
      <c r="AV96">
        <v>0</v>
      </c>
      <c r="AW96">
        <v>2</v>
      </c>
      <c r="AX96">
        <v>29836847</v>
      </c>
      <c r="AY96">
        <v>1</v>
      </c>
      <c r="AZ96">
        <v>0</v>
      </c>
      <c r="BA96">
        <v>100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Y96*Source!I96</f>
        <v>1.2650000000000003</v>
      </c>
      <c r="CY96">
        <f t="shared" si="19"/>
        <v>1269.6500000000001</v>
      </c>
      <c r="CZ96">
        <f t="shared" si="20"/>
        <v>119.44</v>
      </c>
      <c r="DA96">
        <f t="shared" si="21"/>
        <v>10.63</v>
      </c>
      <c r="DB96">
        <f t="shared" si="17"/>
        <v>137</v>
      </c>
      <c r="DC96">
        <f t="shared" si="18"/>
        <v>12</v>
      </c>
    </row>
    <row r="97" spans="1:107" x14ac:dyDescent="0.2">
      <c r="A97">
        <f>ROW(Source!A96)</f>
        <v>96</v>
      </c>
      <c r="B97">
        <v>29836452</v>
      </c>
      <c r="C97">
        <v>29836828</v>
      </c>
      <c r="D97">
        <v>28337840</v>
      </c>
      <c r="E97">
        <v>1</v>
      </c>
      <c r="F97">
        <v>1</v>
      </c>
      <c r="G97">
        <v>1</v>
      </c>
      <c r="H97">
        <v>2</v>
      </c>
      <c r="I97" t="s">
        <v>363</v>
      </c>
      <c r="J97" t="s">
        <v>364</v>
      </c>
      <c r="K97" t="s">
        <v>365</v>
      </c>
      <c r="L97">
        <v>1368</v>
      </c>
      <c r="N97">
        <v>1011</v>
      </c>
      <c r="O97" t="s">
        <v>317</v>
      </c>
      <c r="P97" t="s">
        <v>317</v>
      </c>
      <c r="Q97">
        <v>1</v>
      </c>
      <c r="W97">
        <v>0</v>
      </c>
      <c r="X97">
        <v>1171957361</v>
      </c>
      <c r="Y97">
        <v>3.7499999999999999E-2</v>
      </c>
      <c r="AA97">
        <v>0</v>
      </c>
      <c r="AB97">
        <v>922.58</v>
      </c>
      <c r="AC97">
        <v>363.26</v>
      </c>
      <c r="AD97">
        <v>0</v>
      </c>
      <c r="AE97">
        <v>0</v>
      </c>
      <c r="AF97">
        <v>86.79</v>
      </c>
      <c r="AG97">
        <v>10.130000000000001</v>
      </c>
      <c r="AH97">
        <v>0</v>
      </c>
      <c r="AI97">
        <v>1</v>
      </c>
      <c r="AJ97">
        <v>10.63</v>
      </c>
      <c r="AK97">
        <v>35.86</v>
      </c>
      <c r="AL97">
        <v>1</v>
      </c>
      <c r="AN97">
        <v>0</v>
      </c>
      <c r="AO97">
        <v>1</v>
      </c>
      <c r="AP97">
        <v>1</v>
      </c>
      <c r="AQ97">
        <v>0</v>
      </c>
      <c r="AR97">
        <v>0</v>
      </c>
      <c r="AS97" t="s">
        <v>3</v>
      </c>
      <c r="AT97">
        <v>0.03</v>
      </c>
      <c r="AU97" t="s">
        <v>31</v>
      </c>
      <c r="AV97">
        <v>0</v>
      </c>
      <c r="AW97">
        <v>2</v>
      </c>
      <c r="AX97">
        <v>29836848</v>
      </c>
      <c r="AY97">
        <v>1</v>
      </c>
      <c r="AZ97">
        <v>0</v>
      </c>
      <c r="BA97">
        <v>101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Y97*Source!I96</f>
        <v>4.1250000000000002E-2</v>
      </c>
      <c r="CY97">
        <f t="shared" si="19"/>
        <v>922.58</v>
      </c>
      <c r="CZ97">
        <f t="shared" si="20"/>
        <v>86.79</v>
      </c>
      <c r="DA97">
        <f t="shared" si="21"/>
        <v>10.63</v>
      </c>
      <c r="DB97">
        <f t="shared" si="17"/>
        <v>3</v>
      </c>
      <c r="DC97">
        <f t="shared" si="18"/>
        <v>0</v>
      </c>
    </row>
    <row r="98" spans="1:107" x14ac:dyDescent="0.2">
      <c r="A98">
        <f>ROW(Source!A96)</f>
        <v>96</v>
      </c>
      <c r="B98">
        <v>29836452</v>
      </c>
      <c r="C98">
        <v>29836828</v>
      </c>
      <c r="D98">
        <v>28338155</v>
      </c>
      <c r="E98">
        <v>1</v>
      </c>
      <c r="F98">
        <v>1</v>
      </c>
      <c r="G98">
        <v>1</v>
      </c>
      <c r="H98">
        <v>2</v>
      </c>
      <c r="I98" t="s">
        <v>400</v>
      </c>
      <c r="J98" t="s">
        <v>401</v>
      </c>
      <c r="K98" t="s">
        <v>402</v>
      </c>
      <c r="L98">
        <v>1368</v>
      </c>
      <c r="N98">
        <v>1011</v>
      </c>
      <c r="O98" t="s">
        <v>317</v>
      </c>
      <c r="P98" t="s">
        <v>317</v>
      </c>
      <c r="Q98">
        <v>1</v>
      </c>
      <c r="W98">
        <v>0</v>
      </c>
      <c r="X98">
        <v>-1956901277</v>
      </c>
      <c r="Y98">
        <v>0.23749999999999999</v>
      </c>
      <c r="AA98">
        <v>0</v>
      </c>
      <c r="AB98">
        <v>968.39</v>
      </c>
      <c r="AC98">
        <v>316.29000000000002</v>
      </c>
      <c r="AD98">
        <v>0</v>
      </c>
      <c r="AE98">
        <v>0</v>
      </c>
      <c r="AF98">
        <v>91.1</v>
      </c>
      <c r="AG98">
        <v>8.82</v>
      </c>
      <c r="AH98">
        <v>0</v>
      </c>
      <c r="AI98">
        <v>1</v>
      </c>
      <c r="AJ98">
        <v>10.63</v>
      </c>
      <c r="AK98">
        <v>35.86</v>
      </c>
      <c r="AL98">
        <v>1</v>
      </c>
      <c r="AN98">
        <v>0</v>
      </c>
      <c r="AO98">
        <v>1</v>
      </c>
      <c r="AP98">
        <v>1</v>
      </c>
      <c r="AQ98">
        <v>0</v>
      </c>
      <c r="AR98">
        <v>0</v>
      </c>
      <c r="AS98" t="s">
        <v>3</v>
      </c>
      <c r="AT98">
        <v>0.19</v>
      </c>
      <c r="AU98" t="s">
        <v>31</v>
      </c>
      <c r="AV98">
        <v>0</v>
      </c>
      <c r="AW98">
        <v>2</v>
      </c>
      <c r="AX98">
        <v>29836849</v>
      </c>
      <c r="AY98">
        <v>1</v>
      </c>
      <c r="AZ98">
        <v>0</v>
      </c>
      <c r="BA98">
        <v>102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Y98*Source!I96</f>
        <v>0.26124999999999998</v>
      </c>
      <c r="CY98">
        <f t="shared" si="19"/>
        <v>968.39</v>
      </c>
      <c r="CZ98">
        <f t="shared" si="20"/>
        <v>91.1</v>
      </c>
      <c r="DA98">
        <f t="shared" si="21"/>
        <v>10.63</v>
      </c>
      <c r="DB98">
        <f t="shared" si="17"/>
        <v>22</v>
      </c>
      <c r="DC98">
        <f t="shared" si="18"/>
        <v>2</v>
      </c>
    </row>
    <row r="99" spans="1:107" x14ac:dyDescent="0.2">
      <c r="A99">
        <f>ROW(Source!A96)</f>
        <v>96</v>
      </c>
      <c r="B99">
        <v>29836452</v>
      </c>
      <c r="C99">
        <v>29836828</v>
      </c>
      <c r="D99">
        <v>28251150</v>
      </c>
      <c r="E99">
        <v>1</v>
      </c>
      <c r="F99">
        <v>1</v>
      </c>
      <c r="G99">
        <v>1</v>
      </c>
      <c r="H99">
        <v>3</v>
      </c>
      <c r="I99" t="s">
        <v>225</v>
      </c>
      <c r="J99" t="s">
        <v>227</v>
      </c>
      <c r="K99" t="s">
        <v>226</v>
      </c>
      <c r="L99">
        <v>1348</v>
      </c>
      <c r="N99">
        <v>1009</v>
      </c>
      <c r="O99" t="s">
        <v>84</v>
      </c>
      <c r="P99" t="s">
        <v>84</v>
      </c>
      <c r="Q99">
        <v>1000</v>
      </c>
      <c r="W99">
        <v>0</v>
      </c>
      <c r="X99">
        <v>-994642722</v>
      </c>
      <c r="Y99">
        <v>0.01</v>
      </c>
      <c r="AA99">
        <v>15418.43</v>
      </c>
      <c r="AB99">
        <v>0</v>
      </c>
      <c r="AC99">
        <v>0</v>
      </c>
      <c r="AD99">
        <v>0</v>
      </c>
      <c r="AE99">
        <v>2123.75</v>
      </c>
      <c r="AF99">
        <v>0</v>
      </c>
      <c r="AG99">
        <v>0</v>
      </c>
      <c r="AH99">
        <v>0</v>
      </c>
      <c r="AI99">
        <v>7.26</v>
      </c>
      <c r="AJ99">
        <v>1</v>
      </c>
      <c r="AK99">
        <v>1</v>
      </c>
      <c r="AL99">
        <v>1</v>
      </c>
      <c r="AN99">
        <v>0</v>
      </c>
      <c r="AO99">
        <v>1</v>
      </c>
      <c r="AP99">
        <v>0</v>
      </c>
      <c r="AQ99">
        <v>0</v>
      </c>
      <c r="AR99">
        <v>0</v>
      </c>
      <c r="AS99" t="s">
        <v>3</v>
      </c>
      <c r="AT99">
        <v>0.01</v>
      </c>
      <c r="AU99" t="s">
        <v>3</v>
      </c>
      <c r="AV99">
        <v>0</v>
      </c>
      <c r="AW99">
        <v>2</v>
      </c>
      <c r="AX99">
        <v>29836850</v>
      </c>
      <c r="AY99">
        <v>1</v>
      </c>
      <c r="AZ99">
        <v>0</v>
      </c>
      <c r="BA99">
        <v>103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X99">
        <f>Y99*Source!I96</f>
        <v>1.1000000000000001E-2</v>
      </c>
      <c r="CY99">
        <f>AA99</f>
        <v>15418.43</v>
      </c>
      <c r="CZ99">
        <f>AE99</f>
        <v>2123.75</v>
      </c>
      <c r="DA99">
        <f>AI99</f>
        <v>7.26</v>
      </c>
      <c r="DB99">
        <f>ROUND(ROUND(AT99*CZ99,2),0)</f>
        <v>21</v>
      </c>
      <c r="DC99">
        <f>ROUND(ROUND(AT99*AG99,2),0)</f>
        <v>0</v>
      </c>
    </row>
    <row r="100" spans="1:107" x14ac:dyDescent="0.2">
      <c r="A100">
        <f>ROW(Source!A96)</f>
        <v>96</v>
      </c>
      <c r="B100">
        <v>29836452</v>
      </c>
      <c r="C100">
        <v>29836828</v>
      </c>
      <c r="D100">
        <v>28251227</v>
      </c>
      <c r="E100">
        <v>1</v>
      </c>
      <c r="F100">
        <v>1</v>
      </c>
      <c r="G100">
        <v>1</v>
      </c>
      <c r="H100">
        <v>3</v>
      </c>
      <c r="I100" t="s">
        <v>403</v>
      </c>
      <c r="J100" t="s">
        <v>404</v>
      </c>
      <c r="K100" t="s">
        <v>405</v>
      </c>
      <c r="L100">
        <v>1348</v>
      </c>
      <c r="N100">
        <v>1009</v>
      </c>
      <c r="O100" t="s">
        <v>84</v>
      </c>
      <c r="P100" t="s">
        <v>84</v>
      </c>
      <c r="Q100">
        <v>1000</v>
      </c>
      <c r="W100">
        <v>0</v>
      </c>
      <c r="X100">
        <v>391304092</v>
      </c>
      <c r="Y100">
        <v>7.0000000000000007E-2</v>
      </c>
      <c r="AA100">
        <v>85722.16</v>
      </c>
      <c r="AB100">
        <v>0</v>
      </c>
      <c r="AC100">
        <v>0</v>
      </c>
      <c r="AD100">
        <v>0</v>
      </c>
      <c r="AE100">
        <v>11807.46</v>
      </c>
      <c r="AF100">
        <v>0</v>
      </c>
      <c r="AG100">
        <v>0</v>
      </c>
      <c r="AH100">
        <v>0</v>
      </c>
      <c r="AI100">
        <v>7.26</v>
      </c>
      <c r="AJ100">
        <v>1</v>
      </c>
      <c r="AK100">
        <v>1</v>
      </c>
      <c r="AL100">
        <v>1</v>
      </c>
      <c r="AN100">
        <v>0</v>
      </c>
      <c r="AO100">
        <v>1</v>
      </c>
      <c r="AP100">
        <v>0</v>
      </c>
      <c r="AQ100">
        <v>0</v>
      </c>
      <c r="AR100">
        <v>0</v>
      </c>
      <c r="AS100" t="s">
        <v>3</v>
      </c>
      <c r="AT100">
        <v>7.0000000000000007E-2</v>
      </c>
      <c r="AU100" t="s">
        <v>3</v>
      </c>
      <c r="AV100">
        <v>0</v>
      </c>
      <c r="AW100">
        <v>2</v>
      </c>
      <c r="AX100">
        <v>29836851</v>
      </c>
      <c r="AY100">
        <v>1</v>
      </c>
      <c r="AZ100">
        <v>0</v>
      </c>
      <c r="BA100">
        <v>104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X100">
        <f>Y100*Source!I96</f>
        <v>7.7000000000000013E-2</v>
      </c>
      <c r="CY100">
        <f>AA100</f>
        <v>85722.16</v>
      </c>
      <c r="CZ100">
        <f>AE100</f>
        <v>11807.46</v>
      </c>
      <c r="DA100">
        <f>AI100</f>
        <v>7.26</v>
      </c>
      <c r="DB100">
        <f>ROUND(ROUND(AT100*CZ100,2),0)</f>
        <v>827</v>
      </c>
      <c r="DC100">
        <f>ROUND(ROUND(AT100*AG100,2),0)</f>
        <v>0</v>
      </c>
    </row>
    <row r="101" spans="1:107" x14ac:dyDescent="0.2">
      <c r="A101">
        <f>ROW(Source!A96)</f>
        <v>96</v>
      </c>
      <c r="B101">
        <v>29836452</v>
      </c>
      <c r="C101">
        <v>29836828</v>
      </c>
      <c r="D101">
        <v>28253181</v>
      </c>
      <c r="E101">
        <v>1</v>
      </c>
      <c r="F101">
        <v>1</v>
      </c>
      <c r="G101">
        <v>1</v>
      </c>
      <c r="H101">
        <v>3</v>
      </c>
      <c r="I101" t="s">
        <v>341</v>
      </c>
      <c r="J101" t="s">
        <v>342</v>
      </c>
      <c r="K101" t="s">
        <v>343</v>
      </c>
      <c r="L101">
        <v>1339</v>
      </c>
      <c r="N101">
        <v>1007</v>
      </c>
      <c r="O101" t="s">
        <v>56</v>
      </c>
      <c r="P101" t="s">
        <v>56</v>
      </c>
      <c r="Q101">
        <v>1</v>
      </c>
      <c r="W101">
        <v>0</v>
      </c>
      <c r="X101">
        <v>82350058</v>
      </c>
      <c r="Y101">
        <v>3.5</v>
      </c>
      <c r="AA101">
        <v>17.71</v>
      </c>
      <c r="AB101">
        <v>0</v>
      </c>
      <c r="AC101">
        <v>0</v>
      </c>
      <c r="AD101">
        <v>0</v>
      </c>
      <c r="AE101">
        <v>2.44</v>
      </c>
      <c r="AF101">
        <v>0</v>
      </c>
      <c r="AG101">
        <v>0</v>
      </c>
      <c r="AH101">
        <v>0</v>
      </c>
      <c r="AI101">
        <v>7.26</v>
      </c>
      <c r="AJ101">
        <v>1</v>
      </c>
      <c r="AK101">
        <v>1</v>
      </c>
      <c r="AL101">
        <v>1</v>
      </c>
      <c r="AN101">
        <v>0</v>
      </c>
      <c r="AO101">
        <v>1</v>
      </c>
      <c r="AP101">
        <v>0</v>
      </c>
      <c r="AQ101">
        <v>0</v>
      </c>
      <c r="AR101">
        <v>0</v>
      </c>
      <c r="AS101" t="s">
        <v>3</v>
      </c>
      <c r="AT101">
        <v>3.5</v>
      </c>
      <c r="AU101" t="s">
        <v>3</v>
      </c>
      <c r="AV101">
        <v>0</v>
      </c>
      <c r="AW101">
        <v>2</v>
      </c>
      <c r="AX101">
        <v>29836852</v>
      </c>
      <c r="AY101">
        <v>1</v>
      </c>
      <c r="AZ101">
        <v>0</v>
      </c>
      <c r="BA101">
        <v>105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CX101">
        <f>Y101*Source!I96</f>
        <v>3.8500000000000005</v>
      </c>
      <c r="CY101">
        <f>AA101</f>
        <v>17.71</v>
      </c>
      <c r="CZ101">
        <f>AE101</f>
        <v>2.44</v>
      </c>
      <c r="DA101">
        <f>AI101</f>
        <v>7.26</v>
      </c>
      <c r="DB101">
        <f>ROUND(ROUND(AT101*CZ101,2),0)</f>
        <v>9</v>
      </c>
      <c r="DC101">
        <f>ROUND(ROUND(AT101*AG101,2),0)</f>
        <v>0</v>
      </c>
    </row>
    <row r="102" spans="1:107" x14ac:dyDescent="0.2">
      <c r="A102">
        <f>ROW(Source!A97)</f>
        <v>97</v>
      </c>
      <c r="B102">
        <v>29836452</v>
      </c>
      <c r="C102">
        <v>29836855</v>
      </c>
      <c r="D102">
        <v>28421378</v>
      </c>
      <c r="E102">
        <v>1</v>
      </c>
      <c r="F102">
        <v>1</v>
      </c>
      <c r="G102">
        <v>1</v>
      </c>
      <c r="H102">
        <v>1</v>
      </c>
      <c r="I102" t="s">
        <v>372</v>
      </c>
      <c r="J102" t="s">
        <v>3</v>
      </c>
      <c r="K102" t="s">
        <v>373</v>
      </c>
      <c r="L102">
        <v>1191</v>
      </c>
      <c r="N102">
        <v>1013</v>
      </c>
      <c r="O102" t="s">
        <v>311</v>
      </c>
      <c r="P102" t="s">
        <v>311</v>
      </c>
      <c r="Q102">
        <v>1</v>
      </c>
      <c r="W102">
        <v>0</v>
      </c>
      <c r="X102">
        <v>-662100433</v>
      </c>
      <c r="Y102">
        <v>30.175999999999995</v>
      </c>
      <c r="AA102">
        <v>0</v>
      </c>
      <c r="AB102">
        <v>0</v>
      </c>
      <c r="AC102">
        <v>0</v>
      </c>
      <c r="AD102">
        <v>270.74</v>
      </c>
      <c r="AE102">
        <v>0</v>
      </c>
      <c r="AF102">
        <v>0</v>
      </c>
      <c r="AG102">
        <v>0</v>
      </c>
      <c r="AH102">
        <v>7.55</v>
      </c>
      <c r="AI102">
        <v>1</v>
      </c>
      <c r="AJ102">
        <v>1</v>
      </c>
      <c r="AK102">
        <v>1</v>
      </c>
      <c r="AL102">
        <v>35.86</v>
      </c>
      <c r="AN102">
        <v>0</v>
      </c>
      <c r="AO102">
        <v>1</v>
      </c>
      <c r="AP102">
        <v>1</v>
      </c>
      <c r="AQ102">
        <v>0</v>
      </c>
      <c r="AR102">
        <v>0</v>
      </c>
      <c r="AS102" t="s">
        <v>3</v>
      </c>
      <c r="AT102">
        <v>26.24</v>
      </c>
      <c r="AU102" t="s">
        <v>32</v>
      </c>
      <c r="AV102">
        <v>1</v>
      </c>
      <c r="AW102">
        <v>2</v>
      </c>
      <c r="AX102">
        <v>29836863</v>
      </c>
      <c r="AY102">
        <v>1</v>
      </c>
      <c r="AZ102">
        <v>0</v>
      </c>
      <c r="BA102">
        <v>108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CX102">
        <f>Y102*Source!I97</f>
        <v>90.527999999999992</v>
      </c>
      <c r="CY102">
        <f>AD102</f>
        <v>270.74</v>
      </c>
      <c r="CZ102">
        <f>AH102</f>
        <v>7.55</v>
      </c>
      <c r="DA102">
        <f>AL102</f>
        <v>35.86</v>
      </c>
      <c r="DB102">
        <f>ROUND((ROUND(AT102*CZ102,2)*ROUND(1.15,7)),0)</f>
        <v>228</v>
      </c>
      <c r="DC102">
        <f>ROUND((ROUND(AT102*AG102,2)*ROUND(1.15,7)),0)</f>
        <v>0</v>
      </c>
    </row>
    <row r="103" spans="1:107" x14ac:dyDescent="0.2">
      <c r="A103">
        <f>ROW(Source!A97)</f>
        <v>97</v>
      </c>
      <c r="B103">
        <v>29836452</v>
      </c>
      <c r="C103">
        <v>29836855</v>
      </c>
      <c r="D103">
        <v>28419515</v>
      </c>
      <c r="E103">
        <v>1</v>
      </c>
      <c r="F103">
        <v>1</v>
      </c>
      <c r="G103">
        <v>1</v>
      </c>
      <c r="H103">
        <v>1</v>
      </c>
      <c r="I103" t="s">
        <v>312</v>
      </c>
      <c r="J103" t="s">
        <v>3</v>
      </c>
      <c r="K103" t="s">
        <v>313</v>
      </c>
      <c r="L103">
        <v>1191</v>
      </c>
      <c r="N103">
        <v>1013</v>
      </c>
      <c r="O103" t="s">
        <v>311</v>
      </c>
      <c r="P103" t="s">
        <v>311</v>
      </c>
      <c r="Q103">
        <v>1</v>
      </c>
      <c r="W103">
        <v>0</v>
      </c>
      <c r="X103">
        <v>-383101862</v>
      </c>
      <c r="Y103">
        <v>3.9624999999999999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1</v>
      </c>
      <c r="AJ103">
        <v>1</v>
      </c>
      <c r="AK103">
        <v>35.86</v>
      </c>
      <c r="AL103">
        <v>1</v>
      </c>
      <c r="AN103">
        <v>0</v>
      </c>
      <c r="AO103">
        <v>1</v>
      </c>
      <c r="AP103">
        <v>1</v>
      </c>
      <c r="AQ103">
        <v>0</v>
      </c>
      <c r="AR103">
        <v>0</v>
      </c>
      <c r="AS103" t="s">
        <v>3</v>
      </c>
      <c r="AT103">
        <v>3.17</v>
      </c>
      <c r="AU103" t="s">
        <v>31</v>
      </c>
      <c r="AV103">
        <v>2</v>
      </c>
      <c r="AW103">
        <v>2</v>
      </c>
      <c r="AX103">
        <v>29836864</v>
      </c>
      <c r="AY103">
        <v>1</v>
      </c>
      <c r="AZ103">
        <v>0</v>
      </c>
      <c r="BA103">
        <v>109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CX103">
        <f>Y103*Source!I97</f>
        <v>11.887499999999999</v>
      </c>
      <c r="CY103">
        <f>AD103</f>
        <v>0</v>
      </c>
      <c r="CZ103">
        <f>AH103</f>
        <v>0</v>
      </c>
      <c r="DA103">
        <f>AL103</f>
        <v>1</v>
      </c>
      <c r="DB103">
        <f>ROUND((ROUND(AT103*CZ103,2)*ROUND(1.25,7)),0)</f>
        <v>0</v>
      </c>
      <c r="DC103">
        <f>ROUND((ROUND(AT103*AG103,2)*ROUND(1.25,7)),0)</f>
        <v>0</v>
      </c>
    </row>
    <row r="104" spans="1:107" x14ac:dyDescent="0.2">
      <c r="A104">
        <f>ROW(Source!A97)</f>
        <v>97</v>
      </c>
      <c r="B104">
        <v>29836452</v>
      </c>
      <c r="C104">
        <v>29836855</v>
      </c>
      <c r="D104">
        <v>28336884</v>
      </c>
      <c r="E104">
        <v>1</v>
      </c>
      <c r="F104">
        <v>1</v>
      </c>
      <c r="G104">
        <v>1</v>
      </c>
      <c r="H104">
        <v>2</v>
      </c>
      <c r="I104" t="s">
        <v>332</v>
      </c>
      <c r="J104" t="s">
        <v>333</v>
      </c>
      <c r="K104" t="s">
        <v>334</v>
      </c>
      <c r="L104">
        <v>1368</v>
      </c>
      <c r="N104">
        <v>1011</v>
      </c>
      <c r="O104" t="s">
        <v>317</v>
      </c>
      <c r="P104" t="s">
        <v>317</v>
      </c>
      <c r="Q104">
        <v>1</v>
      </c>
      <c r="W104">
        <v>0</v>
      </c>
      <c r="X104">
        <v>-1700234874</v>
      </c>
      <c r="Y104">
        <v>1.4375</v>
      </c>
      <c r="AA104">
        <v>0</v>
      </c>
      <c r="AB104">
        <v>996.35</v>
      </c>
      <c r="AC104">
        <v>316.29000000000002</v>
      </c>
      <c r="AD104">
        <v>0</v>
      </c>
      <c r="AE104">
        <v>0</v>
      </c>
      <c r="AF104">
        <v>93.73</v>
      </c>
      <c r="AG104">
        <v>8.82</v>
      </c>
      <c r="AH104">
        <v>0</v>
      </c>
      <c r="AI104">
        <v>1</v>
      </c>
      <c r="AJ104">
        <v>10.63</v>
      </c>
      <c r="AK104">
        <v>35.86</v>
      </c>
      <c r="AL104">
        <v>1</v>
      </c>
      <c r="AN104">
        <v>0</v>
      </c>
      <c r="AO104">
        <v>1</v>
      </c>
      <c r="AP104">
        <v>1</v>
      </c>
      <c r="AQ104">
        <v>0</v>
      </c>
      <c r="AR104">
        <v>0</v>
      </c>
      <c r="AS104" t="s">
        <v>3</v>
      </c>
      <c r="AT104">
        <v>1.1499999999999999</v>
      </c>
      <c r="AU104" t="s">
        <v>31</v>
      </c>
      <c r="AV104">
        <v>0</v>
      </c>
      <c r="AW104">
        <v>2</v>
      </c>
      <c r="AX104">
        <v>29836865</v>
      </c>
      <c r="AY104">
        <v>1</v>
      </c>
      <c r="AZ104">
        <v>0</v>
      </c>
      <c r="BA104">
        <v>110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CX104">
        <f>Y104*Source!I97</f>
        <v>4.3125</v>
      </c>
      <c r="CY104">
        <f>AB104</f>
        <v>996.35</v>
      </c>
      <c r="CZ104">
        <f>AF104</f>
        <v>93.73</v>
      </c>
      <c r="DA104">
        <f>AJ104</f>
        <v>10.63</v>
      </c>
      <c r="DB104">
        <f>ROUND((ROUND(AT104*CZ104,2)*ROUND(1.25,7)),0)</f>
        <v>135</v>
      </c>
      <c r="DC104">
        <f>ROUND((ROUND(AT104*AG104,2)*ROUND(1.25,7)),0)</f>
        <v>13</v>
      </c>
    </row>
    <row r="105" spans="1:107" x14ac:dyDescent="0.2">
      <c r="A105">
        <f>ROW(Source!A97)</f>
        <v>97</v>
      </c>
      <c r="B105">
        <v>29836452</v>
      </c>
      <c r="C105">
        <v>29836855</v>
      </c>
      <c r="D105">
        <v>28337181</v>
      </c>
      <c r="E105">
        <v>1</v>
      </c>
      <c r="F105">
        <v>1</v>
      </c>
      <c r="G105">
        <v>1</v>
      </c>
      <c r="H105">
        <v>2</v>
      </c>
      <c r="I105" t="s">
        <v>357</v>
      </c>
      <c r="J105" t="s">
        <v>358</v>
      </c>
      <c r="K105" t="s">
        <v>359</v>
      </c>
      <c r="L105">
        <v>1368</v>
      </c>
      <c r="N105">
        <v>1011</v>
      </c>
      <c r="O105" t="s">
        <v>317</v>
      </c>
      <c r="P105" t="s">
        <v>317</v>
      </c>
      <c r="Q105">
        <v>1</v>
      </c>
      <c r="W105">
        <v>0</v>
      </c>
      <c r="X105">
        <v>1123770785</v>
      </c>
      <c r="Y105">
        <v>1.85</v>
      </c>
      <c r="AA105">
        <v>0</v>
      </c>
      <c r="AB105">
        <v>802.67</v>
      </c>
      <c r="AC105">
        <v>363.26</v>
      </c>
      <c r="AD105">
        <v>0</v>
      </c>
      <c r="AE105">
        <v>0</v>
      </c>
      <c r="AF105">
        <v>75.510000000000005</v>
      </c>
      <c r="AG105">
        <v>10.130000000000001</v>
      </c>
      <c r="AH105">
        <v>0</v>
      </c>
      <c r="AI105">
        <v>1</v>
      </c>
      <c r="AJ105">
        <v>10.63</v>
      </c>
      <c r="AK105">
        <v>35.86</v>
      </c>
      <c r="AL105">
        <v>1</v>
      </c>
      <c r="AN105">
        <v>0</v>
      </c>
      <c r="AO105">
        <v>1</v>
      </c>
      <c r="AP105">
        <v>1</v>
      </c>
      <c r="AQ105">
        <v>0</v>
      </c>
      <c r="AR105">
        <v>0</v>
      </c>
      <c r="AS105" t="s">
        <v>3</v>
      </c>
      <c r="AT105">
        <v>1.48</v>
      </c>
      <c r="AU105" t="s">
        <v>31</v>
      </c>
      <c r="AV105">
        <v>0</v>
      </c>
      <c r="AW105">
        <v>2</v>
      </c>
      <c r="AX105">
        <v>29836866</v>
      </c>
      <c r="AY105">
        <v>1</v>
      </c>
      <c r="AZ105">
        <v>0</v>
      </c>
      <c r="BA105">
        <v>111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CX105">
        <f>Y105*Source!I97</f>
        <v>5.5500000000000007</v>
      </c>
      <c r="CY105">
        <f>AB105</f>
        <v>802.67</v>
      </c>
      <c r="CZ105">
        <f>AF105</f>
        <v>75.510000000000005</v>
      </c>
      <c r="DA105">
        <f>AJ105</f>
        <v>10.63</v>
      </c>
      <c r="DB105">
        <f>ROUND((ROUND(AT105*CZ105,2)*ROUND(1.25,7)),0)</f>
        <v>140</v>
      </c>
      <c r="DC105">
        <f>ROUND((ROUND(AT105*AG105,2)*ROUND(1.25,7)),0)</f>
        <v>19</v>
      </c>
    </row>
    <row r="106" spans="1:107" x14ac:dyDescent="0.2">
      <c r="A106">
        <f>ROW(Source!A97)</f>
        <v>97</v>
      </c>
      <c r="B106">
        <v>29836452</v>
      </c>
      <c r="C106">
        <v>29836855</v>
      </c>
      <c r="D106">
        <v>28337789</v>
      </c>
      <c r="E106">
        <v>1</v>
      </c>
      <c r="F106">
        <v>1</v>
      </c>
      <c r="G106">
        <v>1</v>
      </c>
      <c r="H106">
        <v>2</v>
      </c>
      <c r="I106" t="s">
        <v>338</v>
      </c>
      <c r="J106" t="s">
        <v>339</v>
      </c>
      <c r="K106" t="s">
        <v>340</v>
      </c>
      <c r="L106">
        <v>1368</v>
      </c>
      <c r="N106">
        <v>1011</v>
      </c>
      <c r="O106" t="s">
        <v>317</v>
      </c>
      <c r="P106" t="s">
        <v>317</v>
      </c>
      <c r="Q106">
        <v>1</v>
      </c>
      <c r="W106">
        <v>0</v>
      </c>
      <c r="X106">
        <v>-929913149</v>
      </c>
      <c r="Y106">
        <v>0.67500000000000004</v>
      </c>
      <c r="AA106">
        <v>0</v>
      </c>
      <c r="AB106">
        <v>1269.6500000000001</v>
      </c>
      <c r="AC106">
        <v>363.26</v>
      </c>
      <c r="AD106">
        <v>0</v>
      </c>
      <c r="AE106">
        <v>0</v>
      </c>
      <c r="AF106">
        <v>119.44</v>
      </c>
      <c r="AG106">
        <v>10.130000000000001</v>
      </c>
      <c r="AH106">
        <v>0</v>
      </c>
      <c r="AI106">
        <v>1</v>
      </c>
      <c r="AJ106">
        <v>10.63</v>
      </c>
      <c r="AK106">
        <v>35.86</v>
      </c>
      <c r="AL106">
        <v>1</v>
      </c>
      <c r="AN106">
        <v>0</v>
      </c>
      <c r="AO106">
        <v>1</v>
      </c>
      <c r="AP106">
        <v>1</v>
      </c>
      <c r="AQ106">
        <v>0</v>
      </c>
      <c r="AR106">
        <v>0</v>
      </c>
      <c r="AS106" t="s">
        <v>3</v>
      </c>
      <c r="AT106">
        <v>0.54</v>
      </c>
      <c r="AU106" t="s">
        <v>31</v>
      </c>
      <c r="AV106">
        <v>0</v>
      </c>
      <c r="AW106">
        <v>2</v>
      </c>
      <c r="AX106">
        <v>29836867</v>
      </c>
      <c r="AY106">
        <v>1</v>
      </c>
      <c r="AZ106">
        <v>0</v>
      </c>
      <c r="BA106">
        <v>112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CX106">
        <f>Y106*Source!I97</f>
        <v>2.0250000000000004</v>
      </c>
      <c r="CY106">
        <f>AB106</f>
        <v>1269.6500000000001</v>
      </c>
      <c r="CZ106">
        <f>AF106</f>
        <v>119.44</v>
      </c>
      <c r="DA106">
        <f>AJ106</f>
        <v>10.63</v>
      </c>
      <c r="DB106">
        <f>ROUND((ROUND(AT106*CZ106,2)*ROUND(1.25,7)),0)</f>
        <v>81</v>
      </c>
      <c r="DC106">
        <f>ROUND((ROUND(AT106*AG106,2)*ROUND(1.25,7)),0)</f>
        <v>7</v>
      </c>
    </row>
    <row r="107" spans="1:107" x14ac:dyDescent="0.2">
      <c r="A107">
        <f>ROW(Source!A97)</f>
        <v>97</v>
      </c>
      <c r="B107">
        <v>29836452</v>
      </c>
      <c r="C107">
        <v>29836855</v>
      </c>
      <c r="D107">
        <v>28253181</v>
      </c>
      <c r="E107">
        <v>1</v>
      </c>
      <c r="F107">
        <v>1</v>
      </c>
      <c r="G107">
        <v>1</v>
      </c>
      <c r="H107">
        <v>3</v>
      </c>
      <c r="I107" t="s">
        <v>341</v>
      </c>
      <c r="J107" t="s">
        <v>342</v>
      </c>
      <c r="K107" t="s">
        <v>343</v>
      </c>
      <c r="L107">
        <v>1339</v>
      </c>
      <c r="N107">
        <v>1007</v>
      </c>
      <c r="O107" t="s">
        <v>56</v>
      </c>
      <c r="P107" t="s">
        <v>56</v>
      </c>
      <c r="Q107">
        <v>1</v>
      </c>
      <c r="W107">
        <v>0</v>
      </c>
      <c r="X107">
        <v>82350058</v>
      </c>
      <c r="Y107">
        <v>2</v>
      </c>
      <c r="AA107">
        <v>17.71</v>
      </c>
      <c r="AB107">
        <v>0</v>
      </c>
      <c r="AC107">
        <v>0</v>
      </c>
      <c r="AD107">
        <v>0</v>
      </c>
      <c r="AE107">
        <v>2.44</v>
      </c>
      <c r="AF107">
        <v>0</v>
      </c>
      <c r="AG107">
        <v>0</v>
      </c>
      <c r="AH107">
        <v>0</v>
      </c>
      <c r="AI107">
        <v>7.26</v>
      </c>
      <c r="AJ107">
        <v>1</v>
      </c>
      <c r="AK107">
        <v>1</v>
      </c>
      <c r="AL107">
        <v>1</v>
      </c>
      <c r="AN107">
        <v>0</v>
      </c>
      <c r="AO107">
        <v>1</v>
      </c>
      <c r="AP107">
        <v>0</v>
      </c>
      <c r="AQ107">
        <v>0</v>
      </c>
      <c r="AR107">
        <v>0</v>
      </c>
      <c r="AS107" t="s">
        <v>3</v>
      </c>
      <c r="AT107">
        <v>2</v>
      </c>
      <c r="AU107" t="s">
        <v>3</v>
      </c>
      <c r="AV107">
        <v>0</v>
      </c>
      <c r="AW107">
        <v>2</v>
      </c>
      <c r="AX107">
        <v>29836868</v>
      </c>
      <c r="AY107">
        <v>1</v>
      </c>
      <c r="AZ107">
        <v>0</v>
      </c>
      <c r="BA107">
        <v>113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CX107">
        <f>Y107*Source!I97</f>
        <v>6</v>
      </c>
      <c r="CY107">
        <f>AA107</f>
        <v>17.71</v>
      </c>
      <c r="CZ107">
        <f>AE107</f>
        <v>2.44</v>
      </c>
      <c r="DA107">
        <f>AI107</f>
        <v>7.26</v>
      </c>
      <c r="DB107">
        <f>ROUND(ROUND(AT107*CZ107,2),0)</f>
        <v>5</v>
      </c>
      <c r="DC107">
        <f>ROUND(ROUND(AT107*AG107,2),0)</f>
        <v>0</v>
      </c>
    </row>
    <row r="108" spans="1:107" x14ac:dyDescent="0.2">
      <c r="A108">
        <f>ROW(Source!A97)</f>
        <v>97</v>
      </c>
      <c r="B108">
        <v>29836452</v>
      </c>
      <c r="C108">
        <v>29836855</v>
      </c>
      <c r="D108">
        <v>28248815</v>
      </c>
      <c r="E108">
        <v>21</v>
      </c>
      <c r="F108">
        <v>1</v>
      </c>
      <c r="G108">
        <v>1</v>
      </c>
      <c r="H108">
        <v>3</v>
      </c>
      <c r="I108" t="s">
        <v>211</v>
      </c>
      <c r="J108" t="s">
        <v>3</v>
      </c>
      <c r="K108" t="s">
        <v>212</v>
      </c>
      <c r="L108">
        <v>1339</v>
      </c>
      <c r="N108">
        <v>1007</v>
      </c>
      <c r="O108" t="s">
        <v>56</v>
      </c>
      <c r="P108" t="s">
        <v>56</v>
      </c>
      <c r="Q108">
        <v>1</v>
      </c>
      <c r="W108">
        <v>0</v>
      </c>
      <c r="X108">
        <v>1737021368</v>
      </c>
      <c r="Y108">
        <v>17.399999999999999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7.26</v>
      </c>
      <c r="AJ108">
        <v>1</v>
      </c>
      <c r="AK108">
        <v>1</v>
      </c>
      <c r="AL108">
        <v>1</v>
      </c>
      <c r="AN108">
        <v>0</v>
      </c>
      <c r="AO108">
        <v>0</v>
      </c>
      <c r="AP108">
        <v>0</v>
      </c>
      <c r="AQ108">
        <v>0</v>
      </c>
      <c r="AR108">
        <v>0</v>
      </c>
      <c r="AS108" t="s">
        <v>3</v>
      </c>
      <c r="AT108">
        <v>17.399999999999999</v>
      </c>
      <c r="AU108" t="s">
        <v>3</v>
      </c>
      <c r="AV108">
        <v>0</v>
      </c>
      <c r="AW108">
        <v>2</v>
      </c>
      <c r="AX108">
        <v>29836869</v>
      </c>
      <c r="AY108">
        <v>1</v>
      </c>
      <c r="AZ108">
        <v>0</v>
      </c>
      <c r="BA108">
        <v>114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CX108">
        <f>Y108*Source!I97</f>
        <v>52.199999999999996</v>
      </c>
      <c r="CY108">
        <f>AA108</f>
        <v>0</v>
      </c>
      <c r="CZ108">
        <f>AE108</f>
        <v>0</v>
      </c>
      <c r="DA108">
        <f>AI108</f>
        <v>7.26</v>
      </c>
      <c r="DB108">
        <f>ROUND(ROUND(AT108*CZ108,2),0)</f>
        <v>0</v>
      </c>
      <c r="DC108">
        <f>ROUND(ROUND(AT108*AG108,2),0)</f>
        <v>0</v>
      </c>
    </row>
    <row r="109" spans="1:107" x14ac:dyDescent="0.2">
      <c r="A109">
        <f>ROW(Source!A99)</f>
        <v>99</v>
      </c>
      <c r="B109">
        <v>29836452</v>
      </c>
      <c r="C109">
        <v>29836871</v>
      </c>
      <c r="D109">
        <v>28421378</v>
      </c>
      <c r="E109">
        <v>1</v>
      </c>
      <c r="F109">
        <v>1</v>
      </c>
      <c r="G109">
        <v>1</v>
      </c>
      <c r="H109">
        <v>1</v>
      </c>
      <c r="I109" t="s">
        <v>372</v>
      </c>
      <c r="J109" t="s">
        <v>3</v>
      </c>
      <c r="K109" t="s">
        <v>373</v>
      </c>
      <c r="L109">
        <v>1191</v>
      </c>
      <c r="N109">
        <v>1013</v>
      </c>
      <c r="O109" t="s">
        <v>311</v>
      </c>
      <c r="P109" t="s">
        <v>311</v>
      </c>
      <c r="Q109">
        <v>1</v>
      </c>
      <c r="W109">
        <v>0</v>
      </c>
      <c r="X109">
        <v>-662100433</v>
      </c>
      <c r="Y109">
        <v>0.621</v>
      </c>
      <c r="AA109">
        <v>0</v>
      </c>
      <c r="AB109">
        <v>0</v>
      </c>
      <c r="AC109">
        <v>0</v>
      </c>
      <c r="AD109">
        <v>270.74</v>
      </c>
      <c r="AE109">
        <v>0</v>
      </c>
      <c r="AF109">
        <v>0</v>
      </c>
      <c r="AG109">
        <v>0</v>
      </c>
      <c r="AH109">
        <v>7.55</v>
      </c>
      <c r="AI109">
        <v>1</v>
      </c>
      <c r="AJ109">
        <v>1</v>
      </c>
      <c r="AK109">
        <v>1</v>
      </c>
      <c r="AL109">
        <v>35.86</v>
      </c>
      <c r="AN109">
        <v>0</v>
      </c>
      <c r="AO109">
        <v>1</v>
      </c>
      <c r="AP109">
        <v>1</v>
      </c>
      <c r="AQ109">
        <v>0</v>
      </c>
      <c r="AR109">
        <v>0</v>
      </c>
      <c r="AS109" t="s">
        <v>3</v>
      </c>
      <c r="AT109">
        <v>0.54</v>
      </c>
      <c r="AU109" t="s">
        <v>32</v>
      </c>
      <c r="AV109">
        <v>1</v>
      </c>
      <c r="AW109">
        <v>2</v>
      </c>
      <c r="AX109">
        <v>29836876</v>
      </c>
      <c r="AY109">
        <v>1</v>
      </c>
      <c r="AZ109">
        <v>0</v>
      </c>
      <c r="BA109">
        <v>115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CX109">
        <f>Y109*Source!I99</f>
        <v>1.863</v>
      </c>
      <c r="CY109">
        <f>AD109</f>
        <v>270.74</v>
      </c>
      <c r="CZ109">
        <f>AH109</f>
        <v>7.55</v>
      </c>
      <c r="DA109">
        <f>AL109</f>
        <v>35.86</v>
      </c>
      <c r="DB109">
        <f>ROUND((ROUND(AT109*CZ109,2)*ROUND(1.15,7)),0)</f>
        <v>5</v>
      </c>
      <c r="DC109">
        <f>ROUND((ROUND(AT109*AG109,2)*ROUND(1.15,7)),0)</f>
        <v>0</v>
      </c>
    </row>
    <row r="110" spans="1:107" x14ac:dyDescent="0.2">
      <c r="A110">
        <f>ROW(Source!A99)</f>
        <v>99</v>
      </c>
      <c r="B110">
        <v>29836452</v>
      </c>
      <c r="C110">
        <v>29836871</v>
      </c>
      <c r="D110">
        <v>28419515</v>
      </c>
      <c r="E110">
        <v>1</v>
      </c>
      <c r="F110">
        <v>1</v>
      </c>
      <c r="G110">
        <v>1</v>
      </c>
      <c r="H110">
        <v>1</v>
      </c>
      <c r="I110" t="s">
        <v>312</v>
      </c>
      <c r="J110" t="s">
        <v>3</v>
      </c>
      <c r="K110" t="s">
        <v>313</v>
      </c>
      <c r="L110">
        <v>1191</v>
      </c>
      <c r="N110">
        <v>1013</v>
      </c>
      <c r="O110" t="s">
        <v>311</v>
      </c>
      <c r="P110" t="s">
        <v>311</v>
      </c>
      <c r="Q110">
        <v>1</v>
      </c>
      <c r="W110">
        <v>0</v>
      </c>
      <c r="X110">
        <v>-383101862</v>
      </c>
      <c r="Y110">
        <v>0.1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1</v>
      </c>
      <c r="AJ110">
        <v>1</v>
      </c>
      <c r="AK110">
        <v>35.86</v>
      </c>
      <c r="AL110">
        <v>1</v>
      </c>
      <c r="AN110">
        <v>0</v>
      </c>
      <c r="AO110">
        <v>1</v>
      </c>
      <c r="AP110">
        <v>0</v>
      </c>
      <c r="AQ110">
        <v>0</v>
      </c>
      <c r="AR110">
        <v>0</v>
      </c>
      <c r="AS110" t="s">
        <v>3</v>
      </c>
      <c r="AT110">
        <v>0.1</v>
      </c>
      <c r="AU110" t="s">
        <v>3</v>
      </c>
      <c r="AV110">
        <v>2</v>
      </c>
      <c r="AW110">
        <v>2</v>
      </c>
      <c r="AX110">
        <v>29836877</v>
      </c>
      <c r="AY110">
        <v>1</v>
      </c>
      <c r="AZ110">
        <v>2048</v>
      </c>
      <c r="BA110">
        <v>116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CX110">
        <f>Y110*Source!I99</f>
        <v>0.30000000000000004</v>
      </c>
      <c r="CY110">
        <f>AD110</f>
        <v>0</v>
      </c>
      <c r="CZ110">
        <f>AH110</f>
        <v>0</v>
      </c>
      <c r="DA110">
        <f>AL110</f>
        <v>1</v>
      </c>
      <c r="DB110">
        <f>ROUND(ROUND(AT110*CZ110,2),0)</f>
        <v>0</v>
      </c>
      <c r="DC110">
        <f>ROUND(ROUND(AT110*AG110,2),0)</f>
        <v>0</v>
      </c>
    </row>
    <row r="111" spans="1:107" x14ac:dyDescent="0.2">
      <c r="A111">
        <f>ROW(Source!A99)</f>
        <v>99</v>
      </c>
      <c r="B111">
        <v>29836452</v>
      </c>
      <c r="C111">
        <v>29836871</v>
      </c>
      <c r="D111">
        <v>28336884</v>
      </c>
      <c r="E111">
        <v>1</v>
      </c>
      <c r="F111">
        <v>1</v>
      </c>
      <c r="G111">
        <v>1</v>
      </c>
      <c r="H111">
        <v>2</v>
      </c>
      <c r="I111" t="s">
        <v>332</v>
      </c>
      <c r="J111" t="s">
        <v>333</v>
      </c>
      <c r="K111" t="s">
        <v>334</v>
      </c>
      <c r="L111">
        <v>1368</v>
      </c>
      <c r="N111">
        <v>1011</v>
      </c>
      <c r="O111" t="s">
        <v>317</v>
      </c>
      <c r="P111" t="s">
        <v>317</v>
      </c>
      <c r="Q111">
        <v>1</v>
      </c>
      <c r="W111">
        <v>0</v>
      </c>
      <c r="X111">
        <v>-1700234874</v>
      </c>
      <c r="Y111">
        <v>0.125</v>
      </c>
      <c r="AA111">
        <v>0</v>
      </c>
      <c r="AB111">
        <v>996.35</v>
      </c>
      <c r="AC111">
        <v>316.29000000000002</v>
      </c>
      <c r="AD111">
        <v>0</v>
      </c>
      <c r="AE111">
        <v>0</v>
      </c>
      <c r="AF111">
        <v>93.73</v>
      </c>
      <c r="AG111">
        <v>8.82</v>
      </c>
      <c r="AH111">
        <v>0</v>
      </c>
      <c r="AI111">
        <v>1</v>
      </c>
      <c r="AJ111">
        <v>10.63</v>
      </c>
      <c r="AK111">
        <v>35.86</v>
      </c>
      <c r="AL111">
        <v>1</v>
      </c>
      <c r="AN111">
        <v>0</v>
      </c>
      <c r="AO111">
        <v>1</v>
      </c>
      <c r="AP111">
        <v>1</v>
      </c>
      <c r="AQ111">
        <v>0</v>
      </c>
      <c r="AR111">
        <v>0</v>
      </c>
      <c r="AS111" t="s">
        <v>3</v>
      </c>
      <c r="AT111">
        <v>0.1</v>
      </c>
      <c r="AU111" t="s">
        <v>31</v>
      </c>
      <c r="AV111">
        <v>0</v>
      </c>
      <c r="AW111">
        <v>2</v>
      </c>
      <c r="AX111">
        <v>29836878</v>
      </c>
      <c r="AY111">
        <v>1</v>
      </c>
      <c r="AZ111">
        <v>0</v>
      </c>
      <c r="BA111">
        <v>117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CX111">
        <f>Y111*Source!I99</f>
        <v>0.375</v>
      </c>
      <c r="CY111">
        <f>AB111</f>
        <v>996.35</v>
      </c>
      <c r="CZ111">
        <f>AF111</f>
        <v>93.73</v>
      </c>
      <c r="DA111">
        <f>AJ111</f>
        <v>10.63</v>
      </c>
      <c r="DB111">
        <f>ROUND((ROUND(AT111*CZ111,2)*ROUND(1.25,7)),0)</f>
        <v>12</v>
      </c>
      <c r="DC111">
        <f>ROUND((ROUND(AT111*AG111,2)*ROUND(1.25,7)),0)</f>
        <v>1</v>
      </c>
    </row>
    <row r="112" spans="1:107" x14ac:dyDescent="0.2">
      <c r="A112">
        <f>ROW(Source!A99)</f>
        <v>99</v>
      </c>
      <c r="B112">
        <v>29836452</v>
      </c>
      <c r="C112">
        <v>29836871</v>
      </c>
      <c r="D112">
        <v>28248815</v>
      </c>
      <c r="E112">
        <v>21</v>
      </c>
      <c r="F112">
        <v>1</v>
      </c>
      <c r="G112">
        <v>1</v>
      </c>
      <c r="H112">
        <v>3</v>
      </c>
      <c r="I112" t="s">
        <v>211</v>
      </c>
      <c r="J112" t="s">
        <v>3</v>
      </c>
      <c r="K112" t="s">
        <v>212</v>
      </c>
      <c r="L112">
        <v>1339</v>
      </c>
      <c r="N112">
        <v>1007</v>
      </c>
      <c r="O112" t="s">
        <v>56</v>
      </c>
      <c r="P112" t="s">
        <v>56</v>
      </c>
      <c r="Q112">
        <v>1</v>
      </c>
      <c r="W112">
        <v>0</v>
      </c>
      <c r="X112">
        <v>1737021368</v>
      </c>
      <c r="Y112">
        <v>1.5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7.26</v>
      </c>
      <c r="AJ112">
        <v>1</v>
      </c>
      <c r="AK112">
        <v>1</v>
      </c>
      <c r="AL112">
        <v>1</v>
      </c>
      <c r="AN112">
        <v>0</v>
      </c>
      <c r="AO112">
        <v>0</v>
      </c>
      <c r="AP112">
        <v>0</v>
      </c>
      <c r="AQ112">
        <v>0</v>
      </c>
      <c r="AR112">
        <v>0</v>
      </c>
      <c r="AS112" t="s">
        <v>3</v>
      </c>
      <c r="AT112">
        <v>1.5</v>
      </c>
      <c r="AU112" t="s">
        <v>3</v>
      </c>
      <c r="AV112">
        <v>0</v>
      </c>
      <c r="AW112">
        <v>2</v>
      </c>
      <c r="AX112">
        <v>29836879</v>
      </c>
      <c r="AY112">
        <v>1</v>
      </c>
      <c r="AZ112">
        <v>0</v>
      </c>
      <c r="BA112">
        <v>118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CX112">
        <f>Y112*Source!I99</f>
        <v>4.5</v>
      </c>
      <c r="CY112">
        <f>AA112</f>
        <v>0</v>
      </c>
      <c r="CZ112">
        <f>AE112</f>
        <v>0</v>
      </c>
      <c r="DA112">
        <f>AI112</f>
        <v>7.26</v>
      </c>
      <c r="DB112">
        <f>ROUND(ROUND(AT112*CZ112,2),0)</f>
        <v>0</v>
      </c>
      <c r="DC112">
        <f>ROUND(ROUND(AT112*AG112,2),0)</f>
        <v>0</v>
      </c>
    </row>
    <row r="113" spans="1:107" x14ac:dyDescent="0.2">
      <c r="A113">
        <f>ROW(Source!A102)</f>
        <v>102</v>
      </c>
      <c r="B113">
        <v>29836452</v>
      </c>
      <c r="C113">
        <v>29836882</v>
      </c>
      <c r="D113">
        <v>28424803</v>
      </c>
      <c r="E113">
        <v>1</v>
      </c>
      <c r="F113">
        <v>1</v>
      </c>
      <c r="G113">
        <v>1</v>
      </c>
      <c r="H113">
        <v>1</v>
      </c>
      <c r="I113" t="s">
        <v>406</v>
      </c>
      <c r="J113" t="s">
        <v>3</v>
      </c>
      <c r="K113" t="s">
        <v>407</v>
      </c>
      <c r="L113">
        <v>1191</v>
      </c>
      <c r="N113">
        <v>1013</v>
      </c>
      <c r="O113" t="s">
        <v>311</v>
      </c>
      <c r="P113" t="s">
        <v>311</v>
      </c>
      <c r="Q113">
        <v>1</v>
      </c>
      <c r="W113">
        <v>0</v>
      </c>
      <c r="X113">
        <v>2010026284</v>
      </c>
      <c r="Y113">
        <v>17.387999999999998</v>
      </c>
      <c r="AA113">
        <v>0</v>
      </c>
      <c r="AB113">
        <v>0</v>
      </c>
      <c r="AC113">
        <v>0</v>
      </c>
      <c r="AD113">
        <v>297.27999999999997</v>
      </c>
      <c r="AE113">
        <v>0</v>
      </c>
      <c r="AF113">
        <v>0</v>
      </c>
      <c r="AG113">
        <v>0</v>
      </c>
      <c r="AH113">
        <v>8.2899999999999991</v>
      </c>
      <c r="AI113">
        <v>1</v>
      </c>
      <c r="AJ113">
        <v>1</v>
      </c>
      <c r="AK113">
        <v>1</v>
      </c>
      <c r="AL113">
        <v>35.86</v>
      </c>
      <c r="AN113">
        <v>0</v>
      </c>
      <c r="AO113">
        <v>1</v>
      </c>
      <c r="AP113">
        <v>1</v>
      </c>
      <c r="AQ113">
        <v>0</v>
      </c>
      <c r="AR113">
        <v>0</v>
      </c>
      <c r="AS113" t="s">
        <v>3</v>
      </c>
      <c r="AT113">
        <v>15.12</v>
      </c>
      <c r="AU113" t="s">
        <v>32</v>
      </c>
      <c r="AV113">
        <v>1</v>
      </c>
      <c r="AW113">
        <v>2</v>
      </c>
      <c r="AX113">
        <v>29836890</v>
      </c>
      <c r="AY113">
        <v>1</v>
      </c>
      <c r="AZ113">
        <v>0</v>
      </c>
      <c r="BA113">
        <v>119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CX113">
        <f>Y113*Source!I102</f>
        <v>52.163999999999994</v>
      </c>
      <c r="CY113">
        <f>AD113</f>
        <v>297.27999999999997</v>
      </c>
      <c r="CZ113">
        <f>AH113</f>
        <v>8.2899999999999991</v>
      </c>
      <c r="DA113">
        <f>AL113</f>
        <v>35.86</v>
      </c>
      <c r="DB113">
        <f>ROUND((ROUND(AT113*CZ113,2)*ROUND(1.15,7)),0)</f>
        <v>144</v>
      </c>
      <c r="DC113">
        <f>ROUND((ROUND(AT113*AG113,2)*ROUND(1.15,7)),0)</f>
        <v>0</v>
      </c>
    </row>
    <row r="114" spans="1:107" x14ac:dyDescent="0.2">
      <c r="A114">
        <f>ROW(Source!A102)</f>
        <v>102</v>
      </c>
      <c r="B114">
        <v>29836452</v>
      </c>
      <c r="C114">
        <v>29836882</v>
      </c>
      <c r="D114">
        <v>28419515</v>
      </c>
      <c r="E114">
        <v>1</v>
      </c>
      <c r="F114">
        <v>1</v>
      </c>
      <c r="G114">
        <v>1</v>
      </c>
      <c r="H114">
        <v>1</v>
      </c>
      <c r="I114" t="s">
        <v>312</v>
      </c>
      <c r="J114" t="s">
        <v>3</v>
      </c>
      <c r="K114" t="s">
        <v>313</v>
      </c>
      <c r="L114">
        <v>1191</v>
      </c>
      <c r="N114">
        <v>1013</v>
      </c>
      <c r="O114" t="s">
        <v>311</v>
      </c>
      <c r="P114" t="s">
        <v>311</v>
      </c>
      <c r="Q114">
        <v>1</v>
      </c>
      <c r="W114">
        <v>0</v>
      </c>
      <c r="X114">
        <v>-383101862</v>
      </c>
      <c r="Y114">
        <v>7.0000000000000007E-2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1</v>
      </c>
      <c r="AJ114">
        <v>1</v>
      </c>
      <c r="AK114">
        <v>35.86</v>
      </c>
      <c r="AL114">
        <v>1</v>
      </c>
      <c r="AN114">
        <v>0</v>
      </c>
      <c r="AO114">
        <v>1</v>
      </c>
      <c r="AP114">
        <v>0</v>
      </c>
      <c r="AQ114">
        <v>0</v>
      </c>
      <c r="AR114">
        <v>0</v>
      </c>
      <c r="AS114" t="s">
        <v>3</v>
      </c>
      <c r="AT114">
        <v>7.0000000000000007E-2</v>
      </c>
      <c r="AU114" t="s">
        <v>3</v>
      </c>
      <c r="AV114">
        <v>2</v>
      </c>
      <c r="AW114">
        <v>2</v>
      </c>
      <c r="AX114">
        <v>29836891</v>
      </c>
      <c r="AY114">
        <v>1</v>
      </c>
      <c r="AZ114">
        <v>2048</v>
      </c>
      <c r="BA114">
        <v>120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CX114">
        <f>Y114*Source!I102</f>
        <v>0.21000000000000002</v>
      </c>
      <c r="CY114">
        <f>AD114</f>
        <v>0</v>
      </c>
      <c r="CZ114">
        <f>AH114</f>
        <v>0</v>
      </c>
      <c r="DA114">
        <f>AL114</f>
        <v>1</v>
      </c>
      <c r="DB114">
        <f>ROUND(ROUND(AT114*CZ114,2),0)</f>
        <v>0</v>
      </c>
      <c r="DC114">
        <f>ROUND(ROUND(AT114*AG114,2),0)</f>
        <v>0</v>
      </c>
    </row>
    <row r="115" spans="1:107" x14ac:dyDescent="0.2">
      <c r="A115">
        <f>ROW(Source!A102)</f>
        <v>102</v>
      </c>
      <c r="B115">
        <v>29836452</v>
      </c>
      <c r="C115">
        <v>29836882</v>
      </c>
      <c r="D115">
        <v>28336675</v>
      </c>
      <c r="E115">
        <v>1</v>
      </c>
      <c r="F115">
        <v>1</v>
      </c>
      <c r="G115">
        <v>1</v>
      </c>
      <c r="H115">
        <v>2</v>
      </c>
      <c r="I115" t="s">
        <v>348</v>
      </c>
      <c r="J115" t="s">
        <v>349</v>
      </c>
      <c r="K115" t="s">
        <v>350</v>
      </c>
      <c r="L115">
        <v>1368</v>
      </c>
      <c r="N115">
        <v>1011</v>
      </c>
      <c r="O115" t="s">
        <v>317</v>
      </c>
      <c r="P115" t="s">
        <v>317</v>
      </c>
      <c r="Q115">
        <v>1</v>
      </c>
      <c r="W115">
        <v>0</v>
      </c>
      <c r="X115">
        <v>903590057</v>
      </c>
      <c r="Y115">
        <v>2.5000000000000001E-2</v>
      </c>
      <c r="AA115">
        <v>0</v>
      </c>
      <c r="AB115">
        <v>1198.75</v>
      </c>
      <c r="AC115">
        <v>424.58</v>
      </c>
      <c r="AD115">
        <v>0</v>
      </c>
      <c r="AE115">
        <v>0</v>
      </c>
      <c r="AF115">
        <v>112.77</v>
      </c>
      <c r="AG115">
        <v>11.84</v>
      </c>
      <c r="AH115">
        <v>0</v>
      </c>
      <c r="AI115">
        <v>1</v>
      </c>
      <c r="AJ115">
        <v>10.63</v>
      </c>
      <c r="AK115">
        <v>35.86</v>
      </c>
      <c r="AL115">
        <v>1</v>
      </c>
      <c r="AN115">
        <v>0</v>
      </c>
      <c r="AO115">
        <v>1</v>
      </c>
      <c r="AP115">
        <v>1</v>
      </c>
      <c r="AQ115">
        <v>0</v>
      </c>
      <c r="AR115">
        <v>0</v>
      </c>
      <c r="AS115" t="s">
        <v>3</v>
      </c>
      <c r="AT115">
        <v>0.02</v>
      </c>
      <c r="AU115" t="s">
        <v>31</v>
      </c>
      <c r="AV115">
        <v>0</v>
      </c>
      <c r="AW115">
        <v>2</v>
      </c>
      <c r="AX115">
        <v>29836892</v>
      </c>
      <c r="AY115">
        <v>1</v>
      </c>
      <c r="AZ115">
        <v>0</v>
      </c>
      <c r="BA115">
        <v>121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CX115">
        <f>Y115*Source!I102</f>
        <v>7.5000000000000011E-2</v>
      </c>
      <c r="CY115">
        <f>AB115</f>
        <v>1198.75</v>
      </c>
      <c r="CZ115">
        <f>AF115</f>
        <v>112.77</v>
      </c>
      <c r="DA115">
        <f>AJ115</f>
        <v>10.63</v>
      </c>
      <c r="DB115">
        <f>ROUND((ROUND(AT115*CZ115,2)*ROUND(1.25,7)),0)</f>
        <v>3</v>
      </c>
      <c r="DC115">
        <f>ROUND((ROUND(AT115*AG115,2)*ROUND(1.25,7)),0)</f>
        <v>0</v>
      </c>
    </row>
    <row r="116" spans="1:107" x14ac:dyDescent="0.2">
      <c r="A116">
        <f>ROW(Source!A102)</f>
        <v>102</v>
      </c>
      <c r="B116">
        <v>29836452</v>
      </c>
      <c r="C116">
        <v>29836882</v>
      </c>
      <c r="D116">
        <v>28336884</v>
      </c>
      <c r="E116">
        <v>1</v>
      </c>
      <c r="F116">
        <v>1</v>
      </c>
      <c r="G116">
        <v>1</v>
      </c>
      <c r="H116">
        <v>2</v>
      </c>
      <c r="I116" t="s">
        <v>332</v>
      </c>
      <c r="J116" t="s">
        <v>333</v>
      </c>
      <c r="K116" t="s">
        <v>334</v>
      </c>
      <c r="L116">
        <v>1368</v>
      </c>
      <c r="N116">
        <v>1011</v>
      </c>
      <c r="O116" t="s">
        <v>317</v>
      </c>
      <c r="P116" t="s">
        <v>317</v>
      </c>
      <c r="Q116">
        <v>1</v>
      </c>
      <c r="W116">
        <v>0</v>
      </c>
      <c r="X116">
        <v>-1700234874</v>
      </c>
      <c r="Y116">
        <v>3.7499999999999999E-2</v>
      </c>
      <c r="AA116">
        <v>0</v>
      </c>
      <c r="AB116">
        <v>996.35</v>
      </c>
      <c r="AC116">
        <v>316.29000000000002</v>
      </c>
      <c r="AD116">
        <v>0</v>
      </c>
      <c r="AE116">
        <v>0</v>
      </c>
      <c r="AF116">
        <v>93.73</v>
      </c>
      <c r="AG116">
        <v>8.82</v>
      </c>
      <c r="AH116">
        <v>0</v>
      </c>
      <c r="AI116">
        <v>1</v>
      </c>
      <c r="AJ116">
        <v>10.63</v>
      </c>
      <c r="AK116">
        <v>35.86</v>
      </c>
      <c r="AL116">
        <v>1</v>
      </c>
      <c r="AN116">
        <v>0</v>
      </c>
      <c r="AO116">
        <v>1</v>
      </c>
      <c r="AP116">
        <v>1</v>
      </c>
      <c r="AQ116">
        <v>0</v>
      </c>
      <c r="AR116">
        <v>0</v>
      </c>
      <c r="AS116" t="s">
        <v>3</v>
      </c>
      <c r="AT116">
        <v>0.03</v>
      </c>
      <c r="AU116" t="s">
        <v>31</v>
      </c>
      <c r="AV116">
        <v>0</v>
      </c>
      <c r="AW116">
        <v>2</v>
      </c>
      <c r="AX116">
        <v>29836893</v>
      </c>
      <c r="AY116">
        <v>1</v>
      </c>
      <c r="AZ116">
        <v>0</v>
      </c>
      <c r="BA116">
        <v>122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CX116">
        <f>Y116*Source!I102</f>
        <v>0.11249999999999999</v>
      </c>
      <c r="CY116">
        <f>AB116</f>
        <v>996.35</v>
      </c>
      <c r="CZ116">
        <f>AF116</f>
        <v>93.73</v>
      </c>
      <c r="DA116">
        <f>AJ116</f>
        <v>10.63</v>
      </c>
      <c r="DB116">
        <f>ROUND((ROUND(AT116*CZ116,2)*ROUND(1.25,7)),0)</f>
        <v>4</v>
      </c>
      <c r="DC116">
        <f>ROUND((ROUND(AT116*AG116,2)*ROUND(1.25,7)),0)</f>
        <v>0</v>
      </c>
    </row>
    <row r="117" spans="1:107" x14ac:dyDescent="0.2">
      <c r="A117">
        <f>ROW(Source!A102)</f>
        <v>102</v>
      </c>
      <c r="B117">
        <v>29836452</v>
      </c>
      <c r="C117">
        <v>29836882</v>
      </c>
      <c r="D117">
        <v>28337324</v>
      </c>
      <c r="E117">
        <v>1</v>
      </c>
      <c r="F117">
        <v>1</v>
      </c>
      <c r="G117">
        <v>1</v>
      </c>
      <c r="H117">
        <v>2</v>
      </c>
      <c r="I117" t="s">
        <v>408</v>
      </c>
      <c r="J117" t="s">
        <v>409</v>
      </c>
      <c r="K117" t="s">
        <v>410</v>
      </c>
      <c r="L117">
        <v>1368</v>
      </c>
      <c r="N117">
        <v>1011</v>
      </c>
      <c r="O117" t="s">
        <v>317</v>
      </c>
      <c r="P117" t="s">
        <v>317</v>
      </c>
      <c r="Q117">
        <v>1</v>
      </c>
      <c r="W117">
        <v>0</v>
      </c>
      <c r="X117">
        <v>-1583804658</v>
      </c>
      <c r="Y117">
        <v>1.0625</v>
      </c>
      <c r="AA117">
        <v>0</v>
      </c>
      <c r="AB117">
        <v>665.44</v>
      </c>
      <c r="AC117">
        <v>0</v>
      </c>
      <c r="AD117">
        <v>0</v>
      </c>
      <c r="AE117">
        <v>0</v>
      </c>
      <c r="AF117">
        <v>62.6</v>
      </c>
      <c r="AG117">
        <v>0</v>
      </c>
      <c r="AH117">
        <v>0</v>
      </c>
      <c r="AI117">
        <v>1</v>
      </c>
      <c r="AJ117">
        <v>10.63</v>
      </c>
      <c r="AK117">
        <v>35.86</v>
      </c>
      <c r="AL117">
        <v>1</v>
      </c>
      <c r="AN117">
        <v>0</v>
      </c>
      <c r="AO117">
        <v>1</v>
      </c>
      <c r="AP117">
        <v>1</v>
      </c>
      <c r="AQ117">
        <v>0</v>
      </c>
      <c r="AR117">
        <v>0</v>
      </c>
      <c r="AS117" t="s">
        <v>3</v>
      </c>
      <c r="AT117">
        <v>0.85</v>
      </c>
      <c r="AU117" t="s">
        <v>31</v>
      </c>
      <c r="AV117">
        <v>0</v>
      </c>
      <c r="AW117">
        <v>2</v>
      </c>
      <c r="AX117">
        <v>29836894</v>
      </c>
      <c r="AY117">
        <v>1</v>
      </c>
      <c r="AZ117">
        <v>0</v>
      </c>
      <c r="BA117">
        <v>123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CX117">
        <f>Y117*Source!I102</f>
        <v>3.1875</v>
      </c>
      <c r="CY117">
        <f>AB117</f>
        <v>665.44</v>
      </c>
      <c r="CZ117">
        <f>AF117</f>
        <v>62.6</v>
      </c>
      <c r="DA117">
        <f>AJ117</f>
        <v>10.63</v>
      </c>
      <c r="DB117">
        <f>ROUND((ROUND(AT117*CZ117,2)*ROUND(1.25,7)),0)</f>
        <v>67</v>
      </c>
      <c r="DC117">
        <f>ROUND((ROUND(AT117*AG117,2)*ROUND(1.25,7)),0)</f>
        <v>0</v>
      </c>
    </row>
    <row r="118" spans="1:107" x14ac:dyDescent="0.2">
      <c r="A118">
        <f>ROW(Source!A102)</f>
        <v>102</v>
      </c>
      <c r="B118">
        <v>29836452</v>
      </c>
      <c r="C118">
        <v>29836882</v>
      </c>
      <c r="D118">
        <v>28337840</v>
      </c>
      <c r="E118">
        <v>1</v>
      </c>
      <c r="F118">
        <v>1</v>
      </c>
      <c r="G118">
        <v>1</v>
      </c>
      <c r="H118">
        <v>2</v>
      </c>
      <c r="I118" t="s">
        <v>363</v>
      </c>
      <c r="J118" t="s">
        <v>364</v>
      </c>
      <c r="K118" t="s">
        <v>365</v>
      </c>
      <c r="L118">
        <v>1368</v>
      </c>
      <c r="N118">
        <v>1011</v>
      </c>
      <c r="O118" t="s">
        <v>317</v>
      </c>
      <c r="P118" t="s">
        <v>317</v>
      </c>
      <c r="Q118">
        <v>1</v>
      </c>
      <c r="W118">
        <v>0</v>
      </c>
      <c r="X118">
        <v>1171957361</v>
      </c>
      <c r="Y118">
        <v>2.5000000000000001E-2</v>
      </c>
      <c r="AA118">
        <v>0</v>
      </c>
      <c r="AB118">
        <v>922.58</v>
      </c>
      <c r="AC118">
        <v>363.26</v>
      </c>
      <c r="AD118">
        <v>0</v>
      </c>
      <c r="AE118">
        <v>0</v>
      </c>
      <c r="AF118">
        <v>86.79</v>
      </c>
      <c r="AG118">
        <v>10.130000000000001</v>
      </c>
      <c r="AH118">
        <v>0</v>
      </c>
      <c r="AI118">
        <v>1</v>
      </c>
      <c r="AJ118">
        <v>10.63</v>
      </c>
      <c r="AK118">
        <v>35.86</v>
      </c>
      <c r="AL118">
        <v>1</v>
      </c>
      <c r="AN118">
        <v>0</v>
      </c>
      <c r="AO118">
        <v>1</v>
      </c>
      <c r="AP118">
        <v>1</v>
      </c>
      <c r="AQ118">
        <v>0</v>
      </c>
      <c r="AR118">
        <v>0</v>
      </c>
      <c r="AS118" t="s">
        <v>3</v>
      </c>
      <c r="AT118">
        <v>0.02</v>
      </c>
      <c r="AU118" t="s">
        <v>31</v>
      </c>
      <c r="AV118">
        <v>0</v>
      </c>
      <c r="AW118">
        <v>2</v>
      </c>
      <c r="AX118">
        <v>29836895</v>
      </c>
      <c r="AY118">
        <v>1</v>
      </c>
      <c r="AZ118">
        <v>0</v>
      </c>
      <c r="BA118">
        <v>124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CX118">
        <f>Y118*Source!I102</f>
        <v>7.5000000000000011E-2</v>
      </c>
      <c r="CY118">
        <f>AB118</f>
        <v>922.58</v>
      </c>
      <c r="CZ118">
        <f>AF118</f>
        <v>86.79</v>
      </c>
      <c r="DA118">
        <f>AJ118</f>
        <v>10.63</v>
      </c>
      <c r="DB118">
        <f>ROUND((ROUND(AT118*CZ118,2)*ROUND(1.25,7)),0)</f>
        <v>2</v>
      </c>
      <c r="DC118">
        <f>ROUND((ROUND(AT118*AG118,2)*ROUND(1.25,7)),0)</f>
        <v>0</v>
      </c>
    </row>
    <row r="119" spans="1:107" x14ac:dyDescent="0.2">
      <c r="A119">
        <f>ROW(Source!A102)</f>
        <v>102</v>
      </c>
      <c r="B119">
        <v>29836452</v>
      </c>
      <c r="C119">
        <v>29836882</v>
      </c>
      <c r="D119">
        <v>28247645</v>
      </c>
      <c r="E119">
        <v>21</v>
      </c>
      <c r="F119">
        <v>1</v>
      </c>
      <c r="G119">
        <v>1</v>
      </c>
      <c r="H119">
        <v>3</v>
      </c>
      <c r="I119" t="s">
        <v>86</v>
      </c>
      <c r="J119" t="s">
        <v>3</v>
      </c>
      <c r="K119" t="s">
        <v>87</v>
      </c>
      <c r="L119">
        <v>1348</v>
      </c>
      <c r="N119">
        <v>1009</v>
      </c>
      <c r="O119" t="s">
        <v>84</v>
      </c>
      <c r="P119" t="s">
        <v>84</v>
      </c>
      <c r="Q119">
        <v>1000</v>
      </c>
      <c r="W119">
        <v>0</v>
      </c>
      <c r="X119">
        <v>1670663622</v>
      </c>
      <c r="Y119">
        <v>7.14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7.26</v>
      </c>
      <c r="AJ119">
        <v>1</v>
      </c>
      <c r="AK119">
        <v>1</v>
      </c>
      <c r="AL119">
        <v>1</v>
      </c>
      <c r="AN119">
        <v>0</v>
      </c>
      <c r="AO119">
        <v>0</v>
      </c>
      <c r="AP119">
        <v>0</v>
      </c>
      <c r="AQ119">
        <v>0</v>
      </c>
      <c r="AR119">
        <v>0</v>
      </c>
      <c r="AS119" t="s">
        <v>3</v>
      </c>
      <c r="AT119">
        <v>7.14</v>
      </c>
      <c r="AU119" t="s">
        <v>3</v>
      </c>
      <c r="AV119">
        <v>0</v>
      </c>
      <c r="AW119">
        <v>2</v>
      </c>
      <c r="AX119">
        <v>29836898</v>
      </c>
      <c r="AY119">
        <v>1</v>
      </c>
      <c r="AZ119">
        <v>0</v>
      </c>
      <c r="BA119">
        <v>127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CX119">
        <f>Y119*Source!I102</f>
        <v>21.419999999999998</v>
      </c>
      <c r="CY119">
        <f>AA119</f>
        <v>0</v>
      </c>
      <c r="CZ119">
        <f>AE119</f>
        <v>0</v>
      </c>
      <c r="DA119">
        <f>AI119</f>
        <v>7.26</v>
      </c>
      <c r="DB119">
        <f>ROUND(ROUND(AT119*CZ119,2),0)</f>
        <v>0</v>
      </c>
      <c r="DC119">
        <f>ROUND(ROUND(AT119*AG119,2),0)</f>
        <v>0</v>
      </c>
    </row>
    <row r="120" spans="1:107" x14ac:dyDescent="0.2">
      <c r="A120">
        <f>ROW(Source!A105)</f>
        <v>105</v>
      </c>
      <c r="B120">
        <v>29836452</v>
      </c>
      <c r="C120">
        <v>29836901</v>
      </c>
      <c r="D120">
        <v>28424803</v>
      </c>
      <c r="E120">
        <v>1</v>
      </c>
      <c r="F120">
        <v>1</v>
      </c>
      <c r="G120">
        <v>1</v>
      </c>
      <c r="H120">
        <v>1</v>
      </c>
      <c r="I120" t="s">
        <v>406</v>
      </c>
      <c r="J120" t="s">
        <v>3</v>
      </c>
      <c r="K120" t="s">
        <v>407</v>
      </c>
      <c r="L120">
        <v>1191</v>
      </c>
      <c r="N120">
        <v>1013</v>
      </c>
      <c r="O120" t="s">
        <v>311</v>
      </c>
      <c r="P120" t="s">
        <v>311</v>
      </c>
      <c r="Q120">
        <v>1</v>
      </c>
      <c r="W120">
        <v>0</v>
      </c>
      <c r="X120">
        <v>2010026284</v>
      </c>
      <c r="Y120">
        <v>10.671999999999999</v>
      </c>
      <c r="AA120">
        <v>0</v>
      </c>
      <c r="AB120">
        <v>0</v>
      </c>
      <c r="AC120">
        <v>0</v>
      </c>
      <c r="AD120">
        <v>297.27999999999997</v>
      </c>
      <c r="AE120">
        <v>0</v>
      </c>
      <c r="AF120">
        <v>0</v>
      </c>
      <c r="AG120">
        <v>0</v>
      </c>
      <c r="AH120">
        <v>8.2899999999999991</v>
      </c>
      <c r="AI120">
        <v>1</v>
      </c>
      <c r="AJ120">
        <v>1</v>
      </c>
      <c r="AK120">
        <v>1</v>
      </c>
      <c r="AL120">
        <v>35.86</v>
      </c>
      <c r="AN120">
        <v>0</v>
      </c>
      <c r="AO120">
        <v>1</v>
      </c>
      <c r="AP120">
        <v>1</v>
      </c>
      <c r="AQ120">
        <v>0</v>
      </c>
      <c r="AR120">
        <v>0</v>
      </c>
      <c r="AS120" t="s">
        <v>3</v>
      </c>
      <c r="AT120">
        <v>2.3199999999999998</v>
      </c>
      <c r="AU120" t="s">
        <v>232</v>
      </c>
      <c r="AV120">
        <v>1</v>
      </c>
      <c r="AW120">
        <v>2</v>
      </c>
      <c r="AX120">
        <v>29836905</v>
      </c>
      <c r="AY120">
        <v>1</v>
      </c>
      <c r="AZ120">
        <v>0</v>
      </c>
      <c r="BA120">
        <v>128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CX120">
        <f>Y120*Source!I105</f>
        <v>32.015999999999998</v>
      </c>
      <c r="CY120">
        <f>AD120</f>
        <v>297.27999999999997</v>
      </c>
      <c r="CZ120">
        <f>AH120</f>
        <v>8.2899999999999991</v>
      </c>
      <c r="DA120">
        <f>AL120</f>
        <v>35.86</v>
      </c>
      <c r="DB120">
        <f>ROUND((ROUND(AT120*CZ120,2)*ROUND((4*1.15),7)),0)</f>
        <v>88</v>
      </c>
      <c r="DC120">
        <f>ROUND((ROUND(AT120*AG120,2)*ROUND((4*1.15),7)),0)</f>
        <v>0</v>
      </c>
    </row>
    <row r="121" spans="1:107" x14ac:dyDescent="0.2">
      <c r="A121">
        <f>ROW(Source!A105)</f>
        <v>105</v>
      </c>
      <c r="B121">
        <v>29836452</v>
      </c>
      <c r="C121">
        <v>29836901</v>
      </c>
      <c r="D121">
        <v>28337324</v>
      </c>
      <c r="E121">
        <v>1</v>
      </c>
      <c r="F121">
        <v>1</v>
      </c>
      <c r="G121">
        <v>1</v>
      </c>
      <c r="H121">
        <v>2</v>
      </c>
      <c r="I121" t="s">
        <v>408</v>
      </c>
      <c r="J121" t="s">
        <v>409</v>
      </c>
      <c r="K121" t="s">
        <v>410</v>
      </c>
      <c r="L121">
        <v>1368</v>
      </c>
      <c r="N121">
        <v>1011</v>
      </c>
      <c r="O121" t="s">
        <v>317</v>
      </c>
      <c r="P121" t="s">
        <v>317</v>
      </c>
      <c r="Q121">
        <v>1</v>
      </c>
      <c r="W121">
        <v>0</v>
      </c>
      <c r="X121">
        <v>-1583804658</v>
      </c>
      <c r="Y121">
        <v>0.56000000000000005</v>
      </c>
      <c r="AA121">
        <v>0</v>
      </c>
      <c r="AB121">
        <v>665.44</v>
      </c>
      <c r="AC121">
        <v>0</v>
      </c>
      <c r="AD121">
        <v>0</v>
      </c>
      <c r="AE121">
        <v>0</v>
      </c>
      <c r="AF121">
        <v>62.6</v>
      </c>
      <c r="AG121">
        <v>0</v>
      </c>
      <c r="AH121">
        <v>0</v>
      </c>
      <c r="AI121">
        <v>1</v>
      </c>
      <c r="AJ121">
        <v>10.63</v>
      </c>
      <c r="AK121">
        <v>35.86</v>
      </c>
      <c r="AL121">
        <v>1</v>
      </c>
      <c r="AN121">
        <v>0</v>
      </c>
      <c r="AO121">
        <v>1</v>
      </c>
      <c r="AP121">
        <v>1</v>
      </c>
      <c r="AQ121">
        <v>0</v>
      </c>
      <c r="AR121">
        <v>0</v>
      </c>
      <c r="AS121" t="s">
        <v>3</v>
      </c>
      <c r="AT121">
        <v>0.14000000000000001</v>
      </c>
      <c r="AU121" t="s">
        <v>92</v>
      </c>
      <c r="AV121">
        <v>0</v>
      </c>
      <c r="AW121">
        <v>2</v>
      </c>
      <c r="AX121">
        <v>29836906</v>
      </c>
      <c r="AY121">
        <v>1</v>
      </c>
      <c r="AZ121">
        <v>0</v>
      </c>
      <c r="BA121">
        <v>129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CX121">
        <f>Y121*Source!I105</f>
        <v>1.6800000000000002</v>
      </c>
      <c r="CY121">
        <f>AB121</f>
        <v>665.44</v>
      </c>
      <c r="CZ121">
        <f>AF121</f>
        <v>62.6</v>
      </c>
      <c r="DA121">
        <f>AJ121</f>
        <v>10.63</v>
      </c>
      <c r="DB121">
        <f>ROUND((ROUND(AT121*CZ121,2)*ROUND(4,7)),0)</f>
        <v>35</v>
      </c>
      <c r="DC121">
        <f>ROUND((ROUND(AT121*AG121,2)*ROUND(4,7)),0)</f>
        <v>0</v>
      </c>
    </row>
    <row r="122" spans="1:107" x14ac:dyDescent="0.2">
      <c r="A122">
        <f>ROW(Source!A105)</f>
        <v>105</v>
      </c>
      <c r="B122">
        <v>29836452</v>
      </c>
      <c r="C122">
        <v>29836901</v>
      </c>
      <c r="D122">
        <v>28247645</v>
      </c>
      <c r="E122">
        <v>21</v>
      </c>
      <c r="F122">
        <v>1</v>
      </c>
      <c r="G122">
        <v>1</v>
      </c>
      <c r="H122">
        <v>3</v>
      </c>
      <c r="I122" t="s">
        <v>86</v>
      </c>
      <c r="J122" t="s">
        <v>3</v>
      </c>
      <c r="K122" t="s">
        <v>87</v>
      </c>
      <c r="L122">
        <v>1348</v>
      </c>
      <c r="N122">
        <v>1009</v>
      </c>
      <c r="O122" t="s">
        <v>84</v>
      </c>
      <c r="P122" t="s">
        <v>84</v>
      </c>
      <c r="Q122">
        <v>1000</v>
      </c>
      <c r="W122">
        <v>0</v>
      </c>
      <c r="X122">
        <v>1670663622</v>
      </c>
      <c r="Y122">
        <v>7.14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7.26</v>
      </c>
      <c r="AJ122">
        <v>1</v>
      </c>
      <c r="AK122">
        <v>1</v>
      </c>
      <c r="AL122">
        <v>1</v>
      </c>
      <c r="AN122">
        <v>0</v>
      </c>
      <c r="AO122">
        <v>0</v>
      </c>
      <c r="AP122">
        <v>1</v>
      </c>
      <c r="AQ122">
        <v>0</v>
      </c>
      <c r="AR122">
        <v>0</v>
      </c>
      <c r="AS122" t="s">
        <v>3</v>
      </c>
      <c r="AT122">
        <v>7.14</v>
      </c>
      <c r="AU122" t="s">
        <v>3</v>
      </c>
      <c r="AV122">
        <v>0</v>
      </c>
      <c r="AW122">
        <v>2</v>
      </c>
      <c r="AX122">
        <v>29836907</v>
      </c>
      <c r="AY122">
        <v>1</v>
      </c>
      <c r="AZ122">
        <v>6144</v>
      </c>
      <c r="BA122">
        <v>130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CX122">
        <f>Y122*Source!I105</f>
        <v>21.419999999999998</v>
      </c>
      <c r="CY122">
        <f>AA122</f>
        <v>0</v>
      </c>
      <c r="CZ122">
        <f>AE122</f>
        <v>0</v>
      </c>
      <c r="DA122">
        <f>AI122</f>
        <v>7.26</v>
      </c>
      <c r="DB122">
        <f>ROUND(ROUND(AT122*CZ122,2),0)</f>
        <v>0</v>
      </c>
      <c r="DC122">
        <f>ROUND(ROUND(AT122*AG122,2),0)</f>
        <v>0</v>
      </c>
    </row>
    <row r="123" spans="1:107" x14ac:dyDescent="0.2">
      <c r="A123">
        <f>ROW(Source!A109)</f>
        <v>109</v>
      </c>
      <c r="B123">
        <v>29836452</v>
      </c>
      <c r="C123">
        <v>29836911</v>
      </c>
      <c r="D123">
        <v>28421378</v>
      </c>
      <c r="E123">
        <v>1</v>
      </c>
      <c r="F123">
        <v>1</v>
      </c>
      <c r="G123">
        <v>1</v>
      </c>
      <c r="H123">
        <v>1</v>
      </c>
      <c r="I123" t="s">
        <v>372</v>
      </c>
      <c r="J123" t="s">
        <v>3</v>
      </c>
      <c r="K123" t="s">
        <v>373</v>
      </c>
      <c r="L123">
        <v>1191</v>
      </c>
      <c r="N123">
        <v>1013</v>
      </c>
      <c r="O123" t="s">
        <v>311</v>
      </c>
      <c r="P123" t="s">
        <v>311</v>
      </c>
      <c r="Q123">
        <v>1</v>
      </c>
      <c r="W123">
        <v>0</v>
      </c>
      <c r="X123">
        <v>-662100433</v>
      </c>
      <c r="Y123">
        <v>87.49199999999999</v>
      </c>
      <c r="AA123">
        <v>0</v>
      </c>
      <c r="AB123">
        <v>0</v>
      </c>
      <c r="AC123">
        <v>0</v>
      </c>
      <c r="AD123">
        <v>270.74</v>
      </c>
      <c r="AE123">
        <v>0</v>
      </c>
      <c r="AF123">
        <v>0</v>
      </c>
      <c r="AG123">
        <v>0</v>
      </c>
      <c r="AH123">
        <v>7.55</v>
      </c>
      <c r="AI123">
        <v>1</v>
      </c>
      <c r="AJ123">
        <v>1</v>
      </c>
      <c r="AK123">
        <v>1</v>
      </c>
      <c r="AL123">
        <v>35.86</v>
      </c>
      <c r="AN123">
        <v>0</v>
      </c>
      <c r="AO123">
        <v>1</v>
      </c>
      <c r="AP123">
        <v>1</v>
      </c>
      <c r="AQ123">
        <v>0</v>
      </c>
      <c r="AR123">
        <v>0</v>
      </c>
      <c r="AS123" t="s">
        <v>3</v>
      </c>
      <c r="AT123">
        <v>76.08</v>
      </c>
      <c r="AU123" t="s">
        <v>32</v>
      </c>
      <c r="AV123">
        <v>1</v>
      </c>
      <c r="AW123">
        <v>2</v>
      </c>
      <c r="AX123">
        <v>29836920</v>
      </c>
      <c r="AY123">
        <v>1</v>
      </c>
      <c r="AZ123">
        <v>0</v>
      </c>
      <c r="BA123">
        <v>131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CX123">
        <f>Y123*Source!I109</f>
        <v>12.24888</v>
      </c>
      <c r="CY123">
        <f>AD123</f>
        <v>270.74</v>
      </c>
      <c r="CZ123">
        <f>AH123</f>
        <v>7.55</v>
      </c>
      <c r="DA123">
        <f>AL123</f>
        <v>35.86</v>
      </c>
      <c r="DB123">
        <f>ROUND((ROUND(AT123*CZ123,2)*ROUND(1.15,7)),0)</f>
        <v>661</v>
      </c>
      <c r="DC123">
        <f>ROUND((ROUND(AT123*AG123,2)*ROUND(1.15,7)),0)</f>
        <v>0</v>
      </c>
    </row>
    <row r="124" spans="1:107" x14ac:dyDescent="0.2">
      <c r="A124">
        <f>ROW(Source!A109)</f>
        <v>109</v>
      </c>
      <c r="B124">
        <v>29836452</v>
      </c>
      <c r="C124">
        <v>29836911</v>
      </c>
      <c r="D124">
        <v>28419515</v>
      </c>
      <c r="E124">
        <v>1</v>
      </c>
      <c r="F124">
        <v>1</v>
      </c>
      <c r="G124">
        <v>1</v>
      </c>
      <c r="H124">
        <v>1</v>
      </c>
      <c r="I124" t="s">
        <v>312</v>
      </c>
      <c r="J124" t="s">
        <v>3</v>
      </c>
      <c r="K124" t="s">
        <v>313</v>
      </c>
      <c r="L124">
        <v>1191</v>
      </c>
      <c r="N124">
        <v>1013</v>
      </c>
      <c r="O124" t="s">
        <v>311</v>
      </c>
      <c r="P124" t="s">
        <v>311</v>
      </c>
      <c r="Q124">
        <v>1</v>
      </c>
      <c r="W124">
        <v>0</v>
      </c>
      <c r="X124">
        <v>-383101862</v>
      </c>
      <c r="Y124">
        <v>0.72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1</v>
      </c>
      <c r="AJ124">
        <v>1</v>
      </c>
      <c r="AK124">
        <v>35.86</v>
      </c>
      <c r="AL124">
        <v>1</v>
      </c>
      <c r="AN124">
        <v>0</v>
      </c>
      <c r="AO124">
        <v>1</v>
      </c>
      <c r="AP124">
        <v>0</v>
      </c>
      <c r="AQ124">
        <v>0</v>
      </c>
      <c r="AR124">
        <v>0</v>
      </c>
      <c r="AS124" t="s">
        <v>3</v>
      </c>
      <c r="AT124">
        <v>0.72</v>
      </c>
      <c r="AU124" t="s">
        <v>3</v>
      </c>
      <c r="AV124">
        <v>2</v>
      </c>
      <c r="AW124">
        <v>2</v>
      </c>
      <c r="AX124">
        <v>29836921</v>
      </c>
      <c r="AY124">
        <v>1</v>
      </c>
      <c r="AZ124">
        <v>2048</v>
      </c>
      <c r="BA124">
        <v>132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CX124">
        <f>Y124*Source!I109</f>
        <v>0.1008</v>
      </c>
      <c r="CY124">
        <f>AD124</f>
        <v>0</v>
      </c>
      <c r="CZ124">
        <f>AH124</f>
        <v>0</v>
      </c>
      <c r="DA124">
        <f>AL124</f>
        <v>1</v>
      </c>
      <c r="DB124">
        <f>ROUND(ROUND(AT124*CZ124,2),0)</f>
        <v>0</v>
      </c>
      <c r="DC124">
        <f>ROUND(ROUND(AT124*AG124,2),0)</f>
        <v>0</v>
      </c>
    </row>
    <row r="125" spans="1:107" x14ac:dyDescent="0.2">
      <c r="A125">
        <f>ROW(Source!A109)</f>
        <v>109</v>
      </c>
      <c r="B125">
        <v>29836452</v>
      </c>
      <c r="C125">
        <v>29836911</v>
      </c>
      <c r="D125">
        <v>28336675</v>
      </c>
      <c r="E125">
        <v>1</v>
      </c>
      <c r="F125">
        <v>1</v>
      </c>
      <c r="G125">
        <v>1</v>
      </c>
      <c r="H125">
        <v>2</v>
      </c>
      <c r="I125" t="s">
        <v>348</v>
      </c>
      <c r="J125" t="s">
        <v>349</v>
      </c>
      <c r="K125" t="s">
        <v>350</v>
      </c>
      <c r="L125">
        <v>1368</v>
      </c>
      <c r="N125">
        <v>1011</v>
      </c>
      <c r="O125" t="s">
        <v>317</v>
      </c>
      <c r="P125" t="s">
        <v>317</v>
      </c>
      <c r="Q125">
        <v>1</v>
      </c>
      <c r="W125">
        <v>0</v>
      </c>
      <c r="X125">
        <v>903590057</v>
      </c>
      <c r="Y125">
        <v>0.85000000000000009</v>
      </c>
      <c r="AA125">
        <v>0</v>
      </c>
      <c r="AB125">
        <v>1198.75</v>
      </c>
      <c r="AC125">
        <v>424.58</v>
      </c>
      <c r="AD125">
        <v>0</v>
      </c>
      <c r="AE125">
        <v>0</v>
      </c>
      <c r="AF125">
        <v>112.77</v>
      </c>
      <c r="AG125">
        <v>11.84</v>
      </c>
      <c r="AH125">
        <v>0</v>
      </c>
      <c r="AI125">
        <v>1</v>
      </c>
      <c r="AJ125">
        <v>10.63</v>
      </c>
      <c r="AK125">
        <v>35.86</v>
      </c>
      <c r="AL125">
        <v>1</v>
      </c>
      <c r="AN125">
        <v>0</v>
      </c>
      <c r="AO125">
        <v>1</v>
      </c>
      <c r="AP125">
        <v>1</v>
      </c>
      <c r="AQ125">
        <v>0</v>
      </c>
      <c r="AR125">
        <v>0</v>
      </c>
      <c r="AS125" t="s">
        <v>3</v>
      </c>
      <c r="AT125">
        <v>0.68</v>
      </c>
      <c r="AU125" t="s">
        <v>31</v>
      </c>
      <c r="AV125">
        <v>0</v>
      </c>
      <c r="AW125">
        <v>2</v>
      </c>
      <c r="AX125">
        <v>29836922</v>
      </c>
      <c r="AY125">
        <v>1</v>
      </c>
      <c r="AZ125">
        <v>0</v>
      </c>
      <c r="BA125">
        <v>133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CX125">
        <f>Y125*Source!I109</f>
        <v>0.11900000000000002</v>
      </c>
      <c r="CY125">
        <f>AB125</f>
        <v>1198.75</v>
      </c>
      <c r="CZ125">
        <f>AF125</f>
        <v>112.77</v>
      </c>
      <c r="DA125">
        <f>AJ125</f>
        <v>10.63</v>
      </c>
      <c r="DB125">
        <f>ROUND((ROUND(AT125*CZ125,2)*ROUND(1.25,7)),0)</f>
        <v>96</v>
      </c>
      <c r="DC125">
        <f>ROUND((ROUND(AT125*AG125,2)*ROUND(1.25,7)),0)</f>
        <v>10</v>
      </c>
    </row>
    <row r="126" spans="1:107" x14ac:dyDescent="0.2">
      <c r="A126">
        <f>ROW(Source!A109)</f>
        <v>109</v>
      </c>
      <c r="B126">
        <v>29836452</v>
      </c>
      <c r="C126">
        <v>29836911</v>
      </c>
      <c r="D126">
        <v>28337840</v>
      </c>
      <c r="E126">
        <v>1</v>
      </c>
      <c r="F126">
        <v>1</v>
      </c>
      <c r="G126">
        <v>1</v>
      </c>
      <c r="H126">
        <v>2</v>
      </c>
      <c r="I126" t="s">
        <v>363</v>
      </c>
      <c r="J126" t="s">
        <v>364</v>
      </c>
      <c r="K126" t="s">
        <v>365</v>
      </c>
      <c r="L126">
        <v>1368</v>
      </c>
      <c r="N126">
        <v>1011</v>
      </c>
      <c r="O126" t="s">
        <v>317</v>
      </c>
      <c r="P126" t="s">
        <v>317</v>
      </c>
      <c r="Q126">
        <v>1</v>
      </c>
      <c r="W126">
        <v>0</v>
      </c>
      <c r="X126">
        <v>1171957361</v>
      </c>
      <c r="Y126">
        <v>0.05</v>
      </c>
      <c r="AA126">
        <v>0</v>
      </c>
      <c r="AB126">
        <v>922.58</v>
      </c>
      <c r="AC126">
        <v>363.26</v>
      </c>
      <c r="AD126">
        <v>0</v>
      </c>
      <c r="AE126">
        <v>0</v>
      </c>
      <c r="AF126">
        <v>86.79</v>
      </c>
      <c r="AG126">
        <v>10.130000000000001</v>
      </c>
      <c r="AH126">
        <v>0</v>
      </c>
      <c r="AI126">
        <v>1</v>
      </c>
      <c r="AJ126">
        <v>10.63</v>
      </c>
      <c r="AK126">
        <v>35.86</v>
      </c>
      <c r="AL126">
        <v>1</v>
      </c>
      <c r="AN126">
        <v>0</v>
      </c>
      <c r="AO126">
        <v>1</v>
      </c>
      <c r="AP126">
        <v>1</v>
      </c>
      <c r="AQ126">
        <v>0</v>
      </c>
      <c r="AR126">
        <v>0</v>
      </c>
      <c r="AS126" t="s">
        <v>3</v>
      </c>
      <c r="AT126">
        <v>0.04</v>
      </c>
      <c r="AU126" t="s">
        <v>31</v>
      </c>
      <c r="AV126">
        <v>0</v>
      </c>
      <c r="AW126">
        <v>2</v>
      </c>
      <c r="AX126">
        <v>29836923</v>
      </c>
      <c r="AY126">
        <v>1</v>
      </c>
      <c r="AZ126">
        <v>0</v>
      </c>
      <c r="BA126">
        <v>134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CX126">
        <f>Y126*Source!I109</f>
        <v>7.000000000000001E-3</v>
      </c>
      <c r="CY126">
        <f>AB126</f>
        <v>922.58</v>
      </c>
      <c r="CZ126">
        <f>AF126</f>
        <v>86.79</v>
      </c>
      <c r="DA126">
        <f>AJ126</f>
        <v>10.63</v>
      </c>
      <c r="DB126">
        <f>ROUND((ROUND(AT126*CZ126,2)*ROUND(1.25,7)),0)</f>
        <v>4</v>
      </c>
      <c r="DC126">
        <f>ROUND((ROUND(AT126*AG126,2)*ROUND(1.25,7)),0)</f>
        <v>1</v>
      </c>
    </row>
    <row r="127" spans="1:107" x14ac:dyDescent="0.2">
      <c r="A127">
        <f>ROW(Source!A109)</f>
        <v>109</v>
      </c>
      <c r="B127">
        <v>29836452</v>
      </c>
      <c r="C127">
        <v>29836911</v>
      </c>
      <c r="D127">
        <v>28256174</v>
      </c>
      <c r="E127">
        <v>1</v>
      </c>
      <c r="F127">
        <v>1</v>
      </c>
      <c r="G127">
        <v>1</v>
      </c>
      <c r="H127">
        <v>3</v>
      </c>
      <c r="I127" t="s">
        <v>374</v>
      </c>
      <c r="J127" t="s">
        <v>375</v>
      </c>
      <c r="K127" t="s">
        <v>376</v>
      </c>
      <c r="L127">
        <v>1348</v>
      </c>
      <c r="N127">
        <v>1009</v>
      </c>
      <c r="O127" t="s">
        <v>84</v>
      </c>
      <c r="P127" t="s">
        <v>84</v>
      </c>
      <c r="Q127">
        <v>1000</v>
      </c>
      <c r="W127">
        <v>0</v>
      </c>
      <c r="X127">
        <v>628974256</v>
      </c>
      <c r="Y127">
        <v>1E-3</v>
      </c>
      <c r="AA127">
        <v>55694.51</v>
      </c>
      <c r="AB127">
        <v>0</v>
      </c>
      <c r="AC127">
        <v>0</v>
      </c>
      <c r="AD127">
        <v>0</v>
      </c>
      <c r="AE127">
        <v>7671.42</v>
      </c>
      <c r="AF127">
        <v>0</v>
      </c>
      <c r="AG127">
        <v>0</v>
      </c>
      <c r="AH127">
        <v>0</v>
      </c>
      <c r="AI127">
        <v>7.26</v>
      </c>
      <c r="AJ127">
        <v>1</v>
      </c>
      <c r="AK127">
        <v>1</v>
      </c>
      <c r="AL127">
        <v>1</v>
      </c>
      <c r="AN127">
        <v>0</v>
      </c>
      <c r="AO127">
        <v>1</v>
      </c>
      <c r="AP127">
        <v>0</v>
      </c>
      <c r="AQ127">
        <v>0</v>
      </c>
      <c r="AR127">
        <v>0</v>
      </c>
      <c r="AS127" t="s">
        <v>3</v>
      </c>
      <c r="AT127">
        <v>1E-3</v>
      </c>
      <c r="AU127" t="s">
        <v>3</v>
      </c>
      <c r="AV127">
        <v>0</v>
      </c>
      <c r="AW127">
        <v>2</v>
      </c>
      <c r="AX127">
        <v>29836924</v>
      </c>
      <c r="AY127">
        <v>1</v>
      </c>
      <c r="AZ127">
        <v>0</v>
      </c>
      <c r="BA127">
        <v>135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CX127">
        <f>Y127*Source!I109</f>
        <v>1.4000000000000001E-4</v>
      </c>
      <c r="CY127">
        <f>AA127</f>
        <v>55694.51</v>
      </c>
      <c r="CZ127">
        <f>AE127</f>
        <v>7671.42</v>
      </c>
      <c r="DA127">
        <f>AI127</f>
        <v>7.26</v>
      </c>
      <c r="DB127">
        <f>ROUND(ROUND(AT127*CZ127,2),0)</f>
        <v>8</v>
      </c>
      <c r="DC127">
        <f>ROUND(ROUND(AT127*AG127,2),0)</f>
        <v>0</v>
      </c>
    </row>
    <row r="128" spans="1:107" x14ac:dyDescent="0.2">
      <c r="A128">
        <f>ROW(Source!A109)</f>
        <v>109</v>
      </c>
      <c r="B128">
        <v>29836452</v>
      </c>
      <c r="C128">
        <v>29836911</v>
      </c>
      <c r="D128">
        <v>28258912</v>
      </c>
      <c r="E128">
        <v>1</v>
      </c>
      <c r="F128">
        <v>1</v>
      </c>
      <c r="G128">
        <v>1</v>
      </c>
      <c r="H128">
        <v>3</v>
      </c>
      <c r="I128" t="s">
        <v>377</v>
      </c>
      <c r="J128" t="s">
        <v>378</v>
      </c>
      <c r="K128" t="s">
        <v>379</v>
      </c>
      <c r="L128">
        <v>1339</v>
      </c>
      <c r="N128">
        <v>1007</v>
      </c>
      <c r="O128" t="s">
        <v>56</v>
      </c>
      <c r="P128" t="s">
        <v>56</v>
      </c>
      <c r="Q128">
        <v>1</v>
      </c>
      <c r="W128">
        <v>0</v>
      </c>
      <c r="X128">
        <v>-1451531808</v>
      </c>
      <c r="Y128">
        <v>5.9</v>
      </c>
      <c r="AA128">
        <v>4895.8500000000004</v>
      </c>
      <c r="AB128">
        <v>0</v>
      </c>
      <c r="AC128">
        <v>0</v>
      </c>
      <c r="AD128">
        <v>0</v>
      </c>
      <c r="AE128">
        <v>674.36</v>
      </c>
      <c r="AF128">
        <v>0</v>
      </c>
      <c r="AG128">
        <v>0</v>
      </c>
      <c r="AH128">
        <v>0</v>
      </c>
      <c r="AI128">
        <v>7.26</v>
      </c>
      <c r="AJ128">
        <v>1</v>
      </c>
      <c r="AK128">
        <v>1</v>
      </c>
      <c r="AL128">
        <v>1</v>
      </c>
      <c r="AN128">
        <v>0</v>
      </c>
      <c r="AO128">
        <v>1</v>
      </c>
      <c r="AP128">
        <v>0</v>
      </c>
      <c r="AQ128">
        <v>0</v>
      </c>
      <c r="AR128">
        <v>0</v>
      </c>
      <c r="AS128" t="s">
        <v>3</v>
      </c>
      <c r="AT128">
        <v>5.9</v>
      </c>
      <c r="AU128" t="s">
        <v>3</v>
      </c>
      <c r="AV128">
        <v>0</v>
      </c>
      <c r="AW128">
        <v>2</v>
      </c>
      <c r="AX128">
        <v>29836925</v>
      </c>
      <c r="AY128">
        <v>1</v>
      </c>
      <c r="AZ128">
        <v>0</v>
      </c>
      <c r="BA128">
        <v>136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CX128">
        <f>Y128*Source!I109</f>
        <v>0.82600000000000018</v>
      </c>
      <c r="CY128">
        <f>AA128</f>
        <v>4895.8500000000004</v>
      </c>
      <c r="CZ128">
        <f>AE128</f>
        <v>674.36</v>
      </c>
      <c r="DA128">
        <f>AI128</f>
        <v>7.26</v>
      </c>
      <c r="DB128">
        <f>ROUND(ROUND(AT128*CZ128,2),0)</f>
        <v>3979</v>
      </c>
      <c r="DC128">
        <f>ROUND(ROUND(AT128*AG128,2),0)</f>
        <v>0</v>
      </c>
    </row>
    <row r="129" spans="1:107" x14ac:dyDescent="0.2">
      <c r="A129">
        <f>ROW(Source!A109)</f>
        <v>109</v>
      </c>
      <c r="B129">
        <v>29836452</v>
      </c>
      <c r="C129">
        <v>29836911</v>
      </c>
      <c r="D129">
        <v>28259185</v>
      </c>
      <c r="E129">
        <v>1</v>
      </c>
      <c r="F129">
        <v>1</v>
      </c>
      <c r="G129">
        <v>1</v>
      </c>
      <c r="H129">
        <v>3</v>
      </c>
      <c r="I129" t="s">
        <v>380</v>
      </c>
      <c r="J129" t="s">
        <v>381</v>
      </c>
      <c r="K129" t="s">
        <v>382</v>
      </c>
      <c r="L129">
        <v>1339</v>
      </c>
      <c r="N129">
        <v>1007</v>
      </c>
      <c r="O129" t="s">
        <v>56</v>
      </c>
      <c r="P129" t="s">
        <v>56</v>
      </c>
      <c r="Q129">
        <v>1</v>
      </c>
      <c r="W129">
        <v>0</v>
      </c>
      <c r="X129">
        <v>-1150819817</v>
      </c>
      <c r="Y129">
        <v>0.06</v>
      </c>
      <c r="AA129">
        <v>5801.83</v>
      </c>
      <c r="AB129">
        <v>0</v>
      </c>
      <c r="AC129">
        <v>0</v>
      </c>
      <c r="AD129">
        <v>0</v>
      </c>
      <c r="AE129">
        <v>799.15</v>
      </c>
      <c r="AF129">
        <v>0</v>
      </c>
      <c r="AG129">
        <v>0</v>
      </c>
      <c r="AH129">
        <v>0</v>
      </c>
      <c r="AI129">
        <v>7.26</v>
      </c>
      <c r="AJ129">
        <v>1</v>
      </c>
      <c r="AK129">
        <v>1</v>
      </c>
      <c r="AL129">
        <v>1</v>
      </c>
      <c r="AN129">
        <v>0</v>
      </c>
      <c r="AO129">
        <v>1</v>
      </c>
      <c r="AP129">
        <v>0</v>
      </c>
      <c r="AQ129">
        <v>0</v>
      </c>
      <c r="AR129">
        <v>0</v>
      </c>
      <c r="AS129" t="s">
        <v>3</v>
      </c>
      <c r="AT129">
        <v>0.06</v>
      </c>
      <c r="AU129" t="s">
        <v>3</v>
      </c>
      <c r="AV129">
        <v>0</v>
      </c>
      <c r="AW129">
        <v>2</v>
      </c>
      <c r="AX129">
        <v>29836926</v>
      </c>
      <c r="AY129">
        <v>1</v>
      </c>
      <c r="AZ129">
        <v>0</v>
      </c>
      <c r="BA129">
        <v>137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CX129">
        <f>Y129*Source!I109</f>
        <v>8.4000000000000012E-3</v>
      </c>
      <c r="CY129">
        <f>AA129</f>
        <v>5801.83</v>
      </c>
      <c r="CZ129">
        <f>AE129</f>
        <v>799.15</v>
      </c>
      <c r="DA129">
        <f>AI129</f>
        <v>7.26</v>
      </c>
      <c r="DB129">
        <f>ROUND(ROUND(AT129*CZ129,2),0)</f>
        <v>48</v>
      </c>
      <c r="DC129">
        <f>ROUND(ROUND(AT129*AG129,2),0)</f>
        <v>0</v>
      </c>
    </row>
    <row r="130" spans="1:107" x14ac:dyDescent="0.2">
      <c r="A130">
        <f>ROW(Source!A109)</f>
        <v>109</v>
      </c>
      <c r="B130">
        <v>29836452</v>
      </c>
      <c r="C130">
        <v>29836911</v>
      </c>
      <c r="D130">
        <v>28283721</v>
      </c>
      <c r="E130">
        <v>1</v>
      </c>
      <c r="F130">
        <v>1</v>
      </c>
      <c r="G130">
        <v>1</v>
      </c>
      <c r="H130">
        <v>3</v>
      </c>
      <c r="I130" t="s">
        <v>383</v>
      </c>
      <c r="J130" t="s">
        <v>384</v>
      </c>
      <c r="K130" t="s">
        <v>385</v>
      </c>
      <c r="L130">
        <v>1339</v>
      </c>
      <c r="N130">
        <v>1007</v>
      </c>
      <c r="O130" t="s">
        <v>56</v>
      </c>
      <c r="P130" t="s">
        <v>56</v>
      </c>
      <c r="Q130">
        <v>1</v>
      </c>
      <c r="W130">
        <v>0</v>
      </c>
      <c r="X130">
        <v>1684834088</v>
      </c>
      <c r="Y130">
        <v>0.17</v>
      </c>
      <c r="AA130">
        <v>9555.32</v>
      </c>
      <c r="AB130">
        <v>0</v>
      </c>
      <c r="AC130">
        <v>0</v>
      </c>
      <c r="AD130">
        <v>0</v>
      </c>
      <c r="AE130">
        <v>1316.16</v>
      </c>
      <c r="AF130">
        <v>0</v>
      </c>
      <c r="AG130">
        <v>0</v>
      </c>
      <c r="AH130">
        <v>0</v>
      </c>
      <c r="AI130">
        <v>7.26</v>
      </c>
      <c r="AJ130">
        <v>1</v>
      </c>
      <c r="AK130">
        <v>1</v>
      </c>
      <c r="AL130">
        <v>1</v>
      </c>
      <c r="AN130">
        <v>0</v>
      </c>
      <c r="AO130">
        <v>1</v>
      </c>
      <c r="AP130">
        <v>0</v>
      </c>
      <c r="AQ130">
        <v>0</v>
      </c>
      <c r="AR130">
        <v>0</v>
      </c>
      <c r="AS130" t="s">
        <v>3</v>
      </c>
      <c r="AT130">
        <v>0.17</v>
      </c>
      <c r="AU130" t="s">
        <v>3</v>
      </c>
      <c r="AV130">
        <v>0</v>
      </c>
      <c r="AW130">
        <v>2</v>
      </c>
      <c r="AX130">
        <v>29836927</v>
      </c>
      <c r="AY130">
        <v>1</v>
      </c>
      <c r="AZ130">
        <v>0</v>
      </c>
      <c r="BA130">
        <v>138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CX130">
        <f>Y130*Source!I109</f>
        <v>2.3800000000000005E-2</v>
      </c>
      <c r="CY130">
        <f>AA130</f>
        <v>9555.32</v>
      </c>
      <c r="CZ130">
        <f>AE130</f>
        <v>1316.16</v>
      </c>
      <c r="DA130">
        <f>AI130</f>
        <v>7.26</v>
      </c>
      <c r="DB130">
        <f>ROUND(ROUND(AT130*CZ130,2),0)</f>
        <v>224</v>
      </c>
      <c r="DC130">
        <f>ROUND(ROUND(AT130*AG130,2),0)</f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39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ROW(Source!A28)</f>
        <v>28</v>
      </c>
      <c r="B1">
        <v>29836638</v>
      </c>
      <c r="C1">
        <v>29836632</v>
      </c>
      <c r="D1">
        <v>28419637</v>
      </c>
      <c r="E1">
        <v>1</v>
      </c>
      <c r="F1">
        <v>1</v>
      </c>
      <c r="G1">
        <v>1</v>
      </c>
      <c r="H1">
        <v>1</v>
      </c>
      <c r="I1" t="s">
        <v>309</v>
      </c>
      <c r="J1" t="s">
        <v>3</v>
      </c>
      <c r="K1" t="s">
        <v>310</v>
      </c>
      <c r="L1">
        <v>1191</v>
      </c>
      <c r="N1">
        <v>1013</v>
      </c>
      <c r="O1" t="s">
        <v>311</v>
      </c>
      <c r="P1" t="s">
        <v>311</v>
      </c>
      <c r="Q1">
        <v>1</v>
      </c>
      <c r="X1">
        <v>31.32</v>
      </c>
      <c r="Y1">
        <v>0</v>
      </c>
      <c r="Z1">
        <v>0</v>
      </c>
      <c r="AA1">
        <v>0</v>
      </c>
      <c r="AB1">
        <v>6.97</v>
      </c>
      <c r="AC1">
        <v>0</v>
      </c>
      <c r="AD1">
        <v>1</v>
      </c>
      <c r="AE1">
        <v>1</v>
      </c>
      <c r="AF1" t="s">
        <v>32</v>
      </c>
      <c r="AG1">
        <v>36.018000000000001</v>
      </c>
      <c r="AH1">
        <v>2</v>
      </c>
      <c r="AI1">
        <v>29836633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ROW(Source!A28)</f>
        <v>28</v>
      </c>
      <c r="B2">
        <v>29836639</v>
      </c>
      <c r="C2">
        <v>29836632</v>
      </c>
      <c r="D2">
        <v>28419515</v>
      </c>
      <c r="E2">
        <v>1</v>
      </c>
      <c r="F2">
        <v>1</v>
      </c>
      <c r="G2">
        <v>1</v>
      </c>
      <c r="H2">
        <v>1</v>
      </c>
      <c r="I2" t="s">
        <v>312</v>
      </c>
      <c r="J2" t="s">
        <v>3</v>
      </c>
      <c r="K2" t="s">
        <v>313</v>
      </c>
      <c r="L2">
        <v>1191</v>
      </c>
      <c r="N2">
        <v>1013</v>
      </c>
      <c r="O2" t="s">
        <v>311</v>
      </c>
      <c r="P2" t="s">
        <v>311</v>
      </c>
      <c r="Q2">
        <v>1</v>
      </c>
      <c r="X2">
        <v>90.09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F2" t="s">
        <v>31</v>
      </c>
      <c r="AG2">
        <v>112.61250000000001</v>
      </c>
      <c r="AH2">
        <v>2</v>
      </c>
      <c r="AI2">
        <v>29836634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ROW(Source!A28)</f>
        <v>28</v>
      </c>
      <c r="B3">
        <v>29836640</v>
      </c>
      <c r="C3">
        <v>29836632</v>
      </c>
      <c r="D3">
        <v>28335946</v>
      </c>
      <c r="E3">
        <v>1</v>
      </c>
      <c r="F3">
        <v>1</v>
      </c>
      <c r="G3">
        <v>1</v>
      </c>
      <c r="H3">
        <v>2</v>
      </c>
      <c r="I3" t="s">
        <v>314</v>
      </c>
      <c r="J3" t="s">
        <v>315</v>
      </c>
      <c r="K3" t="s">
        <v>316</v>
      </c>
      <c r="L3">
        <v>1368</v>
      </c>
      <c r="N3">
        <v>1011</v>
      </c>
      <c r="O3" t="s">
        <v>317</v>
      </c>
      <c r="P3" t="s">
        <v>317</v>
      </c>
      <c r="Q3">
        <v>1</v>
      </c>
      <c r="X3">
        <v>17.05</v>
      </c>
      <c r="Y3">
        <v>0</v>
      </c>
      <c r="Z3">
        <v>60.56</v>
      </c>
      <c r="AA3">
        <v>10.130000000000001</v>
      </c>
      <c r="AB3">
        <v>0</v>
      </c>
      <c r="AC3">
        <v>0</v>
      </c>
      <c r="AD3">
        <v>1</v>
      </c>
      <c r="AE3">
        <v>0</v>
      </c>
      <c r="AF3" t="s">
        <v>31</v>
      </c>
      <c r="AG3">
        <v>21.3125</v>
      </c>
      <c r="AH3">
        <v>2</v>
      </c>
      <c r="AI3">
        <v>29836635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ROW(Source!A28)</f>
        <v>28</v>
      </c>
      <c r="B4">
        <v>29836641</v>
      </c>
      <c r="C4">
        <v>29836632</v>
      </c>
      <c r="D4">
        <v>28336068</v>
      </c>
      <c r="E4">
        <v>1</v>
      </c>
      <c r="F4">
        <v>1</v>
      </c>
      <c r="G4">
        <v>1</v>
      </c>
      <c r="H4">
        <v>2</v>
      </c>
      <c r="I4" t="s">
        <v>318</v>
      </c>
      <c r="J4" t="s">
        <v>319</v>
      </c>
      <c r="K4" t="s">
        <v>320</v>
      </c>
      <c r="L4">
        <v>1368</v>
      </c>
      <c r="N4">
        <v>1011</v>
      </c>
      <c r="O4" t="s">
        <v>317</v>
      </c>
      <c r="P4" t="s">
        <v>317</v>
      </c>
      <c r="Q4">
        <v>1</v>
      </c>
      <c r="X4">
        <v>73.040000000000006</v>
      </c>
      <c r="Y4">
        <v>0</v>
      </c>
      <c r="Z4">
        <v>70.489999999999995</v>
      </c>
      <c r="AA4">
        <v>10.130000000000001</v>
      </c>
      <c r="AB4">
        <v>0</v>
      </c>
      <c r="AC4">
        <v>0</v>
      </c>
      <c r="AD4">
        <v>1</v>
      </c>
      <c r="AE4">
        <v>0</v>
      </c>
      <c r="AF4" t="s">
        <v>31</v>
      </c>
      <c r="AG4">
        <v>91.300000000000011</v>
      </c>
      <c r="AH4">
        <v>2</v>
      </c>
      <c r="AI4">
        <v>29836636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ROW(Source!A28)</f>
        <v>28</v>
      </c>
      <c r="B5">
        <v>29836642</v>
      </c>
      <c r="C5">
        <v>29836632</v>
      </c>
      <c r="D5">
        <v>28257901</v>
      </c>
      <c r="E5">
        <v>1</v>
      </c>
      <c r="F5">
        <v>1</v>
      </c>
      <c r="G5">
        <v>1</v>
      </c>
      <c r="H5">
        <v>3</v>
      </c>
      <c r="I5" t="s">
        <v>321</v>
      </c>
      <c r="J5" t="s">
        <v>322</v>
      </c>
      <c r="K5" t="s">
        <v>323</v>
      </c>
      <c r="L5">
        <v>1339</v>
      </c>
      <c r="N5">
        <v>1007</v>
      </c>
      <c r="O5" t="s">
        <v>56</v>
      </c>
      <c r="P5" t="s">
        <v>56</v>
      </c>
      <c r="Q5">
        <v>1</v>
      </c>
      <c r="X5">
        <v>0.04</v>
      </c>
      <c r="Y5">
        <v>165.33</v>
      </c>
      <c r="Z5">
        <v>0</v>
      </c>
      <c r="AA5">
        <v>0</v>
      </c>
      <c r="AB5">
        <v>0</v>
      </c>
      <c r="AC5">
        <v>0</v>
      </c>
      <c r="AD5">
        <v>1</v>
      </c>
      <c r="AE5">
        <v>0</v>
      </c>
      <c r="AF5" t="s">
        <v>3</v>
      </c>
      <c r="AG5">
        <v>0.04</v>
      </c>
      <c r="AH5">
        <v>2</v>
      </c>
      <c r="AI5">
        <v>29836637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ROW(Source!A30)</f>
        <v>30</v>
      </c>
      <c r="B6">
        <v>29836653</v>
      </c>
      <c r="C6">
        <v>29836644</v>
      </c>
      <c r="D6">
        <v>28422787</v>
      </c>
      <c r="E6">
        <v>1</v>
      </c>
      <c r="F6">
        <v>1</v>
      </c>
      <c r="G6">
        <v>1</v>
      </c>
      <c r="H6">
        <v>1</v>
      </c>
      <c r="I6" t="s">
        <v>324</v>
      </c>
      <c r="J6" t="s">
        <v>3</v>
      </c>
      <c r="K6" t="s">
        <v>325</v>
      </c>
      <c r="L6">
        <v>1191</v>
      </c>
      <c r="N6">
        <v>1013</v>
      </c>
      <c r="O6" t="s">
        <v>311</v>
      </c>
      <c r="P6" t="s">
        <v>311</v>
      </c>
      <c r="Q6">
        <v>1</v>
      </c>
      <c r="X6">
        <v>24.19</v>
      </c>
      <c r="Y6">
        <v>0</v>
      </c>
      <c r="Z6">
        <v>0</v>
      </c>
      <c r="AA6">
        <v>0</v>
      </c>
      <c r="AB6">
        <v>7.22</v>
      </c>
      <c r="AC6">
        <v>0</v>
      </c>
      <c r="AD6">
        <v>1</v>
      </c>
      <c r="AE6">
        <v>1</v>
      </c>
      <c r="AF6" t="s">
        <v>32</v>
      </c>
      <c r="AG6">
        <v>27.8185</v>
      </c>
      <c r="AH6">
        <v>2</v>
      </c>
      <c r="AI6">
        <v>29836645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ROW(Source!A30)</f>
        <v>30</v>
      </c>
      <c r="B7">
        <v>29836654</v>
      </c>
      <c r="C7">
        <v>29836644</v>
      </c>
      <c r="D7">
        <v>28419515</v>
      </c>
      <c r="E7">
        <v>1</v>
      </c>
      <c r="F7">
        <v>1</v>
      </c>
      <c r="G7">
        <v>1</v>
      </c>
      <c r="H7">
        <v>1</v>
      </c>
      <c r="I7" t="s">
        <v>312</v>
      </c>
      <c r="J7" t="s">
        <v>3</v>
      </c>
      <c r="K7" t="s">
        <v>313</v>
      </c>
      <c r="L7">
        <v>1191</v>
      </c>
      <c r="N7">
        <v>1013</v>
      </c>
      <c r="O7" t="s">
        <v>311</v>
      </c>
      <c r="P7" t="s">
        <v>311</v>
      </c>
      <c r="Q7">
        <v>1</v>
      </c>
      <c r="X7">
        <v>20.6</v>
      </c>
      <c r="Y7">
        <v>0</v>
      </c>
      <c r="Z7">
        <v>0</v>
      </c>
      <c r="AA7">
        <v>0</v>
      </c>
      <c r="AB7">
        <v>0</v>
      </c>
      <c r="AC7">
        <v>0</v>
      </c>
      <c r="AD7">
        <v>1</v>
      </c>
      <c r="AE7">
        <v>2</v>
      </c>
      <c r="AF7" t="s">
        <v>31</v>
      </c>
      <c r="AG7">
        <v>25.75</v>
      </c>
      <c r="AH7">
        <v>2</v>
      </c>
      <c r="AI7">
        <v>29836646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ROW(Source!A30)</f>
        <v>30</v>
      </c>
      <c r="B8">
        <v>29836655</v>
      </c>
      <c r="C8">
        <v>29836644</v>
      </c>
      <c r="D8">
        <v>28335948</v>
      </c>
      <c r="E8">
        <v>1</v>
      </c>
      <c r="F8">
        <v>1</v>
      </c>
      <c r="G8">
        <v>1</v>
      </c>
      <c r="H8">
        <v>2</v>
      </c>
      <c r="I8" t="s">
        <v>326</v>
      </c>
      <c r="J8" t="s">
        <v>327</v>
      </c>
      <c r="K8" t="s">
        <v>328</v>
      </c>
      <c r="L8">
        <v>1368</v>
      </c>
      <c r="N8">
        <v>1011</v>
      </c>
      <c r="O8" t="s">
        <v>317</v>
      </c>
      <c r="P8" t="s">
        <v>317</v>
      </c>
      <c r="Q8">
        <v>1</v>
      </c>
      <c r="X8">
        <v>2.59</v>
      </c>
      <c r="Y8">
        <v>0</v>
      </c>
      <c r="Z8">
        <v>80.62</v>
      </c>
      <c r="AA8">
        <v>11.84</v>
      </c>
      <c r="AB8">
        <v>0</v>
      </c>
      <c r="AC8">
        <v>0</v>
      </c>
      <c r="AD8">
        <v>1</v>
      </c>
      <c r="AE8">
        <v>0</v>
      </c>
      <c r="AF8" t="s">
        <v>31</v>
      </c>
      <c r="AG8">
        <v>3.2374999999999998</v>
      </c>
      <c r="AH8">
        <v>2</v>
      </c>
      <c r="AI8">
        <v>29836647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ROW(Source!A30)</f>
        <v>30</v>
      </c>
      <c r="B9">
        <v>29836656</v>
      </c>
      <c r="C9">
        <v>29836644</v>
      </c>
      <c r="D9">
        <v>28335972</v>
      </c>
      <c r="E9">
        <v>1</v>
      </c>
      <c r="F9">
        <v>1</v>
      </c>
      <c r="G9">
        <v>1</v>
      </c>
      <c r="H9">
        <v>2</v>
      </c>
      <c r="I9" t="s">
        <v>329</v>
      </c>
      <c r="J9" t="s">
        <v>330</v>
      </c>
      <c r="K9" t="s">
        <v>331</v>
      </c>
      <c r="L9">
        <v>1368</v>
      </c>
      <c r="N9">
        <v>1011</v>
      </c>
      <c r="O9" t="s">
        <v>317</v>
      </c>
      <c r="P9" t="s">
        <v>317</v>
      </c>
      <c r="Q9">
        <v>1</v>
      </c>
      <c r="X9">
        <v>2.2999999999999998</v>
      </c>
      <c r="Y9">
        <v>0</v>
      </c>
      <c r="Z9">
        <v>126.71</v>
      </c>
      <c r="AA9">
        <v>11.84</v>
      </c>
      <c r="AB9">
        <v>0</v>
      </c>
      <c r="AC9">
        <v>0</v>
      </c>
      <c r="AD9">
        <v>1</v>
      </c>
      <c r="AE9">
        <v>0</v>
      </c>
      <c r="AF9" t="s">
        <v>31</v>
      </c>
      <c r="AG9">
        <v>2.875</v>
      </c>
      <c r="AH9">
        <v>2</v>
      </c>
      <c r="AI9">
        <v>29836648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ROW(Source!A30)</f>
        <v>30</v>
      </c>
      <c r="B10">
        <v>29836657</v>
      </c>
      <c r="C10">
        <v>29836644</v>
      </c>
      <c r="D10">
        <v>28336884</v>
      </c>
      <c r="E10">
        <v>1</v>
      </c>
      <c r="F10">
        <v>1</v>
      </c>
      <c r="G10">
        <v>1</v>
      </c>
      <c r="H10">
        <v>2</v>
      </c>
      <c r="I10" t="s">
        <v>332</v>
      </c>
      <c r="J10" t="s">
        <v>333</v>
      </c>
      <c r="K10" t="s">
        <v>334</v>
      </c>
      <c r="L10">
        <v>1368</v>
      </c>
      <c r="N10">
        <v>1011</v>
      </c>
      <c r="O10" t="s">
        <v>317</v>
      </c>
      <c r="P10" t="s">
        <v>317</v>
      </c>
      <c r="Q10">
        <v>1</v>
      </c>
      <c r="X10">
        <v>2.46</v>
      </c>
      <c r="Y10">
        <v>0</v>
      </c>
      <c r="Z10">
        <v>93.73</v>
      </c>
      <c r="AA10">
        <v>8.82</v>
      </c>
      <c r="AB10">
        <v>0</v>
      </c>
      <c r="AC10">
        <v>0</v>
      </c>
      <c r="AD10">
        <v>1</v>
      </c>
      <c r="AE10">
        <v>0</v>
      </c>
      <c r="AF10" t="s">
        <v>31</v>
      </c>
      <c r="AG10">
        <v>3.0750000000000002</v>
      </c>
      <c r="AH10">
        <v>2</v>
      </c>
      <c r="AI10">
        <v>29836649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ROW(Source!A30)</f>
        <v>30</v>
      </c>
      <c r="B11">
        <v>29836658</v>
      </c>
      <c r="C11">
        <v>29836644</v>
      </c>
      <c r="D11">
        <v>28337209</v>
      </c>
      <c r="E11">
        <v>1</v>
      </c>
      <c r="F11">
        <v>1</v>
      </c>
      <c r="G11">
        <v>1</v>
      </c>
      <c r="H11">
        <v>2</v>
      </c>
      <c r="I11" t="s">
        <v>335</v>
      </c>
      <c r="J11" t="s">
        <v>336</v>
      </c>
      <c r="K11" t="s">
        <v>337</v>
      </c>
      <c r="L11">
        <v>1368</v>
      </c>
      <c r="N11">
        <v>1011</v>
      </c>
      <c r="O11" t="s">
        <v>317</v>
      </c>
      <c r="P11" t="s">
        <v>317</v>
      </c>
      <c r="Q11">
        <v>1</v>
      </c>
      <c r="X11">
        <v>12.21</v>
      </c>
      <c r="Y11">
        <v>0</v>
      </c>
      <c r="Z11">
        <v>207.12</v>
      </c>
      <c r="AA11">
        <v>12.63</v>
      </c>
      <c r="AB11">
        <v>0</v>
      </c>
      <c r="AC11">
        <v>0</v>
      </c>
      <c r="AD11">
        <v>1</v>
      </c>
      <c r="AE11">
        <v>0</v>
      </c>
      <c r="AF11" t="s">
        <v>31</v>
      </c>
      <c r="AG11">
        <v>15.262500000000001</v>
      </c>
      <c r="AH11">
        <v>2</v>
      </c>
      <c r="AI11">
        <v>29836650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ROW(Source!A30)</f>
        <v>30</v>
      </c>
      <c r="B12">
        <v>29836659</v>
      </c>
      <c r="C12">
        <v>29836644</v>
      </c>
      <c r="D12">
        <v>28337789</v>
      </c>
      <c r="E12">
        <v>1</v>
      </c>
      <c r="F12">
        <v>1</v>
      </c>
      <c r="G12">
        <v>1</v>
      </c>
      <c r="H12">
        <v>2</v>
      </c>
      <c r="I12" t="s">
        <v>338</v>
      </c>
      <c r="J12" t="s">
        <v>339</v>
      </c>
      <c r="K12" t="s">
        <v>340</v>
      </c>
      <c r="L12">
        <v>1368</v>
      </c>
      <c r="N12">
        <v>1011</v>
      </c>
      <c r="O12" t="s">
        <v>317</v>
      </c>
      <c r="P12" t="s">
        <v>317</v>
      </c>
      <c r="Q12">
        <v>1</v>
      </c>
      <c r="X12">
        <v>1.04</v>
      </c>
      <c r="Y12">
        <v>0</v>
      </c>
      <c r="Z12">
        <v>119.44</v>
      </c>
      <c r="AA12">
        <v>10.130000000000001</v>
      </c>
      <c r="AB12">
        <v>0</v>
      </c>
      <c r="AC12">
        <v>0</v>
      </c>
      <c r="AD12">
        <v>1</v>
      </c>
      <c r="AE12">
        <v>0</v>
      </c>
      <c r="AF12" t="s">
        <v>31</v>
      </c>
      <c r="AG12">
        <v>1.3</v>
      </c>
      <c r="AH12">
        <v>2</v>
      </c>
      <c r="AI12">
        <v>29836651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">
      <c r="A13">
        <f>ROW(Source!A30)</f>
        <v>30</v>
      </c>
      <c r="B13">
        <v>29836660</v>
      </c>
      <c r="C13">
        <v>29836644</v>
      </c>
      <c r="D13">
        <v>28253181</v>
      </c>
      <c r="E13">
        <v>1</v>
      </c>
      <c r="F13">
        <v>1</v>
      </c>
      <c r="G13">
        <v>1</v>
      </c>
      <c r="H13">
        <v>3</v>
      </c>
      <c r="I13" t="s">
        <v>341</v>
      </c>
      <c r="J13" t="s">
        <v>342</v>
      </c>
      <c r="K13" t="s">
        <v>343</v>
      </c>
      <c r="L13">
        <v>1339</v>
      </c>
      <c r="N13">
        <v>1007</v>
      </c>
      <c r="O13" t="s">
        <v>56</v>
      </c>
      <c r="P13" t="s">
        <v>56</v>
      </c>
      <c r="Q13">
        <v>1</v>
      </c>
      <c r="X13">
        <v>7</v>
      </c>
      <c r="Y13">
        <v>2.44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0</v>
      </c>
      <c r="AF13" t="s">
        <v>3</v>
      </c>
      <c r="AG13">
        <v>7</v>
      </c>
      <c r="AH13">
        <v>2</v>
      </c>
      <c r="AI13">
        <v>29836652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2">
      <c r="A14">
        <f>ROW(Source!A30)</f>
        <v>30</v>
      </c>
      <c r="B14">
        <v>29836661</v>
      </c>
      <c r="C14">
        <v>29836644</v>
      </c>
      <c r="D14">
        <v>28248815</v>
      </c>
      <c r="E14">
        <v>21</v>
      </c>
      <c r="F14">
        <v>1</v>
      </c>
      <c r="G14">
        <v>1</v>
      </c>
      <c r="H14">
        <v>3</v>
      </c>
      <c r="I14" t="s">
        <v>211</v>
      </c>
      <c r="J14" t="s">
        <v>3</v>
      </c>
      <c r="K14" t="s">
        <v>411</v>
      </c>
      <c r="L14">
        <v>1339</v>
      </c>
      <c r="N14">
        <v>1007</v>
      </c>
      <c r="O14" t="s">
        <v>56</v>
      </c>
      <c r="P14" t="s">
        <v>56</v>
      </c>
      <c r="Q14">
        <v>1</v>
      </c>
      <c r="X14">
        <v>0</v>
      </c>
      <c r="Y14">
        <v>0</v>
      </c>
      <c r="Z14">
        <v>0</v>
      </c>
      <c r="AA14">
        <v>0</v>
      </c>
      <c r="AB14">
        <v>0</v>
      </c>
      <c r="AC14">
        <v>1</v>
      </c>
      <c r="AD14">
        <v>0</v>
      </c>
      <c r="AE14">
        <v>0</v>
      </c>
      <c r="AF14" t="s">
        <v>3</v>
      </c>
      <c r="AG14">
        <v>0</v>
      </c>
      <c r="AH14">
        <v>3</v>
      </c>
      <c r="AI14">
        <v>-1</v>
      </c>
      <c r="AJ14" t="s">
        <v>3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x14ac:dyDescent="0.2">
      <c r="A15">
        <f>ROW(Source!A33)</f>
        <v>33</v>
      </c>
      <c r="B15">
        <v>29837196</v>
      </c>
      <c r="C15">
        <v>29837195</v>
      </c>
      <c r="D15">
        <v>28421130</v>
      </c>
      <c r="E15">
        <v>1</v>
      </c>
      <c r="F15">
        <v>1</v>
      </c>
      <c r="G15">
        <v>1</v>
      </c>
      <c r="H15">
        <v>1</v>
      </c>
      <c r="I15" t="s">
        <v>344</v>
      </c>
      <c r="J15" t="s">
        <v>3</v>
      </c>
      <c r="K15" t="s">
        <v>345</v>
      </c>
      <c r="L15">
        <v>1191</v>
      </c>
      <c r="N15">
        <v>1013</v>
      </c>
      <c r="O15" t="s">
        <v>311</v>
      </c>
      <c r="P15" t="s">
        <v>311</v>
      </c>
      <c r="Q15">
        <v>1</v>
      </c>
      <c r="X15">
        <v>15.72</v>
      </c>
      <c r="Y15">
        <v>0</v>
      </c>
      <c r="Z15">
        <v>0</v>
      </c>
      <c r="AA15">
        <v>0</v>
      </c>
      <c r="AB15">
        <v>7.16</v>
      </c>
      <c r="AC15">
        <v>0</v>
      </c>
      <c r="AD15">
        <v>1</v>
      </c>
      <c r="AE15">
        <v>1</v>
      </c>
      <c r="AF15" t="s">
        <v>3</v>
      </c>
      <c r="AG15">
        <v>15.72</v>
      </c>
      <c r="AH15">
        <v>2</v>
      </c>
      <c r="AI15">
        <v>29837196</v>
      </c>
      <c r="AJ15">
        <v>14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x14ac:dyDescent="0.2">
      <c r="A16">
        <f>ROW(Source!A33)</f>
        <v>33</v>
      </c>
      <c r="B16">
        <v>29837197</v>
      </c>
      <c r="C16">
        <v>29837195</v>
      </c>
      <c r="D16">
        <v>28419515</v>
      </c>
      <c r="E16">
        <v>1</v>
      </c>
      <c r="F16">
        <v>1</v>
      </c>
      <c r="G16">
        <v>1</v>
      </c>
      <c r="H16">
        <v>1</v>
      </c>
      <c r="I16" t="s">
        <v>312</v>
      </c>
      <c r="J16" t="s">
        <v>3</v>
      </c>
      <c r="K16" t="s">
        <v>313</v>
      </c>
      <c r="L16">
        <v>1191</v>
      </c>
      <c r="N16">
        <v>1013</v>
      </c>
      <c r="O16" t="s">
        <v>311</v>
      </c>
      <c r="P16" t="s">
        <v>311</v>
      </c>
      <c r="Q16">
        <v>1</v>
      </c>
      <c r="X16">
        <v>14.81</v>
      </c>
      <c r="Y16">
        <v>0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2</v>
      </c>
      <c r="AF16" t="s">
        <v>3</v>
      </c>
      <c r="AG16">
        <v>14.81</v>
      </c>
      <c r="AH16">
        <v>2</v>
      </c>
      <c r="AI16">
        <v>29837197</v>
      </c>
      <c r="AJ16">
        <v>15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ROW(Source!A33)</f>
        <v>33</v>
      </c>
      <c r="B17">
        <v>29837198</v>
      </c>
      <c r="C17">
        <v>29837195</v>
      </c>
      <c r="D17">
        <v>28335972</v>
      </c>
      <c r="E17">
        <v>1</v>
      </c>
      <c r="F17">
        <v>1</v>
      </c>
      <c r="G17">
        <v>1</v>
      </c>
      <c r="H17">
        <v>2</v>
      </c>
      <c r="I17" t="s">
        <v>329</v>
      </c>
      <c r="J17" t="s">
        <v>330</v>
      </c>
      <c r="K17" t="s">
        <v>331</v>
      </c>
      <c r="L17">
        <v>1368</v>
      </c>
      <c r="N17">
        <v>1011</v>
      </c>
      <c r="O17" t="s">
        <v>317</v>
      </c>
      <c r="P17" t="s">
        <v>317</v>
      </c>
      <c r="Q17">
        <v>1</v>
      </c>
      <c r="X17">
        <v>1.93</v>
      </c>
      <c r="Y17">
        <v>0</v>
      </c>
      <c r="Z17">
        <v>126.71</v>
      </c>
      <c r="AA17">
        <v>11.84</v>
      </c>
      <c r="AB17">
        <v>0</v>
      </c>
      <c r="AC17">
        <v>0</v>
      </c>
      <c r="AD17">
        <v>1</v>
      </c>
      <c r="AE17">
        <v>0</v>
      </c>
      <c r="AF17" t="s">
        <v>3</v>
      </c>
      <c r="AG17">
        <v>1.93</v>
      </c>
      <c r="AH17">
        <v>2</v>
      </c>
      <c r="AI17">
        <v>29837198</v>
      </c>
      <c r="AJ17">
        <v>16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ROW(Source!A33)</f>
        <v>33</v>
      </c>
      <c r="B18">
        <v>29837199</v>
      </c>
      <c r="C18">
        <v>29837195</v>
      </c>
      <c r="D18">
        <v>28336884</v>
      </c>
      <c r="E18">
        <v>1</v>
      </c>
      <c r="F18">
        <v>1</v>
      </c>
      <c r="G18">
        <v>1</v>
      </c>
      <c r="H18">
        <v>2</v>
      </c>
      <c r="I18" t="s">
        <v>332</v>
      </c>
      <c r="J18" t="s">
        <v>333</v>
      </c>
      <c r="K18" t="s">
        <v>334</v>
      </c>
      <c r="L18">
        <v>1368</v>
      </c>
      <c r="N18">
        <v>1011</v>
      </c>
      <c r="O18" t="s">
        <v>317</v>
      </c>
      <c r="P18" t="s">
        <v>317</v>
      </c>
      <c r="Q18">
        <v>1</v>
      </c>
      <c r="X18">
        <v>4.76</v>
      </c>
      <c r="Y18">
        <v>0</v>
      </c>
      <c r="Z18">
        <v>93.73</v>
      </c>
      <c r="AA18">
        <v>8.82</v>
      </c>
      <c r="AB18">
        <v>0</v>
      </c>
      <c r="AC18">
        <v>0</v>
      </c>
      <c r="AD18">
        <v>1</v>
      </c>
      <c r="AE18">
        <v>0</v>
      </c>
      <c r="AF18" t="s">
        <v>3</v>
      </c>
      <c r="AG18">
        <v>4.76</v>
      </c>
      <c r="AH18">
        <v>2</v>
      </c>
      <c r="AI18">
        <v>29837199</v>
      </c>
      <c r="AJ18">
        <v>17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">
      <c r="A19">
        <f>ROW(Source!A33)</f>
        <v>33</v>
      </c>
      <c r="B19">
        <v>29837200</v>
      </c>
      <c r="C19">
        <v>29837195</v>
      </c>
      <c r="D19">
        <v>28337209</v>
      </c>
      <c r="E19">
        <v>1</v>
      </c>
      <c r="F19">
        <v>1</v>
      </c>
      <c r="G19">
        <v>1</v>
      </c>
      <c r="H19">
        <v>2</v>
      </c>
      <c r="I19" t="s">
        <v>335</v>
      </c>
      <c r="J19" t="s">
        <v>336</v>
      </c>
      <c r="K19" t="s">
        <v>337</v>
      </c>
      <c r="L19">
        <v>1368</v>
      </c>
      <c r="N19">
        <v>1011</v>
      </c>
      <c r="O19" t="s">
        <v>317</v>
      </c>
      <c r="P19" t="s">
        <v>317</v>
      </c>
      <c r="Q19">
        <v>1</v>
      </c>
      <c r="X19">
        <v>7.08</v>
      </c>
      <c r="Y19">
        <v>0</v>
      </c>
      <c r="Z19">
        <v>207.12</v>
      </c>
      <c r="AA19">
        <v>12.63</v>
      </c>
      <c r="AB19">
        <v>0</v>
      </c>
      <c r="AC19">
        <v>0</v>
      </c>
      <c r="AD19">
        <v>1</v>
      </c>
      <c r="AE19">
        <v>0</v>
      </c>
      <c r="AF19" t="s">
        <v>3</v>
      </c>
      <c r="AG19">
        <v>7.08</v>
      </c>
      <c r="AH19">
        <v>2</v>
      </c>
      <c r="AI19">
        <v>29837200</v>
      </c>
      <c r="AJ19">
        <v>18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ROW(Source!A33)</f>
        <v>33</v>
      </c>
      <c r="B20">
        <v>29837201</v>
      </c>
      <c r="C20">
        <v>29837195</v>
      </c>
      <c r="D20">
        <v>28337789</v>
      </c>
      <c r="E20">
        <v>1</v>
      </c>
      <c r="F20">
        <v>1</v>
      </c>
      <c r="G20">
        <v>1</v>
      </c>
      <c r="H20">
        <v>2</v>
      </c>
      <c r="I20" t="s">
        <v>338</v>
      </c>
      <c r="J20" t="s">
        <v>339</v>
      </c>
      <c r="K20" t="s">
        <v>340</v>
      </c>
      <c r="L20">
        <v>1368</v>
      </c>
      <c r="N20">
        <v>1011</v>
      </c>
      <c r="O20" t="s">
        <v>317</v>
      </c>
      <c r="P20" t="s">
        <v>317</v>
      </c>
      <c r="Q20">
        <v>1</v>
      </c>
      <c r="X20">
        <v>1.04</v>
      </c>
      <c r="Y20">
        <v>0</v>
      </c>
      <c r="Z20">
        <v>119.44</v>
      </c>
      <c r="AA20">
        <v>10.130000000000001</v>
      </c>
      <c r="AB20">
        <v>0</v>
      </c>
      <c r="AC20">
        <v>0</v>
      </c>
      <c r="AD20">
        <v>1</v>
      </c>
      <c r="AE20">
        <v>0</v>
      </c>
      <c r="AF20" t="s">
        <v>3</v>
      </c>
      <c r="AG20">
        <v>1.04</v>
      </c>
      <c r="AH20">
        <v>2</v>
      </c>
      <c r="AI20">
        <v>29837201</v>
      </c>
      <c r="AJ20">
        <v>19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x14ac:dyDescent="0.2">
      <c r="A21">
        <f>ROW(Source!A33)</f>
        <v>33</v>
      </c>
      <c r="B21">
        <v>29837202</v>
      </c>
      <c r="C21">
        <v>29837195</v>
      </c>
      <c r="D21">
        <v>28253181</v>
      </c>
      <c r="E21">
        <v>1</v>
      </c>
      <c r="F21">
        <v>1</v>
      </c>
      <c r="G21">
        <v>1</v>
      </c>
      <c r="H21">
        <v>3</v>
      </c>
      <c r="I21" t="s">
        <v>341</v>
      </c>
      <c r="J21" t="s">
        <v>342</v>
      </c>
      <c r="K21" t="s">
        <v>343</v>
      </c>
      <c r="L21">
        <v>1339</v>
      </c>
      <c r="N21">
        <v>1007</v>
      </c>
      <c r="O21" t="s">
        <v>56</v>
      </c>
      <c r="P21" t="s">
        <v>56</v>
      </c>
      <c r="Q21">
        <v>1</v>
      </c>
      <c r="X21">
        <v>7</v>
      </c>
      <c r="Y21">
        <v>2.44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0</v>
      </c>
      <c r="AF21" t="s">
        <v>3</v>
      </c>
      <c r="AG21">
        <v>7</v>
      </c>
      <c r="AH21">
        <v>2</v>
      </c>
      <c r="AI21">
        <v>29837202</v>
      </c>
      <c r="AJ21">
        <v>20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2">
      <c r="A22">
        <f>ROW(Source!A33)</f>
        <v>33</v>
      </c>
      <c r="B22">
        <v>29837203</v>
      </c>
      <c r="C22">
        <v>29837195</v>
      </c>
      <c r="D22">
        <v>28250006</v>
      </c>
      <c r="E22">
        <v>21</v>
      </c>
      <c r="F22">
        <v>1</v>
      </c>
      <c r="G22">
        <v>1</v>
      </c>
      <c r="H22">
        <v>3</v>
      </c>
      <c r="I22" t="s">
        <v>70</v>
      </c>
      <c r="J22" t="s">
        <v>3</v>
      </c>
      <c r="K22" t="s">
        <v>71</v>
      </c>
      <c r="L22">
        <v>1339</v>
      </c>
      <c r="N22">
        <v>1007</v>
      </c>
      <c r="O22" t="s">
        <v>56</v>
      </c>
      <c r="P22" t="s">
        <v>56</v>
      </c>
      <c r="Q22">
        <v>1</v>
      </c>
      <c r="X22">
        <v>0</v>
      </c>
      <c r="Y22">
        <v>0</v>
      </c>
      <c r="Z22">
        <v>0</v>
      </c>
      <c r="AA22">
        <v>0</v>
      </c>
      <c r="AB22">
        <v>0</v>
      </c>
      <c r="AC22">
        <v>1</v>
      </c>
      <c r="AD22">
        <v>0</v>
      </c>
      <c r="AE22">
        <v>0</v>
      </c>
      <c r="AF22" t="s">
        <v>3</v>
      </c>
      <c r="AG22">
        <v>0</v>
      </c>
      <c r="AH22">
        <v>2</v>
      </c>
      <c r="AI22">
        <v>29837203</v>
      </c>
      <c r="AJ22">
        <v>21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2">
      <c r="A23">
        <f>ROW(Source!A36)</f>
        <v>36</v>
      </c>
      <c r="B23">
        <v>29836679</v>
      </c>
      <c r="C23">
        <v>29836664</v>
      </c>
      <c r="D23">
        <v>28425676</v>
      </c>
      <c r="E23">
        <v>1</v>
      </c>
      <c r="F23">
        <v>1</v>
      </c>
      <c r="G23">
        <v>1</v>
      </c>
      <c r="H23">
        <v>1</v>
      </c>
      <c r="I23" t="s">
        <v>346</v>
      </c>
      <c r="J23" t="s">
        <v>3</v>
      </c>
      <c r="K23" t="s">
        <v>347</v>
      </c>
      <c r="L23">
        <v>1191</v>
      </c>
      <c r="N23">
        <v>1013</v>
      </c>
      <c r="O23" t="s">
        <v>311</v>
      </c>
      <c r="P23" t="s">
        <v>311</v>
      </c>
      <c r="Q23">
        <v>1</v>
      </c>
      <c r="X23">
        <v>38.299999999999997</v>
      </c>
      <c r="Y23">
        <v>0</v>
      </c>
      <c r="Z23">
        <v>0</v>
      </c>
      <c r="AA23">
        <v>0</v>
      </c>
      <c r="AB23">
        <v>8.59</v>
      </c>
      <c r="AC23">
        <v>0</v>
      </c>
      <c r="AD23">
        <v>1</v>
      </c>
      <c r="AE23">
        <v>1</v>
      </c>
      <c r="AF23" t="s">
        <v>32</v>
      </c>
      <c r="AG23">
        <v>44.044999999999995</v>
      </c>
      <c r="AH23">
        <v>2</v>
      </c>
      <c r="AI23">
        <v>29836665</v>
      </c>
      <c r="AJ23">
        <v>22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x14ac:dyDescent="0.2">
      <c r="A24">
        <f>ROW(Source!A36)</f>
        <v>36</v>
      </c>
      <c r="B24">
        <v>29836680</v>
      </c>
      <c r="C24">
        <v>29836664</v>
      </c>
      <c r="D24">
        <v>28419515</v>
      </c>
      <c r="E24">
        <v>1</v>
      </c>
      <c r="F24">
        <v>1</v>
      </c>
      <c r="G24">
        <v>1</v>
      </c>
      <c r="H24">
        <v>1</v>
      </c>
      <c r="I24" t="s">
        <v>312</v>
      </c>
      <c r="J24" t="s">
        <v>3</v>
      </c>
      <c r="K24" t="s">
        <v>313</v>
      </c>
      <c r="L24">
        <v>1191</v>
      </c>
      <c r="N24">
        <v>1013</v>
      </c>
      <c r="O24" t="s">
        <v>311</v>
      </c>
      <c r="P24" t="s">
        <v>311</v>
      </c>
      <c r="Q24">
        <v>1</v>
      </c>
      <c r="X24">
        <v>19.12</v>
      </c>
      <c r="Y24">
        <v>0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2</v>
      </c>
      <c r="AF24" t="s">
        <v>31</v>
      </c>
      <c r="AG24">
        <v>23.900000000000002</v>
      </c>
      <c r="AH24">
        <v>2</v>
      </c>
      <c r="AI24">
        <v>29836666</v>
      </c>
      <c r="AJ24">
        <v>23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x14ac:dyDescent="0.2">
      <c r="A25">
        <f>ROW(Source!A36)</f>
        <v>36</v>
      </c>
      <c r="B25">
        <v>29836681</v>
      </c>
      <c r="C25">
        <v>29836664</v>
      </c>
      <c r="D25">
        <v>28336675</v>
      </c>
      <c r="E25">
        <v>1</v>
      </c>
      <c r="F25">
        <v>1</v>
      </c>
      <c r="G25">
        <v>1</v>
      </c>
      <c r="H25">
        <v>2</v>
      </c>
      <c r="I25" t="s">
        <v>348</v>
      </c>
      <c r="J25" t="s">
        <v>349</v>
      </c>
      <c r="K25" t="s">
        <v>350</v>
      </c>
      <c r="L25">
        <v>1368</v>
      </c>
      <c r="N25">
        <v>1011</v>
      </c>
      <c r="O25" t="s">
        <v>317</v>
      </c>
      <c r="P25" t="s">
        <v>317</v>
      </c>
      <c r="Q25">
        <v>1</v>
      </c>
      <c r="X25">
        <v>0.03</v>
      </c>
      <c r="Y25">
        <v>0</v>
      </c>
      <c r="Z25">
        <v>112.77</v>
      </c>
      <c r="AA25">
        <v>11.84</v>
      </c>
      <c r="AB25">
        <v>0</v>
      </c>
      <c r="AC25">
        <v>0</v>
      </c>
      <c r="AD25">
        <v>1</v>
      </c>
      <c r="AE25">
        <v>0</v>
      </c>
      <c r="AF25" t="s">
        <v>31</v>
      </c>
      <c r="AG25">
        <v>3.7499999999999999E-2</v>
      </c>
      <c r="AH25">
        <v>2</v>
      </c>
      <c r="AI25">
        <v>29836667</v>
      </c>
      <c r="AJ25">
        <v>24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ROW(Source!A36)</f>
        <v>36</v>
      </c>
      <c r="B26">
        <v>29836682</v>
      </c>
      <c r="C26">
        <v>29836664</v>
      </c>
      <c r="D26">
        <v>28337132</v>
      </c>
      <c r="E26">
        <v>1</v>
      </c>
      <c r="F26">
        <v>1</v>
      </c>
      <c r="G26">
        <v>1</v>
      </c>
      <c r="H26">
        <v>2</v>
      </c>
      <c r="I26" t="s">
        <v>351</v>
      </c>
      <c r="J26" t="s">
        <v>352</v>
      </c>
      <c r="K26" t="s">
        <v>353</v>
      </c>
      <c r="L26">
        <v>1368</v>
      </c>
      <c r="N26">
        <v>1011</v>
      </c>
      <c r="O26" t="s">
        <v>317</v>
      </c>
      <c r="P26" t="s">
        <v>317</v>
      </c>
      <c r="Q26">
        <v>1</v>
      </c>
      <c r="X26">
        <v>3.19</v>
      </c>
      <c r="Y26">
        <v>0</v>
      </c>
      <c r="Z26">
        <v>194.89</v>
      </c>
      <c r="AA26">
        <v>12.63</v>
      </c>
      <c r="AB26">
        <v>0</v>
      </c>
      <c r="AC26">
        <v>0</v>
      </c>
      <c r="AD26">
        <v>1</v>
      </c>
      <c r="AE26">
        <v>0</v>
      </c>
      <c r="AF26" t="s">
        <v>31</v>
      </c>
      <c r="AG26">
        <v>3.9874999999999998</v>
      </c>
      <c r="AH26">
        <v>2</v>
      </c>
      <c r="AI26">
        <v>29836668</v>
      </c>
      <c r="AJ26">
        <v>25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ROW(Source!A36)</f>
        <v>36</v>
      </c>
      <c r="B27">
        <v>29836683</v>
      </c>
      <c r="C27">
        <v>29836664</v>
      </c>
      <c r="D27">
        <v>28337147</v>
      </c>
      <c r="E27">
        <v>1</v>
      </c>
      <c r="F27">
        <v>1</v>
      </c>
      <c r="G27">
        <v>1</v>
      </c>
      <c r="H27">
        <v>2</v>
      </c>
      <c r="I27" t="s">
        <v>354</v>
      </c>
      <c r="J27" t="s">
        <v>355</v>
      </c>
      <c r="K27" t="s">
        <v>356</v>
      </c>
      <c r="L27">
        <v>1368</v>
      </c>
      <c r="N27">
        <v>1011</v>
      </c>
      <c r="O27" t="s">
        <v>317</v>
      </c>
      <c r="P27" t="s">
        <v>317</v>
      </c>
      <c r="Q27">
        <v>1</v>
      </c>
      <c r="X27">
        <v>1.4</v>
      </c>
      <c r="Y27">
        <v>0</v>
      </c>
      <c r="Z27">
        <v>17.2</v>
      </c>
      <c r="AA27">
        <v>0</v>
      </c>
      <c r="AB27">
        <v>0</v>
      </c>
      <c r="AC27">
        <v>0</v>
      </c>
      <c r="AD27">
        <v>1</v>
      </c>
      <c r="AE27">
        <v>0</v>
      </c>
      <c r="AF27" t="s">
        <v>31</v>
      </c>
      <c r="AG27">
        <v>1.75</v>
      </c>
      <c r="AH27">
        <v>2</v>
      </c>
      <c r="AI27">
        <v>29836669</v>
      </c>
      <c r="AJ27">
        <v>26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ROW(Source!A36)</f>
        <v>36</v>
      </c>
      <c r="B28">
        <v>29836684</v>
      </c>
      <c r="C28">
        <v>29836664</v>
      </c>
      <c r="D28">
        <v>28337181</v>
      </c>
      <c r="E28">
        <v>1</v>
      </c>
      <c r="F28">
        <v>1</v>
      </c>
      <c r="G28">
        <v>1</v>
      </c>
      <c r="H28">
        <v>2</v>
      </c>
      <c r="I28" t="s">
        <v>357</v>
      </c>
      <c r="J28" t="s">
        <v>358</v>
      </c>
      <c r="K28" t="s">
        <v>359</v>
      </c>
      <c r="L28">
        <v>1368</v>
      </c>
      <c r="N28">
        <v>1011</v>
      </c>
      <c r="O28" t="s">
        <v>317</v>
      </c>
      <c r="P28" t="s">
        <v>317</v>
      </c>
      <c r="Q28">
        <v>1</v>
      </c>
      <c r="X28">
        <v>3.96</v>
      </c>
      <c r="Y28">
        <v>0</v>
      </c>
      <c r="Z28">
        <v>75.510000000000005</v>
      </c>
      <c r="AA28">
        <v>10.130000000000001</v>
      </c>
      <c r="AB28">
        <v>0</v>
      </c>
      <c r="AC28">
        <v>0</v>
      </c>
      <c r="AD28">
        <v>1</v>
      </c>
      <c r="AE28">
        <v>0</v>
      </c>
      <c r="AF28" t="s">
        <v>31</v>
      </c>
      <c r="AG28">
        <v>4.95</v>
      </c>
      <c r="AH28">
        <v>2</v>
      </c>
      <c r="AI28">
        <v>29836670</v>
      </c>
      <c r="AJ28">
        <v>27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x14ac:dyDescent="0.2">
      <c r="A29">
        <f>ROW(Source!A36)</f>
        <v>36</v>
      </c>
      <c r="B29">
        <v>29836685</v>
      </c>
      <c r="C29">
        <v>29836664</v>
      </c>
      <c r="D29">
        <v>28337185</v>
      </c>
      <c r="E29">
        <v>1</v>
      </c>
      <c r="F29">
        <v>1</v>
      </c>
      <c r="G29">
        <v>1</v>
      </c>
      <c r="H29">
        <v>2</v>
      </c>
      <c r="I29" t="s">
        <v>360</v>
      </c>
      <c r="J29" t="s">
        <v>361</v>
      </c>
      <c r="K29" t="s">
        <v>362</v>
      </c>
      <c r="L29">
        <v>1368</v>
      </c>
      <c r="N29">
        <v>1011</v>
      </c>
      <c r="O29" t="s">
        <v>317</v>
      </c>
      <c r="P29" t="s">
        <v>317</v>
      </c>
      <c r="Q29">
        <v>1</v>
      </c>
      <c r="X29">
        <v>11.51</v>
      </c>
      <c r="Y29">
        <v>0</v>
      </c>
      <c r="Z29">
        <v>120.77</v>
      </c>
      <c r="AA29">
        <v>12.63</v>
      </c>
      <c r="AB29">
        <v>0</v>
      </c>
      <c r="AC29">
        <v>0</v>
      </c>
      <c r="AD29">
        <v>1</v>
      </c>
      <c r="AE29">
        <v>0</v>
      </c>
      <c r="AF29" t="s">
        <v>31</v>
      </c>
      <c r="AG29">
        <v>14.387499999999999</v>
      </c>
      <c r="AH29">
        <v>2</v>
      </c>
      <c r="AI29">
        <v>29836671</v>
      </c>
      <c r="AJ29">
        <v>28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x14ac:dyDescent="0.2">
      <c r="A30">
        <f>ROW(Source!A36)</f>
        <v>36</v>
      </c>
      <c r="B30">
        <v>29836686</v>
      </c>
      <c r="C30">
        <v>29836664</v>
      </c>
      <c r="D30">
        <v>28337789</v>
      </c>
      <c r="E30">
        <v>1</v>
      </c>
      <c r="F30">
        <v>1</v>
      </c>
      <c r="G30">
        <v>1</v>
      </c>
      <c r="H30">
        <v>2</v>
      </c>
      <c r="I30" t="s">
        <v>338</v>
      </c>
      <c r="J30" t="s">
        <v>339</v>
      </c>
      <c r="K30" t="s">
        <v>340</v>
      </c>
      <c r="L30">
        <v>1368</v>
      </c>
      <c r="N30">
        <v>1011</v>
      </c>
      <c r="O30" t="s">
        <v>317</v>
      </c>
      <c r="P30" t="s">
        <v>317</v>
      </c>
      <c r="Q30">
        <v>1</v>
      </c>
      <c r="X30">
        <v>0.39</v>
      </c>
      <c r="Y30">
        <v>0</v>
      </c>
      <c r="Z30">
        <v>119.44</v>
      </c>
      <c r="AA30">
        <v>10.130000000000001</v>
      </c>
      <c r="AB30">
        <v>0</v>
      </c>
      <c r="AC30">
        <v>0</v>
      </c>
      <c r="AD30">
        <v>1</v>
      </c>
      <c r="AE30">
        <v>0</v>
      </c>
      <c r="AF30" t="s">
        <v>31</v>
      </c>
      <c r="AG30">
        <v>0.48750000000000004</v>
      </c>
      <c r="AH30">
        <v>2</v>
      </c>
      <c r="AI30">
        <v>29836672</v>
      </c>
      <c r="AJ30">
        <v>29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x14ac:dyDescent="0.2">
      <c r="A31">
        <f>ROW(Source!A36)</f>
        <v>36</v>
      </c>
      <c r="B31">
        <v>29836687</v>
      </c>
      <c r="C31">
        <v>29836664</v>
      </c>
      <c r="D31">
        <v>28337840</v>
      </c>
      <c r="E31">
        <v>1</v>
      </c>
      <c r="F31">
        <v>1</v>
      </c>
      <c r="G31">
        <v>1</v>
      </c>
      <c r="H31">
        <v>2</v>
      </c>
      <c r="I31" t="s">
        <v>363</v>
      </c>
      <c r="J31" t="s">
        <v>364</v>
      </c>
      <c r="K31" t="s">
        <v>365</v>
      </c>
      <c r="L31">
        <v>1368</v>
      </c>
      <c r="N31">
        <v>1011</v>
      </c>
      <c r="O31" t="s">
        <v>317</v>
      </c>
      <c r="P31" t="s">
        <v>317</v>
      </c>
      <c r="Q31">
        <v>1</v>
      </c>
      <c r="X31">
        <v>0.04</v>
      </c>
      <c r="Y31">
        <v>0</v>
      </c>
      <c r="Z31">
        <v>86.79</v>
      </c>
      <c r="AA31">
        <v>10.130000000000001</v>
      </c>
      <c r="AB31">
        <v>0</v>
      </c>
      <c r="AC31">
        <v>0</v>
      </c>
      <c r="AD31">
        <v>1</v>
      </c>
      <c r="AE31">
        <v>0</v>
      </c>
      <c r="AF31" t="s">
        <v>31</v>
      </c>
      <c r="AG31">
        <v>0.05</v>
      </c>
      <c r="AH31">
        <v>2</v>
      </c>
      <c r="AI31">
        <v>29836673</v>
      </c>
      <c r="AJ31">
        <v>30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x14ac:dyDescent="0.2">
      <c r="A32">
        <f>ROW(Source!A36)</f>
        <v>36</v>
      </c>
      <c r="B32">
        <v>29836688</v>
      </c>
      <c r="C32">
        <v>29836664</v>
      </c>
      <c r="D32">
        <v>28249509</v>
      </c>
      <c r="E32">
        <v>21</v>
      </c>
      <c r="F32">
        <v>1</v>
      </c>
      <c r="G32">
        <v>1</v>
      </c>
      <c r="H32">
        <v>3</v>
      </c>
      <c r="I32" t="s">
        <v>82</v>
      </c>
      <c r="J32" t="s">
        <v>3</v>
      </c>
      <c r="K32" t="s">
        <v>83</v>
      </c>
      <c r="L32">
        <v>1348</v>
      </c>
      <c r="N32">
        <v>1009</v>
      </c>
      <c r="O32" t="s">
        <v>84</v>
      </c>
      <c r="P32" t="s">
        <v>84</v>
      </c>
      <c r="Q32">
        <v>1000</v>
      </c>
      <c r="X32">
        <v>1.0800000000000001E-2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 t="s">
        <v>3</v>
      </c>
      <c r="AG32">
        <v>1.0800000000000001E-2</v>
      </c>
      <c r="AH32">
        <v>2</v>
      </c>
      <c r="AI32">
        <v>29836674</v>
      </c>
      <c r="AJ32">
        <v>31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x14ac:dyDescent="0.2">
      <c r="A33">
        <f>ROW(Source!A36)</f>
        <v>36</v>
      </c>
      <c r="B33">
        <v>29836689</v>
      </c>
      <c r="C33">
        <v>29836664</v>
      </c>
      <c r="D33">
        <v>28253181</v>
      </c>
      <c r="E33">
        <v>1</v>
      </c>
      <c r="F33">
        <v>1</v>
      </c>
      <c r="G33">
        <v>1</v>
      </c>
      <c r="H33">
        <v>3</v>
      </c>
      <c r="I33" t="s">
        <v>341</v>
      </c>
      <c r="J33" t="s">
        <v>342</v>
      </c>
      <c r="K33" t="s">
        <v>343</v>
      </c>
      <c r="L33">
        <v>1339</v>
      </c>
      <c r="N33">
        <v>1007</v>
      </c>
      <c r="O33" t="s">
        <v>56</v>
      </c>
      <c r="P33" t="s">
        <v>56</v>
      </c>
      <c r="Q33">
        <v>1</v>
      </c>
      <c r="X33">
        <v>0.2</v>
      </c>
      <c r="Y33">
        <v>2.44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F33" t="s">
        <v>3</v>
      </c>
      <c r="AG33">
        <v>0.2</v>
      </c>
      <c r="AH33">
        <v>2</v>
      </c>
      <c r="AI33">
        <v>29836675</v>
      </c>
      <c r="AJ33">
        <v>32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x14ac:dyDescent="0.2">
      <c r="A34">
        <f>ROW(Source!A36)</f>
        <v>36</v>
      </c>
      <c r="B34">
        <v>29836690</v>
      </c>
      <c r="C34">
        <v>29836664</v>
      </c>
      <c r="D34">
        <v>28247645</v>
      </c>
      <c r="E34">
        <v>21</v>
      </c>
      <c r="F34">
        <v>1</v>
      </c>
      <c r="G34">
        <v>1</v>
      </c>
      <c r="H34">
        <v>3</v>
      </c>
      <c r="I34" t="s">
        <v>86</v>
      </c>
      <c r="J34" t="s">
        <v>3</v>
      </c>
      <c r="K34" t="s">
        <v>87</v>
      </c>
      <c r="L34">
        <v>1348</v>
      </c>
      <c r="N34">
        <v>1009</v>
      </c>
      <c r="O34" t="s">
        <v>84</v>
      </c>
      <c r="P34" t="s">
        <v>84</v>
      </c>
      <c r="Q34">
        <v>1000</v>
      </c>
      <c r="X34">
        <v>95.8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 t="s">
        <v>3</v>
      </c>
      <c r="AG34">
        <v>95.8</v>
      </c>
      <c r="AH34">
        <v>2</v>
      </c>
      <c r="AI34">
        <v>29836676</v>
      </c>
      <c r="AJ34">
        <v>33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ROW(Source!A36)</f>
        <v>36</v>
      </c>
      <c r="B35">
        <v>29836691</v>
      </c>
      <c r="C35">
        <v>29836664</v>
      </c>
      <c r="D35">
        <v>28277600</v>
      </c>
      <c r="E35">
        <v>1</v>
      </c>
      <c r="F35">
        <v>1</v>
      </c>
      <c r="G35">
        <v>1</v>
      </c>
      <c r="H35">
        <v>3</v>
      </c>
      <c r="I35" t="s">
        <v>366</v>
      </c>
      <c r="J35" t="s">
        <v>367</v>
      </c>
      <c r="K35" t="s">
        <v>368</v>
      </c>
      <c r="L35">
        <v>1348</v>
      </c>
      <c r="N35">
        <v>1009</v>
      </c>
      <c r="O35" t="s">
        <v>84</v>
      </c>
      <c r="P35" t="s">
        <v>84</v>
      </c>
      <c r="Q35">
        <v>1000</v>
      </c>
      <c r="X35">
        <v>6.1999999999999998E-3</v>
      </c>
      <c r="Y35">
        <v>6730.2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0</v>
      </c>
      <c r="AF35" t="s">
        <v>3</v>
      </c>
      <c r="AG35">
        <v>6.1999999999999998E-3</v>
      </c>
      <c r="AH35">
        <v>2</v>
      </c>
      <c r="AI35">
        <v>29836677</v>
      </c>
      <c r="AJ35">
        <v>34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ROW(Source!A36)</f>
        <v>36</v>
      </c>
      <c r="B36">
        <v>29836692</v>
      </c>
      <c r="C36">
        <v>29836664</v>
      </c>
      <c r="D36">
        <v>28283690</v>
      </c>
      <c r="E36">
        <v>1</v>
      </c>
      <c r="F36">
        <v>1</v>
      </c>
      <c r="G36">
        <v>1</v>
      </c>
      <c r="H36">
        <v>3</v>
      </c>
      <c r="I36" t="s">
        <v>369</v>
      </c>
      <c r="J36" t="s">
        <v>370</v>
      </c>
      <c r="K36" t="s">
        <v>371</v>
      </c>
      <c r="L36">
        <v>1339</v>
      </c>
      <c r="N36">
        <v>1007</v>
      </c>
      <c r="O36" t="s">
        <v>56</v>
      </c>
      <c r="P36" t="s">
        <v>56</v>
      </c>
      <c r="Q36">
        <v>1</v>
      </c>
      <c r="X36">
        <v>0.15</v>
      </c>
      <c r="Y36">
        <v>1603.15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0</v>
      </c>
      <c r="AF36" t="s">
        <v>3</v>
      </c>
      <c r="AG36">
        <v>0.15</v>
      </c>
      <c r="AH36">
        <v>2</v>
      </c>
      <c r="AI36">
        <v>29836678</v>
      </c>
      <c r="AJ36">
        <v>35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">
      <c r="A37">
        <f>ROW(Source!A39)</f>
        <v>39</v>
      </c>
      <c r="B37">
        <v>29836700</v>
      </c>
      <c r="C37">
        <v>29836695</v>
      </c>
      <c r="D37">
        <v>28425676</v>
      </c>
      <c r="E37">
        <v>1</v>
      </c>
      <c r="F37">
        <v>1</v>
      </c>
      <c r="G37">
        <v>1</v>
      </c>
      <c r="H37">
        <v>1</v>
      </c>
      <c r="I37" t="s">
        <v>346</v>
      </c>
      <c r="J37" t="s">
        <v>3</v>
      </c>
      <c r="K37" t="s">
        <v>347</v>
      </c>
      <c r="L37">
        <v>1191</v>
      </c>
      <c r="N37">
        <v>1013</v>
      </c>
      <c r="O37" t="s">
        <v>311</v>
      </c>
      <c r="P37" t="s">
        <v>311</v>
      </c>
      <c r="Q37">
        <v>1</v>
      </c>
      <c r="X37">
        <v>0.09</v>
      </c>
      <c r="Y37">
        <v>0</v>
      </c>
      <c r="Z37">
        <v>0</v>
      </c>
      <c r="AA37">
        <v>0</v>
      </c>
      <c r="AB37">
        <v>8.59</v>
      </c>
      <c r="AC37">
        <v>0</v>
      </c>
      <c r="AD37">
        <v>1</v>
      </c>
      <c r="AE37">
        <v>1</v>
      </c>
      <c r="AF37" t="s">
        <v>94</v>
      </c>
      <c r="AG37">
        <v>0.41399999999999998</v>
      </c>
      <c r="AH37">
        <v>2</v>
      </c>
      <c r="AI37">
        <v>29836696</v>
      </c>
      <c r="AJ37">
        <v>36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x14ac:dyDescent="0.2">
      <c r="A38">
        <f>ROW(Source!A39)</f>
        <v>39</v>
      </c>
      <c r="B38">
        <v>29836701</v>
      </c>
      <c r="C38">
        <v>29836695</v>
      </c>
      <c r="D38">
        <v>28337147</v>
      </c>
      <c r="E38">
        <v>1</v>
      </c>
      <c r="F38">
        <v>1</v>
      </c>
      <c r="G38">
        <v>1</v>
      </c>
      <c r="H38">
        <v>2</v>
      </c>
      <c r="I38" t="s">
        <v>354</v>
      </c>
      <c r="J38" t="s">
        <v>355</v>
      </c>
      <c r="K38" t="s">
        <v>356</v>
      </c>
      <c r="L38">
        <v>1368</v>
      </c>
      <c r="N38">
        <v>1011</v>
      </c>
      <c r="O38" t="s">
        <v>317</v>
      </c>
      <c r="P38" t="s">
        <v>317</v>
      </c>
      <c r="Q38">
        <v>1</v>
      </c>
      <c r="X38">
        <v>0.17</v>
      </c>
      <c r="Y38">
        <v>0</v>
      </c>
      <c r="Z38">
        <v>17.2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93</v>
      </c>
      <c r="AG38">
        <v>0.85000000000000009</v>
      </c>
      <c r="AH38">
        <v>2</v>
      </c>
      <c r="AI38">
        <v>29836697</v>
      </c>
      <c r="AJ38">
        <v>37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x14ac:dyDescent="0.2">
      <c r="A39">
        <f>ROW(Source!A39)</f>
        <v>39</v>
      </c>
      <c r="B39">
        <v>29836702</v>
      </c>
      <c r="C39">
        <v>29836695</v>
      </c>
      <c r="D39">
        <v>28249509</v>
      </c>
      <c r="E39">
        <v>21</v>
      </c>
      <c r="F39">
        <v>1</v>
      </c>
      <c r="G39">
        <v>1</v>
      </c>
      <c r="H39">
        <v>3</v>
      </c>
      <c r="I39" t="s">
        <v>82</v>
      </c>
      <c r="J39" t="s">
        <v>3</v>
      </c>
      <c r="K39" t="s">
        <v>83</v>
      </c>
      <c r="L39">
        <v>1348</v>
      </c>
      <c r="N39">
        <v>1009</v>
      </c>
      <c r="O39" t="s">
        <v>84</v>
      </c>
      <c r="P39" t="s">
        <v>84</v>
      </c>
      <c r="Q39">
        <v>1000</v>
      </c>
      <c r="X39">
        <v>1.4E-3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 t="s">
        <v>92</v>
      </c>
      <c r="AG39">
        <v>5.5999999999999999E-3</v>
      </c>
      <c r="AH39">
        <v>2</v>
      </c>
      <c r="AI39">
        <v>29836698</v>
      </c>
      <c r="AJ39">
        <v>38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x14ac:dyDescent="0.2">
      <c r="A40">
        <f>ROW(Source!A39)</f>
        <v>39</v>
      </c>
      <c r="B40">
        <v>29836703</v>
      </c>
      <c r="C40">
        <v>29836695</v>
      </c>
      <c r="D40">
        <v>28247645</v>
      </c>
      <c r="E40">
        <v>21</v>
      </c>
      <c r="F40">
        <v>1</v>
      </c>
      <c r="G40">
        <v>1</v>
      </c>
      <c r="H40">
        <v>3</v>
      </c>
      <c r="I40" t="s">
        <v>86</v>
      </c>
      <c r="J40" t="s">
        <v>3</v>
      </c>
      <c r="K40" t="s">
        <v>87</v>
      </c>
      <c r="L40">
        <v>1348</v>
      </c>
      <c r="N40">
        <v>1009</v>
      </c>
      <c r="O40" t="s">
        <v>84</v>
      </c>
      <c r="P40" t="s">
        <v>84</v>
      </c>
      <c r="Q40">
        <v>1000</v>
      </c>
      <c r="X40">
        <v>12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 t="s">
        <v>92</v>
      </c>
      <c r="AG40">
        <v>48</v>
      </c>
      <c r="AH40">
        <v>2</v>
      </c>
      <c r="AI40">
        <v>29836699</v>
      </c>
      <c r="AJ40">
        <v>39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x14ac:dyDescent="0.2">
      <c r="A41">
        <f>ROW(Source!A42)</f>
        <v>42</v>
      </c>
      <c r="B41">
        <v>29836711</v>
      </c>
      <c r="C41">
        <v>29836706</v>
      </c>
      <c r="D41">
        <v>28425676</v>
      </c>
      <c r="E41">
        <v>1</v>
      </c>
      <c r="F41">
        <v>1</v>
      </c>
      <c r="G41">
        <v>1</v>
      </c>
      <c r="H41">
        <v>1</v>
      </c>
      <c r="I41" t="s">
        <v>346</v>
      </c>
      <c r="J41" t="s">
        <v>3</v>
      </c>
      <c r="K41" t="s">
        <v>347</v>
      </c>
      <c r="L41">
        <v>1191</v>
      </c>
      <c r="N41">
        <v>1013</v>
      </c>
      <c r="O41" t="s">
        <v>311</v>
      </c>
      <c r="P41" t="s">
        <v>311</v>
      </c>
      <c r="Q41">
        <v>1</v>
      </c>
      <c r="X41">
        <v>0.09</v>
      </c>
      <c r="Y41">
        <v>0</v>
      </c>
      <c r="Z41">
        <v>0</v>
      </c>
      <c r="AA41">
        <v>0</v>
      </c>
      <c r="AB41">
        <v>8.59</v>
      </c>
      <c r="AC41">
        <v>0</v>
      </c>
      <c r="AD41">
        <v>1</v>
      </c>
      <c r="AE41">
        <v>1</v>
      </c>
      <c r="AF41" t="s">
        <v>101</v>
      </c>
      <c r="AG41">
        <v>0.20699999999999999</v>
      </c>
      <c r="AH41">
        <v>2</v>
      </c>
      <c r="AI41">
        <v>29836707</v>
      </c>
      <c r="AJ41">
        <v>40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x14ac:dyDescent="0.2">
      <c r="A42">
        <f>ROW(Source!A42)</f>
        <v>42</v>
      </c>
      <c r="B42">
        <v>29836712</v>
      </c>
      <c r="C42">
        <v>29836706</v>
      </c>
      <c r="D42">
        <v>28337147</v>
      </c>
      <c r="E42">
        <v>1</v>
      </c>
      <c r="F42">
        <v>1</v>
      </c>
      <c r="G42">
        <v>1</v>
      </c>
      <c r="H42">
        <v>2</v>
      </c>
      <c r="I42" t="s">
        <v>354</v>
      </c>
      <c r="J42" t="s">
        <v>355</v>
      </c>
      <c r="K42" t="s">
        <v>356</v>
      </c>
      <c r="L42">
        <v>1368</v>
      </c>
      <c r="N42">
        <v>1011</v>
      </c>
      <c r="O42" t="s">
        <v>317</v>
      </c>
      <c r="P42" t="s">
        <v>317</v>
      </c>
      <c r="Q42">
        <v>1</v>
      </c>
      <c r="X42">
        <v>0.17</v>
      </c>
      <c r="Y42">
        <v>0</v>
      </c>
      <c r="Z42">
        <v>17.2</v>
      </c>
      <c r="AA42">
        <v>0</v>
      </c>
      <c r="AB42">
        <v>0</v>
      </c>
      <c r="AC42">
        <v>0</v>
      </c>
      <c r="AD42">
        <v>1</v>
      </c>
      <c r="AE42">
        <v>0</v>
      </c>
      <c r="AF42" t="s">
        <v>100</v>
      </c>
      <c r="AG42">
        <v>0.42500000000000004</v>
      </c>
      <c r="AH42">
        <v>2</v>
      </c>
      <c r="AI42">
        <v>29836708</v>
      </c>
      <c r="AJ42">
        <v>41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x14ac:dyDescent="0.2">
      <c r="A43">
        <f>ROW(Source!A42)</f>
        <v>42</v>
      </c>
      <c r="B43">
        <v>29836713</v>
      </c>
      <c r="C43">
        <v>29836706</v>
      </c>
      <c r="D43">
        <v>28249509</v>
      </c>
      <c r="E43">
        <v>21</v>
      </c>
      <c r="F43">
        <v>1</v>
      </c>
      <c r="G43">
        <v>1</v>
      </c>
      <c r="H43">
        <v>3</v>
      </c>
      <c r="I43" t="s">
        <v>82</v>
      </c>
      <c r="J43" t="s">
        <v>3</v>
      </c>
      <c r="K43" t="s">
        <v>83</v>
      </c>
      <c r="L43">
        <v>1348</v>
      </c>
      <c r="N43">
        <v>1009</v>
      </c>
      <c r="O43" t="s">
        <v>84</v>
      </c>
      <c r="P43" t="s">
        <v>84</v>
      </c>
      <c r="Q43">
        <v>1000</v>
      </c>
      <c r="X43">
        <v>1.4E-3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 t="s">
        <v>99</v>
      </c>
      <c r="AG43">
        <v>2.8E-3</v>
      </c>
      <c r="AH43">
        <v>2</v>
      </c>
      <c r="AI43">
        <v>29836709</v>
      </c>
      <c r="AJ43">
        <v>42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ROW(Source!A42)</f>
        <v>42</v>
      </c>
      <c r="B44">
        <v>29836714</v>
      </c>
      <c r="C44">
        <v>29836706</v>
      </c>
      <c r="D44">
        <v>28247645</v>
      </c>
      <c r="E44">
        <v>21</v>
      </c>
      <c r="F44">
        <v>1</v>
      </c>
      <c r="G44">
        <v>1</v>
      </c>
      <c r="H44">
        <v>3</v>
      </c>
      <c r="I44" t="s">
        <v>86</v>
      </c>
      <c r="J44" t="s">
        <v>3</v>
      </c>
      <c r="K44" t="s">
        <v>87</v>
      </c>
      <c r="L44">
        <v>1348</v>
      </c>
      <c r="N44">
        <v>1009</v>
      </c>
      <c r="O44" t="s">
        <v>84</v>
      </c>
      <c r="P44" t="s">
        <v>84</v>
      </c>
      <c r="Q44">
        <v>1000</v>
      </c>
      <c r="X44">
        <v>12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 t="s">
        <v>99</v>
      </c>
      <c r="AG44">
        <v>24</v>
      </c>
      <c r="AH44">
        <v>2</v>
      </c>
      <c r="AI44">
        <v>29836710</v>
      </c>
      <c r="AJ44">
        <v>43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ROW(Source!A45)</f>
        <v>45</v>
      </c>
      <c r="B45">
        <v>29836732</v>
      </c>
      <c r="C45">
        <v>29836717</v>
      </c>
      <c r="D45">
        <v>28425676</v>
      </c>
      <c r="E45">
        <v>1</v>
      </c>
      <c r="F45">
        <v>1</v>
      </c>
      <c r="G45">
        <v>1</v>
      </c>
      <c r="H45">
        <v>1</v>
      </c>
      <c r="I45" t="s">
        <v>346</v>
      </c>
      <c r="J45" t="s">
        <v>3</v>
      </c>
      <c r="K45" t="s">
        <v>347</v>
      </c>
      <c r="L45">
        <v>1191</v>
      </c>
      <c r="N45">
        <v>1013</v>
      </c>
      <c r="O45" t="s">
        <v>311</v>
      </c>
      <c r="P45" t="s">
        <v>311</v>
      </c>
      <c r="Q45">
        <v>1</v>
      </c>
      <c r="X45">
        <v>38.299999999999997</v>
      </c>
      <c r="Y45">
        <v>0</v>
      </c>
      <c r="Z45">
        <v>0</v>
      </c>
      <c r="AA45">
        <v>0</v>
      </c>
      <c r="AB45">
        <v>8.59</v>
      </c>
      <c r="AC45">
        <v>0</v>
      </c>
      <c r="AD45">
        <v>1</v>
      </c>
      <c r="AE45">
        <v>1</v>
      </c>
      <c r="AF45" t="s">
        <v>32</v>
      </c>
      <c r="AG45">
        <v>44.044999999999995</v>
      </c>
      <c r="AH45">
        <v>2</v>
      </c>
      <c r="AI45">
        <v>29836718</v>
      </c>
      <c r="AJ45">
        <v>44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ROW(Source!A45)</f>
        <v>45</v>
      </c>
      <c r="B46">
        <v>29836733</v>
      </c>
      <c r="C46">
        <v>29836717</v>
      </c>
      <c r="D46">
        <v>28419515</v>
      </c>
      <c r="E46">
        <v>1</v>
      </c>
      <c r="F46">
        <v>1</v>
      </c>
      <c r="G46">
        <v>1</v>
      </c>
      <c r="H46">
        <v>1</v>
      </c>
      <c r="I46" t="s">
        <v>312</v>
      </c>
      <c r="J46" t="s">
        <v>3</v>
      </c>
      <c r="K46" t="s">
        <v>313</v>
      </c>
      <c r="L46">
        <v>1191</v>
      </c>
      <c r="N46">
        <v>1013</v>
      </c>
      <c r="O46" t="s">
        <v>311</v>
      </c>
      <c r="P46" t="s">
        <v>311</v>
      </c>
      <c r="Q46">
        <v>1</v>
      </c>
      <c r="X46">
        <v>19.12</v>
      </c>
      <c r="Y46">
        <v>0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2</v>
      </c>
      <c r="AF46" t="s">
        <v>31</v>
      </c>
      <c r="AG46">
        <v>23.900000000000002</v>
      </c>
      <c r="AH46">
        <v>2</v>
      </c>
      <c r="AI46">
        <v>29836719</v>
      </c>
      <c r="AJ46">
        <v>45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ROW(Source!A45)</f>
        <v>45</v>
      </c>
      <c r="B47">
        <v>29836734</v>
      </c>
      <c r="C47">
        <v>29836717</v>
      </c>
      <c r="D47">
        <v>28336675</v>
      </c>
      <c r="E47">
        <v>1</v>
      </c>
      <c r="F47">
        <v>1</v>
      </c>
      <c r="G47">
        <v>1</v>
      </c>
      <c r="H47">
        <v>2</v>
      </c>
      <c r="I47" t="s">
        <v>348</v>
      </c>
      <c r="J47" t="s">
        <v>349</v>
      </c>
      <c r="K47" t="s">
        <v>350</v>
      </c>
      <c r="L47">
        <v>1368</v>
      </c>
      <c r="N47">
        <v>1011</v>
      </c>
      <c r="O47" t="s">
        <v>317</v>
      </c>
      <c r="P47" t="s">
        <v>317</v>
      </c>
      <c r="Q47">
        <v>1</v>
      </c>
      <c r="X47">
        <v>0.03</v>
      </c>
      <c r="Y47">
        <v>0</v>
      </c>
      <c r="Z47">
        <v>112.77</v>
      </c>
      <c r="AA47">
        <v>11.84</v>
      </c>
      <c r="AB47">
        <v>0</v>
      </c>
      <c r="AC47">
        <v>0</v>
      </c>
      <c r="AD47">
        <v>1</v>
      </c>
      <c r="AE47">
        <v>0</v>
      </c>
      <c r="AF47" t="s">
        <v>31</v>
      </c>
      <c r="AG47">
        <v>3.7499999999999999E-2</v>
      </c>
      <c r="AH47">
        <v>2</v>
      </c>
      <c r="AI47">
        <v>29836720</v>
      </c>
      <c r="AJ47">
        <v>46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ROW(Source!A45)</f>
        <v>45</v>
      </c>
      <c r="B48">
        <v>29836735</v>
      </c>
      <c r="C48">
        <v>29836717</v>
      </c>
      <c r="D48">
        <v>28337132</v>
      </c>
      <c r="E48">
        <v>1</v>
      </c>
      <c r="F48">
        <v>1</v>
      </c>
      <c r="G48">
        <v>1</v>
      </c>
      <c r="H48">
        <v>2</v>
      </c>
      <c r="I48" t="s">
        <v>351</v>
      </c>
      <c r="J48" t="s">
        <v>352</v>
      </c>
      <c r="K48" t="s">
        <v>353</v>
      </c>
      <c r="L48">
        <v>1368</v>
      </c>
      <c r="N48">
        <v>1011</v>
      </c>
      <c r="O48" t="s">
        <v>317</v>
      </c>
      <c r="P48" t="s">
        <v>317</v>
      </c>
      <c r="Q48">
        <v>1</v>
      </c>
      <c r="X48">
        <v>3.19</v>
      </c>
      <c r="Y48">
        <v>0</v>
      </c>
      <c r="Z48">
        <v>194.89</v>
      </c>
      <c r="AA48">
        <v>12.63</v>
      </c>
      <c r="AB48">
        <v>0</v>
      </c>
      <c r="AC48">
        <v>0</v>
      </c>
      <c r="AD48">
        <v>1</v>
      </c>
      <c r="AE48">
        <v>0</v>
      </c>
      <c r="AF48" t="s">
        <v>31</v>
      </c>
      <c r="AG48">
        <v>3.9874999999999998</v>
      </c>
      <c r="AH48">
        <v>2</v>
      </c>
      <c r="AI48">
        <v>29836721</v>
      </c>
      <c r="AJ48">
        <v>47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>
        <f>ROW(Source!A45)</f>
        <v>45</v>
      </c>
      <c r="B49">
        <v>29836736</v>
      </c>
      <c r="C49">
        <v>29836717</v>
      </c>
      <c r="D49">
        <v>28337147</v>
      </c>
      <c r="E49">
        <v>1</v>
      </c>
      <c r="F49">
        <v>1</v>
      </c>
      <c r="G49">
        <v>1</v>
      </c>
      <c r="H49">
        <v>2</v>
      </c>
      <c r="I49" t="s">
        <v>354</v>
      </c>
      <c r="J49" t="s">
        <v>355</v>
      </c>
      <c r="K49" t="s">
        <v>356</v>
      </c>
      <c r="L49">
        <v>1368</v>
      </c>
      <c r="N49">
        <v>1011</v>
      </c>
      <c r="O49" t="s">
        <v>317</v>
      </c>
      <c r="P49" t="s">
        <v>317</v>
      </c>
      <c r="Q49">
        <v>1</v>
      </c>
      <c r="X49">
        <v>1.4</v>
      </c>
      <c r="Y49">
        <v>0</v>
      </c>
      <c r="Z49">
        <v>17.2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31</v>
      </c>
      <c r="AG49">
        <v>1.75</v>
      </c>
      <c r="AH49">
        <v>2</v>
      </c>
      <c r="AI49">
        <v>29836722</v>
      </c>
      <c r="AJ49">
        <v>48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x14ac:dyDescent="0.2">
      <c r="A50">
        <f>ROW(Source!A45)</f>
        <v>45</v>
      </c>
      <c r="B50">
        <v>29836737</v>
      </c>
      <c r="C50">
        <v>29836717</v>
      </c>
      <c r="D50">
        <v>28337181</v>
      </c>
      <c r="E50">
        <v>1</v>
      </c>
      <c r="F50">
        <v>1</v>
      </c>
      <c r="G50">
        <v>1</v>
      </c>
      <c r="H50">
        <v>2</v>
      </c>
      <c r="I50" t="s">
        <v>357</v>
      </c>
      <c r="J50" t="s">
        <v>358</v>
      </c>
      <c r="K50" t="s">
        <v>359</v>
      </c>
      <c r="L50">
        <v>1368</v>
      </c>
      <c r="N50">
        <v>1011</v>
      </c>
      <c r="O50" t="s">
        <v>317</v>
      </c>
      <c r="P50" t="s">
        <v>317</v>
      </c>
      <c r="Q50">
        <v>1</v>
      </c>
      <c r="X50">
        <v>3.96</v>
      </c>
      <c r="Y50">
        <v>0</v>
      </c>
      <c r="Z50">
        <v>75.510000000000005</v>
      </c>
      <c r="AA50">
        <v>10.130000000000001</v>
      </c>
      <c r="AB50">
        <v>0</v>
      </c>
      <c r="AC50">
        <v>0</v>
      </c>
      <c r="AD50">
        <v>1</v>
      </c>
      <c r="AE50">
        <v>0</v>
      </c>
      <c r="AF50" t="s">
        <v>31</v>
      </c>
      <c r="AG50">
        <v>4.95</v>
      </c>
      <c r="AH50">
        <v>2</v>
      </c>
      <c r="AI50">
        <v>29836723</v>
      </c>
      <c r="AJ50">
        <v>49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x14ac:dyDescent="0.2">
      <c r="A51">
        <f>ROW(Source!A45)</f>
        <v>45</v>
      </c>
      <c r="B51">
        <v>29836738</v>
      </c>
      <c r="C51">
        <v>29836717</v>
      </c>
      <c r="D51">
        <v>28337185</v>
      </c>
      <c r="E51">
        <v>1</v>
      </c>
      <c r="F51">
        <v>1</v>
      </c>
      <c r="G51">
        <v>1</v>
      </c>
      <c r="H51">
        <v>2</v>
      </c>
      <c r="I51" t="s">
        <v>360</v>
      </c>
      <c r="J51" t="s">
        <v>361</v>
      </c>
      <c r="K51" t="s">
        <v>362</v>
      </c>
      <c r="L51">
        <v>1368</v>
      </c>
      <c r="N51">
        <v>1011</v>
      </c>
      <c r="O51" t="s">
        <v>317</v>
      </c>
      <c r="P51" t="s">
        <v>317</v>
      </c>
      <c r="Q51">
        <v>1</v>
      </c>
      <c r="X51">
        <v>11.51</v>
      </c>
      <c r="Y51">
        <v>0</v>
      </c>
      <c r="Z51">
        <v>120.77</v>
      </c>
      <c r="AA51">
        <v>12.63</v>
      </c>
      <c r="AB51">
        <v>0</v>
      </c>
      <c r="AC51">
        <v>0</v>
      </c>
      <c r="AD51">
        <v>1</v>
      </c>
      <c r="AE51">
        <v>0</v>
      </c>
      <c r="AF51" t="s">
        <v>31</v>
      </c>
      <c r="AG51">
        <v>14.387499999999999</v>
      </c>
      <c r="AH51">
        <v>2</v>
      </c>
      <c r="AI51">
        <v>29836724</v>
      </c>
      <c r="AJ51">
        <v>50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x14ac:dyDescent="0.2">
      <c r="A52">
        <f>ROW(Source!A45)</f>
        <v>45</v>
      </c>
      <c r="B52">
        <v>29836739</v>
      </c>
      <c r="C52">
        <v>29836717</v>
      </c>
      <c r="D52">
        <v>28337789</v>
      </c>
      <c r="E52">
        <v>1</v>
      </c>
      <c r="F52">
        <v>1</v>
      </c>
      <c r="G52">
        <v>1</v>
      </c>
      <c r="H52">
        <v>2</v>
      </c>
      <c r="I52" t="s">
        <v>338</v>
      </c>
      <c r="J52" t="s">
        <v>339</v>
      </c>
      <c r="K52" t="s">
        <v>340</v>
      </c>
      <c r="L52">
        <v>1368</v>
      </c>
      <c r="N52">
        <v>1011</v>
      </c>
      <c r="O52" t="s">
        <v>317</v>
      </c>
      <c r="P52" t="s">
        <v>317</v>
      </c>
      <c r="Q52">
        <v>1</v>
      </c>
      <c r="X52">
        <v>0.39</v>
      </c>
      <c r="Y52">
        <v>0</v>
      </c>
      <c r="Z52">
        <v>119.44</v>
      </c>
      <c r="AA52">
        <v>10.130000000000001</v>
      </c>
      <c r="AB52">
        <v>0</v>
      </c>
      <c r="AC52">
        <v>0</v>
      </c>
      <c r="AD52">
        <v>1</v>
      </c>
      <c r="AE52">
        <v>0</v>
      </c>
      <c r="AF52" t="s">
        <v>31</v>
      </c>
      <c r="AG52">
        <v>0.48750000000000004</v>
      </c>
      <c r="AH52">
        <v>2</v>
      </c>
      <c r="AI52">
        <v>29836725</v>
      </c>
      <c r="AJ52">
        <v>51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x14ac:dyDescent="0.2">
      <c r="A53">
        <f>ROW(Source!A45)</f>
        <v>45</v>
      </c>
      <c r="B53">
        <v>29836740</v>
      </c>
      <c r="C53">
        <v>29836717</v>
      </c>
      <c r="D53">
        <v>28337840</v>
      </c>
      <c r="E53">
        <v>1</v>
      </c>
      <c r="F53">
        <v>1</v>
      </c>
      <c r="G53">
        <v>1</v>
      </c>
      <c r="H53">
        <v>2</v>
      </c>
      <c r="I53" t="s">
        <v>363</v>
      </c>
      <c r="J53" t="s">
        <v>364</v>
      </c>
      <c r="K53" t="s">
        <v>365</v>
      </c>
      <c r="L53">
        <v>1368</v>
      </c>
      <c r="N53">
        <v>1011</v>
      </c>
      <c r="O53" t="s">
        <v>317</v>
      </c>
      <c r="P53" t="s">
        <v>317</v>
      </c>
      <c r="Q53">
        <v>1</v>
      </c>
      <c r="X53">
        <v>0.04</v>
      </c>
      <c r="Y53">
        <v>0</v>
      </c>
      <c r="Z53">
        <v>86.79</v>
      </c>
      <c r="AA53">
        <v>10.130000000000001</v>
      </c>
      <c r="AB53">
        <v>0</v>
      </c>
      <c r="AC53">
        <v>0</v>
      </c>
      <c r="AD53">
        <v>1</v>
      </c>
      <c r="AE53">
        <v>0</v>
      </c>
      <c r="AF53" t="s">
        <v>31</v>
      </c>
      <c r="AG53">
        <v>0.05</v>
      </c>
      <c r="AH53">
        <v>2</v>
      </c>
      <c r="AI53">
        <v>29836726</v>
      </c>
      <c r="AJ53">
        <v>52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2">
      <c r="A54">
        <f>ROW(Source!A45)</f>
        <v>45</v>
      </c>
      <c r="B54">
        <v>29836741</v>
      </c>
      <c r="C54">
        <v>29836717</v>
      </c>
      <c r="D54">
        <v>28249509</v>
      </c>
      <c r="E54">
        <v>21</v>
      </c>
      <c r="F54">
        <v>1</v>
      </c>
      <c r="G54">
        <v>1</v>
      </c>
      <c r="H54">
        <v>3</v>
      </c>
      <c r="I54" t="s">
        <v>82</v>
      </c>
      <c r="J54" t="s">
        <v>3</v>
      </c>
      <c r="K54" t="s">
        <v>83</v>
      </c>
      <c r="L54">
        <v>1348</v>
      </c>
      <c r="N54">
        <v>1009</v>
      </c>
      <c r="O54" t="s">
        <v>84</v>
      </c>
      <c r="P54" t="s">
        <v>84</v>
      </c>
      <c r="Q54">
        <v>1000</v>
      </c>
      <c r="X54">
        <v>1.0800000000000001E-2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 t="s">
        <v>3</v>
      </c>
      <c r="AG54">
        <v>1.0800000000000001E-2</v>
      </c>
      <c r="AH54">
        <v>2</v>
      </c>
      <c r="AI54">
        <v>29836727</v>
      </c>
      <c r="AJ54">
        <v>53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x14ac:dyDescent="0.2">
      <c r="A55">
        <f>ROW(Source!A45)</f>
        <v>45</v>
      </c>
      <c r="B55">
        <v>29836742</v>
      </c>
      <c r="C55">
        <v>29836717</v>
      </c>
      <c r="D55">
        <v>28253181</v>
      </c>
      <c r="E55">
        <v>1</v>
      </c>
      <c r="F55">
        <v>1</v>
      </c>
      <c r="G55">
        <v>1</v>
      </c>
      <c r="H55">
        <v>3</v>
      </c>
      <c r="I55" t="s">
        <v>341</v>
      </c>
      <c r="J55" t="s">
        <v>342</v>
      </c>
      <c r="K55" t="s">
        <v>343</v>
      </c>
      <c r="L55">
        <v>1339</v>
      </c>
      <c r="N55">
        <v>1007</v>
      </c>
      <c r="O55" t="s">
        <v>56</v>
      </c>
      <c r="P55" t="s">
        <v>56</v>
      </c>
      <c r="Q55">
        <v>1</v>
      </c>
      <c r="X55">
        <v>0.2</v>
      </c>
      <c r="Y55">
        <v>2.44</v>
      </c>
      <c r="Z55">
        <v>0</v>
      </c>
      <c r="AA55">
        <v>0</v>
      </c>
      <c r="AB55">
        <v>0</v>
      </c>
      <c r="AC55">
        <v>0</v>
      </c>
      <c r="AD55">
        <v>1</v>
      </c>
      <c r="AE55">
        <v>0</v>
      </c>
      <c r="AF55" t="s">
        <v>3</v>
      </c>
      <c r="AG55">
        <v>0.2</v>
      </c>
      <c r="AH55">
        <v>2</v>
      </c>
      <c r="AI55">
        <v>29836728</v>
      </c>
      <c r="AJ55">
        <v>54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ROW(Source!A45)</f>
        <v>45</v>
      </c>
      <c r="B56">
        <v>29836743</v>
      </c>
      <c r="C56">
        <v>29836717</v>
      </c>
      <c r="D56">
        <v>28247645</v>
      </c>
      <c r="E56">
        <v>21</v>
      </c>
      <c r="F56">
        <v>1</v>
      </c>
      <c r="G56">
        <v>1</v>
      </c>
      <c r="H56">
        <v>3</v>
      </c>
      <c r="I56" t="s">
        <v>86</v>
      </c>
      <c r="J56" t="s">
        <v>3</v>
      </c>
      <c r="K56" t="s">
        <v>87</v>
      </c>
      <c r="L56">
        <v>1348</v>
      </c>
      <c r="N56">
        <v>1009</v>
      </c>
      <c r="O56" t="s">
        <v>84</v>
      </c>
      <c r="P56" t="s">
        <v>84</v>
      </c>
      <c r="Q56">
        <v>1000</v>
      </c>
      <c r="X56">
        <v>96.6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 t="s">
        <v>3</v>
      </c>
      <c r="AG56">
        <v>96.6</v>
      </c>
      <c r="AH56">
        <v>2</v>
      </c>
      <c r="AI56">
        <v>29836729</v>
      </c>
      <c r="AJ56">
        <v>55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2">
      <c r="A57">
        <f>ROW(Source!A45)</f>
        <v>45</v>
      </c>
      <c r="B57">
        <v>29836744</v>
      </c>
      <c r="C57">
        <v>29836717</v>
      </c>
      <c r="D57">
        <v>28277600</v>
      </c>
      <c r="E57">
        <v>1</v>
      </c>
      <c r="F57">
        <v>1</v>
      </c>
      <c r="G57">
        <v>1</v>
      </c>
      <c r="H57">
        <v>3</v>
      </c>
      <c r="I57" t="s">
        <v>366</v>
      </c>
      <c r="J57" t="s">
        <v>367</v>
      </c>
      <c r="K57" t="s">
        <v>368</v>
      </c>
      <c r="L57">
        <v>1348</v>
      </c>
      <c r="N57">
        <v>1009</v>
      </c>
      <c r="O57" t="s">
        <v>84</v>
      </c>
      <c r="P57" t="s">
        <v>84</v>
      </c>
      <c r="Q57">
        <v>1000</v>
      </c>
      <c r="X57">
        <v>6.1999999999999998E-3</v>
      </c>
      <c r="Y57">
        <v>6730.2</v>
      </c>
      <c r="Z57">
        <v>0</v>
      </c>
      <c r="AA57">
        <v>0</v>
      </c>
      <c r="AB57">
        <v>0</v>
      </c>
      <c r="AC57">
        <v>0</v>
      </c>
      <c r="AD57">
        <v>1</v>
      </c>
      <c r="AE57">
        <v>0</v>
      </c>
      <c r="AF57" t="s">
        <v>3</v>
      </c>
      <c r="AG57">
        <v>6.1999999999999998E-3</v>
      </c>
      <c r="AH57">
        <v>2</v>
      </c>
      <c r="AI57">
        <v>29836730</v>
      </c>
      <c r="AJ57">
        <v>56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ROW(Source!A45)</f>
        <v>45</v>
      </c>
      <c r="B58">
        <v>29836745</v>
      </c>
      <c r="C58">
        <v>29836717</v>
      </c>
      <c r="D58">
        <v>28283690</v>
      </c>
      <c r="E58">
        <v>1</v>
      </c>
      <c r="F58">
        <v>1</v>
      </c>
      <c r="G58">
        <v>1</v>
      </c>
      <c r="H58">
        <v>3</v>
      </c>
      <c r="I58" t="s">
        <v>369</v>
      </c>
      <c r="J58" t="s">
        <v>370</v>
      </c>
      <c r="K58" t="s">
        <v>371</v>
      </c>
      <c r="L58">
        <v>1339</v>
      </c>
      <c r="N58">
        <v>1007</v>
      </c>
      <c r="O58" t="s">
        <v>56</v>
      </c>
      <c r="P58" t="s">
        <v>56</v>
      </c>
      <c r="Q58">
        <v>1</v>
      </c>
      <c r="X58">
        <v>0.15</v>
      </c>
      <c r="Y58">
        <v>1603.15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0</v>
      </c>
      <c r="AF58" t="s">
        <v>3</v>
      </c>
      <c r="AG58">
        <v>0.15</v>
      </c>
      <c r="AH58">
        <v>2</v>
      </c>
      <c r="AI58">
        <v>29836731</v>
      </c>
      <c r="AJ58">
        <v>57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ROW(Source!A48)</f>
        <v>48</v>
      </c>
      <c r="B59">
        <v>29836753</v>
      </c>
      <c r="C59">
        <v>29836748</v>
      </c>
      <c r="D59">
        <v>28425676</v>
      </c>
      <c r="E59">
        <v>1</v>
      </c>
      <c r="F59">
        <v>1</v>
      </c>
      <c r="G59">
        <v>1</v>
      </c>
      <c r="H59">
        <v>1</v>
      </c>
      <c r="I59" t="s">
        <v>346</v>
      </c>
      <c r="J59" t="s">
        <v>3</v>
      </c>
      <c r="K59" t="s">
        <v>347</v>
      </c>
      <c r="L59">
        <v>1191</v>
      </c>
      <c r="N59">
        <v>1013</v>
      </c>
      <c r="O59" t="s">
        <v>311</v>
      </c>
      <c r="P59" t="s">
        <v>311</v>
      </c>
      <c r="Q59">
        <v>1</v>
      </c>
      <c r="X59">
        <v>0.09</v>
      </c>
      <c r="Y59">
        <v>0</v>
      </c>
      <c r="Z59">
        <v>0</v>
      </c>
      <c r="AA59">
        <v>0</v>
      </c>
      <c r="AB59">
        <v>8.59</v>
      </c>
      <c r="AC59">
        <v>0</v>
      </c>
      <c r="AD59">
        <v>1</v>
      </c>
      <c r="AE59">
        <v>1</v>
      </c>
      <c r="AF59" t="s">
        <v>101</v>
      </c>
      <c r="AG59">
        <v>0.20699999999999999</v>
      </c>
      <c r="AH59">
        <v>2</v>
      </c>
      <c r="AI59">
        <v>29836749</v>
      </c>
      <c r="AJ59">
        <v>58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2">
      <c r="A60">
        <f>ROW(Source!A48)</f>
        <v>48</v>
      </c>
      <c r="B60">
        <v>29836754</v>
      </c>
      <c r="C60">
        <v>29836748</v>
      </c>
      <c r="D60">
        <v>28337147</v>
      </c>
      <c r="E60">
        <v>1</v>
      </c>
      <c r="F60">
        <v>1</v>
      </c>
      <c r="G60">
        <v>1</v>
      </c>
      <c r="H60">
        <v>2</v>
      </c>
      <c r="I60" t="s">
        <v>354</v>
      </c>
      <c r="J60" t="s">
        <v>355</v>
      </c>
      <c r="K60" t="s">
        <v>356</v>
      </c>
      <c r="L60">
        <v>1368</v>
      </c>
      <c r="N60">
        <v>1011</v>
      </c>
      <c r="O60" t="s">
        <v>317</v>
      </c>
      <c r="P60" t="s">
        <v>317</v>
      </c>
      <c r="Q60">
        <v>1</v>
      </c>
      <c r="X60">
        <v>0.18</v>
      </c>
      <c r="Y60">
        <v>0</v>
      </c>
      <c r="Z60">
        <v>17.2</v>
      </c>
      <c r="AA60">
        <v>0</v>
      </c>
      <c r="AB60">
        <v>0</v>
      </c>
      <c r="AC60">
        <v>0</v>
      </c>
      <c r="AD60">
        <v>1</v>
      </c>
      <c r="AE60">
        <v>0</v>
      </c>
      <c r="AF60" t="s">
        <v>100</v>
      </c>
      <c r="AG60">
        <v>0.44999999999999996</v>
      </c>
      <c r="AH60">
        <v>2</v>
      </c>
      <c r="AI60">
        <v>29836750</v>
      </c>
      <c r="AJ60">
        <v>59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2">
      <c r="A61">
        <f>ROW(Source!A48)</f>
        <v>48</v>
      </c>
      <c r="B61">
        <v>29836755</v>
      </c>
      <c r="C61">
        <v>29836748</v>
      </c>
      <c r="D61">
        <v>28249509</v>
      </c>
      <c r="E61">
        <v>21</v>
      </c>
      <c r="F61">
        <v>1</v>
      </c>
      <c r="G61">
        <v>1</v>
      </c>
      <c r="H61">
        <v>3</v>
      </c>
      <c r="I61" t="s">
        <v>82</v>
      </c>
      <c r="J61" t="s">
        <v>3</v>
      </c>
      <c r="K61" t="s">
        <v>83</v>
      </c>
      <c r="L61">
        <v>1348</v>
      </c>
      <c r="N61">
        <v>1009</v>
      </c>
      <c r="O61" t="s">
        <v>84</v>
      </c>
      <c r="P61" t="s">
        <v>84</v>
      </c>
      <c r="Q61">
        <v>1000</v>
      </c>
      <c r="X61">
        <v>1.4E-3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 t="s">
        <v>99</v>
      </c>
      <c r="AG61">
        <v>2.8E-3</v>
      </c>
      <c r="AH61">
        <v>2</v>
      </c>
      <c r="AI61">
        <v>29836751</v>
      </c>
      <c r="AJ61">
        <v>60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x14ac:dyDescent="0.2">
      <c r="A62">
        <f>ROW(Source!A48)</f>
        <v>48</v>
      </c>
      <c r="B62">
        <v>29836756</v>
      </c>
      <c r="C62">
        <v>29836748</v>
      </c>
      <c r="D62">
        <v>28247645</v>
      </c>
      <c r="E62">
        <v>21</v>
      </c>
      <c r="F62">
        <v>1</v>
      </c>
      <c r="G62">
        <v>1</v>
      </c>
      <c r="H62">
        <v>3</v>
      </c>
      <c r="I62" t="s">
        <v>86</v>
      </c>
      <c r="J62" t="s">
        <v>3</v>
      </c>
      <c r="K62" t="s">
        <v>87</v>
      </c>
      <c r="L62">
        <v>1348</v>
      </c>
      <c r="N62">
        <v>1009</v>
      </c>
      <c r="O62" t="s">
        <v>84</v>
      </c>
      <c r="P62" t="s">
        <v>84</v>
      </c>
      <c r="Q62">
        <v>1000</v>
      </c>
      <c r="X62">
        <v>12.1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 t="s">
        <v>99</v>
      </c>
      <c r="AG62">
        <v>24.2</v>
      </c>
      <c r="AH62">
        <v>2</v>
      </c>
      <c r="AI62">
        <v>29836752</v>
      </c>
      <c r="AJ62">
        <v>61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x14ac:dyDescent="0.2">
      <c r="A63">
        <f>ROW(Source!A53)</f>
        <v>53</v>
      </c>
      <c r="B63">
        <v>29836770</v>
      </c>
      <c r="C63">
        <v>29836761</v>
      </c>
      <c r="D63">
        <v>28421378</v>
      </c>
      <c r="E63">
        <v>1</v>
      </c>
      <c r="F63">
        <v>1</v>
      </c>
      <c r="G63">
        <v>1</v>
      </c>
      <c r="H63">
        <v>1</v>
      </c>
      <c r="I63" t="s">
        <v>372</v>
      </c>
      <c r="J63" t="s">
        <v>3</v>
      </c>
      <c r="K63" t="s">
        <v>373</v>
      </c>
      <c r="L63">
        <v>1191</v>
      </c>
      <c r="N63">
        <v>1013</v>
      </c>
      <c r="O63" t="s">
        <v>311</v>
      </c>
      <c r="P63" t="s">
        <v>311</v>
      </c>
      <c r="Q63">
        <v>1</v>
      </c>
      <c r="X63">
        <v>76.08</v>
      </c>
      <c r="Y63">
        <v>0</v>
      </c>
      <c r="Z63">
        <v>0</v>
      </c>
      <c r="AA63">
        <v>0</v>
      </c>
      <c r="AB63">
        <v>7.55</v>
      </c>
      <c r="AC63">
        <v>0</v>
      </c>
      <c r="AD63">
        <v>1</v>
      </c>
      <c r="AE63">
        <v>1</v>
      </c>
      <c r="AF63" t="s">
        <v>32</v>
      </c>
      <c r="AG63">
        <v>87.49199999999999</v>
      </c>
      <c r="AH63">
        <v>2</v>
      </c>
      <c r="AI63">
        <v>29836762</v>
      </c>
      <c r="AJ63">
        <v>62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x14ac:dyDescent="0.2">
      <c r="A64">
        <f>ROW(Source!A53)</f>
        <v>53</v>
      </c>
      <c r="B64">
        <v>29836771</v>
      </c>
      <c r="C64">
        <v>29836761</v>
      </c>
      <c r="D64">
        <v>28419515</v>
      </c>
      <c r="E64">
        <v>1</v>
      </c>
      <c r="F64">
        <v>1</v>
      </c>
      <c r="G64">
        <v>1</v>
      </c>
      <c r="H64">
        <v>1</v>
      </c>
      <c r="I64" t="s">
        <v>312</v>
      </c>
      <c r="J64" t="s">
        <v>3</v>
      </c>
      <c r="K64" t="s">
        <v>313</v>
      </c>
      <c r="L64">
        <v>1191</v>
      </c>
      <c r="N64">
        <v>1013</v>
      </c>
      <c r="O64" t="s">
        <v>311</v>
      </c>
      <c r="P64" t="s">
        <v>311</v>
      </c>
      <c r="Q64">
        <v>1</v>
      </c>
      <c r="X64">
        <v>0.72</v>
      </c>
      <c r="Y64">
        <v>0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2</v>
      </c>
      <c r="AF64" t="s">
        <v>31</v>
      </c>
      <c r="AG64">
        <v>0.89999999999999991</v>
      </c>
      <c r="AH64">
        <v>2</v>
      </c>
      <c r="AI64">
        <v>29836763</v>
      </c>
      <c r="AJ64">
        <v>63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x14ac:dyDescent="0.2">
      <c r="A65">
        <f>ROW(Source!A53)</f>
        <v>53</v>
      </c>
      <c r="B65">
        <v>29836772</v>
      </c>
      <c r="C65">
        <v>29836761</v>
      </c>
      <c r="D65">
        <v>28336675</v>
      </c>
      <c r="E65">
        <v>1</v>
      </c>
      <c r="F65">
        <v>1</v>
      </c>
      <c r="G65">
        <v>1</v>
      </c>
      <c r="H65">
        <v>2</v>
      </c>
      <c r="I65" t="s">
        <v>348</v>
      </c>
      <c r="J65" t="s">
        <v>349</v>
      </c>
      <c r="K65" t="s">
        <v>350</v>
      </c>
      <c r="L65">
        <v>1368</v>
      </c>
      <c r="N65">
        <v>1011</v>
      </c>
      <c r="O65" t="s">
        <v>317</v>
      </c>
      <c r="P65" t="s">
        <v>317</v>
      </c>
      <c r="Q65">
        <v>1</v>
      </c>
      <c r="X65">
        <v>0.68</v>
      </c>
      <c r="Y65">
        <v>0</v>
      </c>
      <c r="Z65">
        <v>112.77</v>
      </c>
      <c r="AA65">
        <v>11.84</v>
      </c>
      <c r="AB65">
        <v>0</v>
      </c>
      <c r="AC65">
        <v>0</v>
      </c>
      <c r="AD65">
        <v>1</v>
      </c>
      <c r="AE65">
        <v>0</v>
      </c>
      <c r="AF65" t="s">
        <v>31</v>
      </c>
      <c r="AG65">
        <v>0.85000000000000009</v>
      </c>
      <c r="AH65">
        <v>2</v>
      </c>
      <c r="AI65">
        <v>29836764</v>
      </c>
      <c r="AJ65">
        <v>64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x14ac:dyDescent="0.2">
      <c r="A66">
        <f>ROW(Source!A53)</f>
        <v>53</v>
      </c>
      <c r="B66">
        <v>29836773</v>
      </c>
      <c r="C66">
        <v>29836761</v>
      </c>
      <c r="D66">
        <v>28337840</v>
      </c>
      <c r="E66">
        <v>1</v>
      </c>
      <c r="F66">
        <v>1</v>
      </c>
      <c r="G66">
        <v>1</v>
      </c>
      <c r="H66">
        <v>2</v>
      </c>
      <c r="I66" t="s">
        <v>363</v>
      </c>
      <c r="J66" t="s">
        <v>364</v>
      </c>
      <c r="K66" t="s">
        <v>365</v>
      </c>
      <c r="L66">
        <v>1368</v>
      </c>
      <c r="N66">
        <v>1011</v>
      </c>
      <c r="O66" t="s">
        <v>317</v>
      </c>
      <c r="P66" t="s">
        <v>317</v>
      </c>
      <c r="Q66">
        <v>1</v>
      </c>
      <c r="X66">
        <v>0.04</v>
      </c>
      <c r="Y66">
        <v>0</v>
      </c>
      <c r="Z66">
        <v>86.79</v>
      </c>
      <c r="AA66">
        <v>10.130000000000001</v>
      </c>
      <c r="AB66">
        <v>0</v>
      </c>
      <c r="AC66">
        <v>0</v>
      </c>
      <c r="AD66">
        <v>1</v>
      </c>
      <c r="AE66">
        <v>0</v>
      </c>
      <c r="AF66" t="s">
        <v>31</v>
      </c>
      <c r="AG66">
        <v>0.05</v>
      </c>
      <c r="AH66">
        <v>2</v>
      </c>
      <c r="AI66">
        <v>29836765</v>
      </c>
      <c r="AJ66">
        <v>65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x14ac:dyDescent="0.2">
      <c r="A67">
        <f>ROW(Source!A53)</f>
        <v>53</v>
      </c>
      <c r="B67">
        <v>29836774</v>
      </c>
      <c r="C67">
        <v>29836761</v>
      </c>
      <c r="D67">
        <v>28256174</v>
      </c>
      <c r="E67">
        <v>1</v>
      </c>
      <c r="F67">
        <v>1</v>
      </c>
      <c r="G67">
        <v>1</v>
      </c>
      <c r="H67">
        <v>3</v>
      </c>
      <c r="I67" t="s">
        <v>374</v>
      </c>
      <c r="J67" t="s">
        <v>375</v>
      </c>
      <c r="K67" t="s">
        <v>376</v>
      </c>
      <c r="L67">
        <v>1348</v>
      </c>
      <c r="N67">
        <v>1009</v>
      </c>
      <c r="O67" t="s">
        <v>84</v>
      </c>
      <c r="P67" t="s">
        <v>84</v>
      </c>
      <c r="Q67">
        <v>1000</v>
      </c>
      <c r="X67">
        <v>1E-3</v>
      </c>
      <c r="Y67">
        <v>7671.42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0</v>
      </c>
      <c r="AF67" t="s">
        <v>3</v>
      </c>
      <c r="AG67">
        <v>1E-3</v>
      </c>
      <c r="AH67">
        <v>2</v>
      </c>
      <c r="AI67">
        <v>29836766</v>
      </c>
      <c r="AJ67">
        <v>66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x14ac:dyDescent="0.2">
      <c r="A68">
        <f>ROW(Source!A53)</f>
        <v>53</v>
      </c>
      <c r="B68">
        <v>29836775</v>
      </c>
      <c r="C68">
        <v>29836761</v>
      </c>
      <c r="D68">
        <v>28258912</v>
      </c>
      <c r="E68">
        <v>1</v>
      </c>
      <c r="F68">
        <v>1</v>
      </c>
      <c r="G68">
        <v>1</v>
      </c>
      <c r="H68">
        <v>3</v>
      </c>
      <c r="I68" t="s">
        <v>377</v>
      </c>
      <c r="J68" t="s">
        <v>378</v>
      </c>
      <c r="K68" t="s">
        <v>379</v>
      </c>
      <c r="L68">
        <v>1339</v>
      </c>
      <c r="N68">
        <v>1007</v>
      </c>
      <c r="O68" t="s">
        <v>56</v>
      </c>
      <c r="P68" t="s">
        <v>56</v>
      </c>
      <c r="Q68">
        <v>1</v>
      </c>
      <c r="X68">
        <v>5.9</v>
      </c>
      <c r="Y68">
        <v>674.36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0</v>
      </c>
      <c r="AF68" t="s">
        <v>3</v>
      </c>
      <c r="AG68">
        <v>5.9</v>
      </c>
      <c r="AH68">
        <v>2</v>
      </c>
      <c r="AI68">
        <v>29836767</v>
      </c>
      <c r="AJ68">
        <v>67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x14ac:dyDescent="0.2">
      <c r="A69">
        <f>ROW(Source!A53)</f>
        <v>53</v>
      </c>
      <c r="B69">
        <v>29836776</v>
      </c>
      <c r="C69">
        <v>29836761</v>
      </c>
      <c r="D69">
        <v>28259185</v>
      </c>
      <c r="E69">
        <v>1</v>
      </c>
      <c r="F69">
        <v>1</v>
      </c>
      <c r="G69">
        <v>1</v>
      </c>
      <c r="H69">
        <v>3</v>
      </c>
      <c r="I69" t="s">
        <v>380</v>
      </c>
      <c r="J69" t="s">
        <v>381</v>
      </c>
      <c r="K69" t="s">
        <v>382</v>
      </c>
      <c r="L69">
        <v>1339</v>
      </c>
      <c r="N69">
        <v>1007</v>
      </c>
      <c r="O69" t="s">
        <v>56</v>
      </c>
      <c r="P69" t="s">
        <v>56</v>
      </c>
      <c r="Q69">
        <v>1</v>
      </c>
      <c r="X69">
        <v>0.06</v>
      </c>
      <c r="Y69">
        <v>799.15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0</v>
      </c>
      <c r="AF69" t="s">
        <v>3</v>
      </c>
      <c r="AG69">
        <v>0.06</v>
      </c>
      <c r="AH69">
        <v>2</v>
      </c>
      <c r="AI69">
        <v>29836768</v>
      </c>
      <c r="AJ69">
        <v>68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x14ac:dyDescent="0.2">
      <c r="A70">
        <f>ROW(Source!A53)</f>
        <v>53</v>
      </c>
      <c r="B70">
        <v>29836777</v>
      </c>
      <c r="C70">
        <v>29836761</v>
      </c>
      <c r="D70">
        <v>28283721</v>
      </c>
      <c r="E70">
        <v>1</v>
      </c>
      <c r="F70">
        <v>1</v>
      </c>
      <c r="G70">
        <v>1</v>
      </c>
      <c r="H70">
        <v>3</v>
      </c>
      <c r="I70" t="s">
        <v>383</v>
      </c>
      <c r="J70" t="s">
        <v>384</v>
      </c>
      <c r="K70" t="s">
        <v>385</v>
      </c>
      <c r="L70">
        <v>1339</v>
      </c>
      <c r="N70">
        <v>1007</v>
      </c>
      <c r="O70" t="s">
        <v>56</v>
      </c>
      <c r="P70" t="s">
        <v>56</v>
      </c>
      <c r="Q70">
        <v>1</v>
      </c>
      <c r="X70">
        <v>0.17</v>
      </c>
      <c r="Y70">
        <v>1316.16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F70" t="s">
        <v>3</v>
      </c>
      <c r="AG70">
        <v>0.17</v>
      </c>
      <c r="AH70">
        <v>2</v>
      </c>
      <c r="AI70">
        <v>29836769</v>
      </c>
      <c r="AJ70">
        <v>69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x14ac:dyDescent="0.2">
      <c r="A71">
        <f>ROW(Source!A53)</f>
        <v>53</v>
      </c>
      <c r="B71">
        <v>29836778</v>
      </c>
      <c r="C71">
        <v>29836761</v>
      </c>
      <c r="D71">
        <v>28249985</v>
      </c>
      <c r="E71">
        <v>21</v>
      </c>
      <c r="F71">
        <v>1</v>
      </c>
      <c r="G71">
        <v>1</v>
      </c>
      <c r="H71">
        <v>3</v>
      </c>
      <c r="I71" t="s">
        <v>412</v>
      </c>
      <c r="J71" t="s">
        <v>3</v>
      </c>
      <c r="K71" t="s">
        <v>413</v>
      </c>
      <c r="L71">
        <v>1301</v>
      </c>
      <c r="N71">
        <v>1003</v>
      </c>
      <c r="O71" t="s">
        <v>414</v>
      </c>
      <c r="P71" t="s">
        <v>414</v>
      </c>
      <c r="Q71">
        <v>1</v>
      </c>
      <c r="X71">
        <v>100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 t="s">
        <v>3</v>
      </c>
      <c r="AG71">
        <v>100</v>
      </c>
      <c r="AH71">
        <v>3</v>
      </c>
      <c r="AI71">
        <v>-1</v>
      </c>
      <c r="AJ71" t="s">
        <v>3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x14ac:dyDescent="0.2">
      <c r="A72">
        <f>ROW(Source!A55)</f>
        <v>55</v>
      </c>
      <c r="B72">
        <v>29836784</v>
      </c>
      <c r="C72">
        <v>29836780</v>
      </c>
      <c r="D72">
        <v>28419515</v>
      </c>
      <c r="E72">
        <v>1</v>
      </c>
      <c r="F72">
        <v>1</v>
      </c>
      <c r="G72">
        <v>1</v>
      </c>
      <c r="H72">
        <v>1</v>
      </c>
      <c r="I72" t="s">
        <v>312</v>
      </c>
      <c r="J72" t="s">
        <v>3</v>
      </c>
      <c r="K72" t="s">
        <v>313</v>
      </c>
      <c r="L72">
        <v>1191</v>
      </c>
      <c r="N72">
        <v>1013</v>
      </c>
      <c r="O72" t="s">
        <v>311</v>
      </c>
      <c r="P72" t="s">
        <v>311</v>
      </c>
      <c r="Q72">
        <v>1</v>
      </c>
      <c r="X72">
        <v>0.66</v>
      </c>
      <c r="Y72">
        <v>0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2</v>
      </c>
      <c r="AF72" t="s">
        <v>31</v>
      </c>
      <c r="AG72">
        <v>0.82500000000000007</v>
      </c>
      <c r="AH72">
        <v>2</v>
      </c>
      <c r="AI72">
        <v>29836781</v>
      </c>
      <c r="AJ72">
        <v>70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x14ac:dyDescent="0.2">
      <c r="A73">
        <f>ROW(Source!A55)</f>
        <v>55</v>
      </c>
      <c r="B73">
        <v>29836785</v>
      </c>
      <c r="C73">
        <v>29836780</v>
      </c>
      <c r="D73">
        <v>28337141</v>
      </c>
      <c r="E73">
        <v>1</v>
      </c>
      <c r="F73">
        <v>1</v>
      </c>
      <c r="G73">
        <v>1</v>
      </c>
      <c r="H73">
        <v>2</v>
      </c>
      <c r="I73" t="s">
        <v>386</v>
      </c>
      <c r="J73" t="s">
        <v>387</v>
      </c>
      <c r="K73" t="s">
        <v>388</v>
      </c>
      <c r="L73">
        <v>1368</v>
      </c>
      <c r="N73">
        <v>1011</v>
      </c>
      <c r="O73" t="s">
        <v>317</v>
      </c>
      <c r="P73" t="s">
        <v>317</v>
      </c>
      <c r="Q73">
        <v>1</v>
      </c>
      <c r="X73">
        <v>0.33</v>
      </c>
      <c r="Y73">
        <v>0</v>
      </c>
      <c r="Z73">
        <v>126.29</v>
      </c>
      <c r="AA73">
        <v>18.95</v>
      </c>
      <c r="AB73">
        <v>0</v>
      </c>
      <c r="AC73">
        <v>0</v>
      </c>
      <c r="AD73">
        <v>1</v>
      </c>
      <c r="AE73">
        <v>0</v>
      </c>
      <c r="AF73" t="s">
        <v>138</v>
      </c>
      <c r="AG73">
        <v>3.1724999999999999</v>
      </c>
      <c r="AH73">
        <v>2</v>
      </c>
      <c r="AI73">
        <v>29836782</v>
      </c>
      <c r="AJ73">
        <v>71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x14ac:dyDescent="0.2">
      <c r="A74">
        <f>ROW(Source!A55)</f>
        <v>55</v>
      </c>
      <c r="B74">
        <v>29836786</v>
      </c>
      <c r="C74">
        <v>29836780</v>
      </c>
      <c r="D74">
        <v>28249509</v>
      </c>
      <c r="E74">
        <v>21</v>
      </c>
      <c r="F74">
        <v>1</v>
      </c>
      <c r="G74">
        <v>1</v>
      </c>
      <c r="H74">
        <v>3</v>
      </c>
      <c r="I74" t="s">
        <v>82</v>
      </c>
      <c r="J74" t="s">
        <v>3</v>
      </c>
      <c r="K74" t="s">
        <v>83</v>
      </c>
      <c r="L74">
        <v>1348</v>
      </c>
      <c r="N74">
        <v>1009</v>
      </c>
      <c r="O74" t="s">
        <v>84</v>
      </c>
      <c r="P74" t="s">
        <v>84</v>
      </c>
      <c r="Q74">
        <v>1000</v>
      </c>
      <c r="X74">
        <v>1.03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 t="s">
        <v>3</v>
      </c>
      <c r="AG74">
        <v>1.03</v>
      </c>
      <c r="AH74">
        <v>2</v>
      </c>
      <c r="AI74">
        <v>29836783</v>
      </c>
      <c r="AJ74">
        <v>72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x14ac:dyDescent="0.2">
      <c r="A75">
        <f>ROW(Source!A58)</f>
        <v>58</v>
      </c>
      <c r="B75">
        <v>29836802</v>
      </c>
      <c r="C75">
        <v>29836789</v>
      </c>
      <c r="D75">
        <v>28421356</v>
      </c>
      <c r="E75">
        <v>1</v>
      </c>
      <c r="F75">
        <v>1</v>
      </c>
      <c r="G75">
        <v>1</v>
      </c>
      <c r="H75">
        <v>1</v>
      </c>
      <c r="I75" t="s">
        <v>389</v>
      </c>
      <c r="J75" t="s">
        <v>3</v>
      </c>
      <c r="K75" t="s">
        <v>390</v>
      </c>
      <c r="L75">
        <v>1191</v>
      </c>
      <c r="N75">
        <v>1013</v>
      </c>
      <c r="O75" t="s">
        <v>311</v>
      </c>
      <c r="P75" t="s">
        <v>311</v>
      </c>
      <c r="Q75">
        <v>1</v>
      </c>
      <c r="X75">
        <v>21.89</v>
      </c>
      <c r="Y75">
        <v>0</v>
      </c>
      <c r="Z75">
        <v>0</v>
      </c>
      <c r="AA75">
        <v>0</v>
      </c>
      <c r="AB75">
        <v>7.29</v>
      </c>
      <c r="AC75">
        <v>0</v>
      </c>
      <c r="AD75">
        <v>1</v>
      </c>
      <c r="AE75">
        <v>1</v>
      </c>
      <c r="AF75" t="s">
        <v>32</v>
      </c>
      <c r="AG75">
        <v>25.173499999999997</v>
      </c>
      <c r="AH75">
        <v>2</v>
      </c>
      <c r="AI75">
        <v>29836790</v>
      </c>
      <c r="AJ75">
        <v>73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x14ac:dyDescent="0.2">
      <c r="A76">
        <f>ROW(Source!A58)</f>
        <v>58</v>
      </c>
      <c r="B76">
        <v>29836803</v>
      </c>
      <c r="C76">
        <v>29836789</v>
      </c>
      <c r="D76">
        <v>28419515</v>
      </c>
      <c r="E76">
        <v>1</v>
      </c>
      <c r="F76">
        <v>1</v>
      </c>
      <c r="G76">
        <v>1</v>
      </c>
      <c r="H76">
        <v>1</v>
      </c>
      <c r="I76" t="s">
        <v>312</v>
      </c>
      <c r="J76" t="s">
        <v>3</v>
      </c>
      <c r="K76" t="s">
        <v>313</v>
      </c>
      <c r="L76">
        <v>1191</v>
      </c>
      <c r="N76">
        <v>1013</v>
      </c>
      <c r="O76" t="s">
        <v>311</v>
      </c>
      <c r="P76" t="s">
        <v>311</v>
      </c>
      <c r="Q76">
        <v>1</v>
      </c>
      <c r="X76">
        <v>4.5199999999999996</v>
      </c>
      <c r="Y76">
        <v>0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2</v>
      </c>
      <c r="AF76" t="s">
        <v>31</v>
      </c>
      <c r="AG76">
        <v>5.6499999999999995</v>
      </c>
      <c r="AH76">
        <v>2</v>
      </c>
      <c r="AI76">
        <v>29836791</v>
      </c>
      <c r="AJ76">
        <v>74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2">
      <c r="A77">
        <f>ROW(Source!A58)</f>
        <v>58</v>
      </c>
      <c r="B77">
        <v>29836804</v>
      </c>
      <c r="C77">
        <v>29836789</v>
      </c>
      <c r="D77">
        <v>28336884</v>
      </c>
      <c r="E77">
        <v>1</v>
      </c>
      <c r="F77">
        <v>1</v>
      </c>
      <c r="G77">
        <v>1</v>
      </c>
      <c r="H77">
        <v>2</v>
      </c>
      <c r="I77" t="s">
        <v>332</v>
      </c>
      <c r="J77" t="s">
        <v>333</v>
      </c>
      <c r="K77" t="s">
        <v>334</v>
      </c>
      <c r="L77">
        <v>1368</v>
      </c>
      <c r="N77">
        <v>1011</v>
      </c>
      <c r="O77" t="s">
        <v>317</v>
      </c>
      <c r="P77" t="s">
        <v>317</v>
      </c>
      <c r="Q77">
        <v>1</v>
      </c>
      <c r="X77">
        <v>0.13</v>
      </c>
      <c r="Y77">
        <v>0</v>
      </c>
      <c r="Z77">
        <v>93.73</v>
      </c>
      <c r="AA77">
        <v>8.82</v>
      </c>
      <c r="AB77">
        <v>0</v>
      </c>
      <c r="AC77">
        <v>0</v>
      </c>
      <c r="AD77">
        <v>1</v>
      </c>
      <c r="AE77">
        <v>0</v>
      </c>
      <c r="AF77" t="s">
        <v>31</v>
      </c>
      <c r="AG77">
        <v>0.16250000000000001</v>
      </c>
      <c r="AH77">
        <v>2</v>
      </c>
      <c r="AI77">
        <v>29836792</v>
      </c>
      <c r="AJ77">
        <v>75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ROW(Source!A58)</f>
        <v>58</v>
      </c>
      <c r="B78">
        <v>29836805</v>
      </c>
      <c r="C78">
        <v>29836789</v>
      </c>
      <c r="D78">
        <v>28337241</v>
      </c>
      <c r="E78">
        <v>1</v>
      </c>
      <c r="F78">
        <v>1</v>
      </c>
      <c r="G78">
        <v>1</v>
      </c>
      <c r="H78">
        <v>2</v>
      </c>
      <c r="I78" t="s">
        <v>391</v>
      </c>
      <c r="J78" t="s">
        <v>392</v>
      </c>
      <c r="K78" t="s">
        <v>393</v>
      </c>
      <c r="L78">
        <v>1368</v>
      </c>
      <c r="N78">
        <v>1011</v>
      </c>
      <c r="O78" t="s">
        <v>317</v>
      </c>
      <c r="P78" t="s">
        <v>317</v>
      </c>
      <c r="Q78">
        <v>1</v>
      </c>
      <c r="X78">
        <v>0.6</v>
      </c>
      <c r="Y78">
        <v>0</v>
      </c>
      <c r="Z78">
        <v>31.63</v>
      </c>
      <c r="AA78">
        <v>0</v>
      </c>
      <c r="AB78">
        <v>0</v>
      </c>
      <c r="AC78">
        <v>0</v>
      </c>
      <c r="AD78">
        <v>1</v>
      </c>
      <c r="AE78">
        <v>0</v>
      </c>
      <c r="AF78" t="s">
        <v>31</v>
      </c>
      <c r="AG78">
        <v>0.75</v>
      </c>
      <c r="AH78">
        <v>2</v>
      </c>
      <c r="AI78">
        <v>29836793</v>
      </c>
      <c r="AJ78">
        <v>76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ROW(Source!A58)</f>
        <v>58</v>
      </c>
      <c r="B79">
        <v>29836806</v>
      </c>
      <c r="C79">
        <v>29836789</v>
      </c>
      <c r="D79">
        <v>28337292</v>
      </c>
      <c r="E79">
        <v>1</v>
      </c>
      <c r="F79">
        <v>1</v>
      </c>
      <c r="G79">
        <v>1</v>
      </c>
      <c r="H79">
        <v>2</v>
      </c>
      <c r="I79" t="s">
        <v>394</v>
      </c>
      <c r="J79" t="s">
        <v>395</v>
      </c>
      <c r="K79" t="s">
        <v>396</v>
      </c>
      <c r="L79">
        <v>1368</v>
      </c>
      <c r="N79">
        <v>1011</v>
      </c>
      <c r="O79" t="s">
        <v>317</v>
      </c>
      <c r="P79" t="s">
        <v>317</v>
      </c>
      <c r="Q79">
        <v>1</v>
      </c>
      <c r="X79">
        <v>8.36</v>
      </c>
      <c r="Y79">
        <v>0</v>
      </c>
      <c r="Z79">
        <v>63.17</v>
      </c>
      <c r="AA79">
        <v>0</v>
      </c>
      <c r="AB79">
        <v>0</v>
      </c>
      <c r="AC79">
        <v>0</v>
      </c>
      <c r="AD79">
        <v>1</v>
      </c>
      <c r="AE79">
        <v>0</v>
      </c>
      <c r="AF79" t="s">
        <v>31</v>
      </c>
      <c r="AG79">
        <v>10.45</v>
      </c>
      <c r="AH79">
        <v>2</v>
      </c>
      <c r="AI79">
        <v>29836794</v>
      </c>
      <c r="AJ79">
        <v>77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>
        <f>ROW(Source!A58)</f>
        <v>58</v>
      </c>
      <c r="B80">
        <v>29836807</v>
      </c>
      <c r="C80">
        <v>29836789</v>
      </c>
      <c r="D80">
        <v>28337361</v>
      </c>
      <c r="E80">
        <v>1</v>
      </c>
      <c r="F80">
        <v>1</v>
      </c>
      <c r="G80">
        <v>1</v>
      </c>
      <c r="H80">
        <v>2</v>
      </c>
      <c r="I80" t="s">
        <v>397</v>
      </c>
      <c r="J80" t="s">
        <v>398</v>
      </c>
      <c r="K80" t="s">
        <v>399</v>
      </c>
      <c r="L80">
        <v>1368</v>
      </c>
      <c r="N80">
        <v>1011</v>
      </c>
      <c r="O80" t="s">
        <v>317</v>
      </c>
      <c r="P80" t="s">
        <v>317</v>
      </c>
      <c r="Q80">
        <v>1</v>
      </c>
      <c r="X80">
        <v>3.25</v>
      </c>
      <c r="Y80">
        <v>0</v>
      </c>
      <c r="Z80">
        <v>194.67</v>
      </c>
      <c r="AA80">
        <v>10.130000000000001</v>
      </c>
      <c r="AB80">
        <v>0</v>
      </c>
      <c r="AC80">
        <v>0</v>
      </c>
      <c r="AD80">
        <v>1</v>
      </c>
      <c r="AE80">
        <v>0</v>
      </c>
      <c r="AF80" t="s">
        <v>31</v>
      </c>
      <c r="AG80">
        <v>4.0625</v>
      </c>
      <c r="AH80">
        <v>2</v>
      </c>
      <c r="AI80">
        <v>29836795</v>
      </c>
      <c r="AJ80">
        <v>78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>
        <f>ROW(Source!A58)</f>
        <v>58</v>
      </c>
      <c r="B81">
        <v>29836808</v>
      </c>
      <c r="C81">
        <v>29836789</v>
      </c>
      <c r="D81">
        <v>28337789</v>
      </c>
      <c r="E81">
        <v>1</v>
      </c>
      <c r="F81">
        <v>1</v>
      </c>
      <c r="G81">
        <v>1</v>
      </c>
      <c r="H81">
        <v>2</v>
      </c>
      <c r="I81" t="s">
        <v>338</v>
      </c>
      <c r="J81" t="s">
        <v>339</v>
      </c>
      <c r="K81" t="s">
        <v>340</v>
      </c>
      <c r="L81">
        <v>1368</v>
      </c>
      <c r="N81">
        <v>1011</v>
      </c>
      <c r="O81" t="s">
        <v>317</v>
      </c>
      <c r="P81" t="s">
        <v>317</v>
      </c>
      <c r="Q81">
        <v>1</v>
      </c>
      <c r="X81">
        <v>0.92</v>
      </c>
      <c r="Y81">
        <v>0</v>
      </c>
      <c r="Z81">
        <v>119.44</v>
      </c>
      <c r="AA81">
        <v>10.130000000000001</v>
      </c>
      <c r="AB81">
        <v>0</v>
      </c>
      <c r="AC81">
        <v>0</v>
      </c>
      <c r="AD81">
        <v>1</v>
      </c>
      <c r="AE81">
        <v>0</v>
      </c>
      <c r="AF81" t="s">
        <v>31</v>
      </c>
      <c r="AG81">
        <v>1.1500000000000001</v>
      </c>
      <c r="AH81">
        <v>2</v>
      </c>
      <c r="AI81">
        <v>29836796</v>
      </c>
      <c r="AJ81">
        <v>79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x14ac:dyDescent="0.2">
      <c r="A82">
        <f>ROW(Source!A58)</f>
        <v>58</v>
      </c>
      <c r="B82">
        <v>29836809</v>
      </c>
      <c r="C82">
        <v>29836789</v>
      </c>
      <c r="D82">
        <v>28337840</v>
      </c>
      <c r="E82">
        <v>1</v>
      </c>
      <c r="F82">
        <v>1</v>
      </c>
      <c r="G82">
        <v>1</v>
      </c>
      <c r="H82">
        <v>2</v>
      </c>
      <c r="I82" t="s">
        <v>363</v>
      </c>
      <c r="J82" t="s">
        <v>364</v>
      </c>
      <c r="K82" t="s">
        <v>365</v>
      </c>
      <c r="L82">
        <v>1368</v>
      </c>
      <c r="N82">
        <v>1011</v>
      </c>
      <c r="O82" t="s">
        <v>317</v>
      </c>
      <c r="P82" t="s">
        <v>317</v>
      </c>
      <c r="Q82">
        <v>1</v>
      </c>
      <c r="X82">
        <v>0.03</v>
      </c>
      <c r="Y82">
        <v>0</v>
      </c>
      <c r="Z82">
        <v>86.79</v>
      </c>
      <c r="AA82">
        <v>10.130000000000001</v>
      </c>
      <c r="AB82">
        <v>0</v>
      </c>
      <c r="AC82">
        <v>0</v>
      </c>
      <c r="AD82">
        <v>1</v>
      </c>
      <c r="AE82">
        <v>0</v>
      </c>
      <c r="AF82" t="s">
        <v>31</v>
      </c>
      <c r="AG82">
        <v>3.7499999999999999E-2</v>
      </c>
      <c r="AH82">
        <v>2</v>
      </c>
      <c r="AI82">
        <v>29836797</v>
      </c>
      <c r="AJ82">
        <v>80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x14ac:dyDescent="0.2">
      <c r="A83">
        <f>ROW(Source!A58)</f>
        <v>58</v>
      </c>
      <c r="B83">
        <v>29836810</v>
      </c>
      <c r="C83">
        <v>29836789</v>
      </c>
      <c r="D83">
        <v>28338155</v>
      </c>
      <c r="E83">
        <v>1</v>
      </c>
      <c r="F83">
        <v>1</v>
      </c>
      <c r="G83">
        <v>1</v>
      </c>
      <c r="H83">
        <v>2</v>
      </c>
      <c r="I83" t="s">
        <v>400</v>
      </c>
      <c r="J83" t="s">
        <v>401</v>
      </c>
      <c r="K83" t="s">
        <v>402</v>
      </c>
      <c r="L83">
        <v>1368</v>
      </c>
      <c r="N83">
        <v>1011</v>
      </c>
      <c r="O83" t="s">
        <v>317</v>
      </c>
      <c r="P83" t="s">
        <v>317</v>
      </c>
      <c r="Q83">
        <v>1</v>
      </c>
      <c r="X83">
        <v>0.19</v>
      </c>
      <c r="Y83">
        <v>0</v>
      </c>
      <c r="Z83">
        <v>91.1</v>
      </c>
      <c r="AA83">
        <v>8.82</v>
      </c>
      <c r="AB83">
        <v>0</v>
      </c>
      <c r="AC83">
        <v>0</v>
      </c>
      <c r="AD83">
        <v>1</v>
      </c>
      <c r="AE83">
        <v>0</v>
      </c>
      <c r="AF83" t="s">
        <v>31</v>
      </c>
      <c r="AG83">
        <v>0.23749999999999999</v>
      </c>
      <c r="AH83">
        <v>2</v>
      </c>
      <c r="AI83">
        <v>29836798</v>
      </c>
      <c r="AJ83">
        <v>81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x14ac:dyDescent="0.2">
      <c r="A84">
        <f>ROW(Source!A58)</f>
        <v>58</v>
      </c>
      <c r="B84">
        <v>29836811</v>
      </c>
      <c r="C84">
        <v>29836789</v>
      </c>
      <c r="D84">
        <v>28251150</v>
      </c>
      <c r="E84">
        <v>1</v>
      </c>
      <c r="F84">
        <v>1</v>
      </c>
      <c r="G84">
        <v>1</v>
      </c>
      <c r="H84">
        <v>3</v>
      </c>
      <c r="I84" t="s">
        <v>225</v>
      </c>
      <c r="J84" t="s">
        <v>227</v>
      </c>
      <c r="K84" t="s">
        <v>226</v>
      </c>
      <c r="L84">
        <v>1348</v>
      </c>
      <c r="N84">
        <v>1009</v>
      </c>
      <c r="O84" t="s">
        <v>84</v>
      </c>
      <c r="P84" t="s">
        <v>84</v>
      </c>
      <c r="Q84">
        <v>1000</v>
      </c>
      <c r="X84">
        <v>0.01</v>
      </c>
      <c r="Y84">
        <v>2123.75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F84" t="s">
        <v>3</v>
      </c>
      <c r="AG84">
        <v>0.01</v>
      </c>
      <c r="AH84">
        <v>2</v>
      </c>
      <c r="AI84">
        <v>29836799</v>
      </c>
      <c r="AJ84">
        <v>82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x14ac:dyDescent="0.2">
      <c r="A85">
        <f>ROW(Source!A58)</f>
        <v>58</v>
      </c>
      <c r="B85">
        <v>29836812</v>
      </c>
      <c r="C85">
        <v>29836789</v>
      </c>
      <c r="D85">
        <v>28251227</v>
      </c>
      <c r="E85">
        <v>1</v>
      </c>
      <c r="F85">
        <v>1</v>
      </c>
      <c r="G85">
        <v>1</v>
      </c>
      <c r="H85">
        <v>3</v>
      </c>
      <c r="I85" t="s">
        <v>403</v>
      </c>
      <c r="J85" t="s">
        <v>404</v>
      </c>
      <c r="K85" t="s">
        <v>405</v>
      </c>
      <c r="L85">
        <v>1348</v>
      </c>
      <c r="N85">
        <v>1009</v>
      </c>
      <c r="O85" t="s">
        <v>84</v>
      </c>
      <c r="P85" t="s">
        <v>84</v>
      </c>
      <c r="Q85">
        <v>1000</v>
      </c>
      <c r="X85">
        <v>7.0000000000000007E-2</v>
      </c>
      <c r="Y85">
        <v>11807.46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0</v>
      </c>
      <c r="AF85" t="s">
        <v>3</v>
      </c>
      <c r="AG85">
        <v>7.0000000000000007E-2</v>
      </c>
      <c r="AH85">
        <v>2</v>
      </c>
      <c r="AI85">
        <v>29836800</v>
      </c>
      <c r="AJ85">
        <v>83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x14ac:dyDescent="0.2">
      <c r="A86">
        <f>ROW(Source!A58)</f>
        <v>58</v>
      </c>
      <c r="B86">
        <v>29836813</v>
      </c>
      <c r="C86">
        <v>29836789</v>
      </c>
      <c r="D86">
        <v>28253181</v>
      </c>
      <c r="E86">
        <v>1</v>
      </c>
      <c r="F86">
        <v>1</v>
      </c>
      <c r="G86">
        <v>1</v>
      </c>
      <c r="H86">
        <v>3</v>
      </c>
      <c r="I86" t="s">
        <v>341</v>
      </c>
      <c r="J86" t="s">
        <v>342</v>
      </c>
      <c r="K86" t="s">
        <v>343</v>
      </c>
      <c r="L86">
        <v>1339</v>
      </c>
      <c r="N86">
        <v>1007</v>
      </c>
      <c r="O86" t="s">
        <v>56</v>
      </c>
      <c r="P86" t="s">
        <v>56</v>
      </c>
      <c r="Q86">
        <v>1</v>
      </c>
      <c r="X86">
        <v>3.5</v>
      </c>
      <c r="Y86">
        <v>2.44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0</v>
      </c>
      <c r="AF86" t="s">
        <v>3</v>
      </c>
      <c r="AG86">
        <v>3.5</v>
      </c>
      <c r="AH86">
        <v>2</v>
      </c>
      <c r="AI86">
        <v>29836801</v>
      </c>
      <c r="AJ86">
        <v>84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x14ac:dyDescent="0.2">
      <c r="A87">
        <f>ROW(Source!A58)</f>
        <v>58</v>
      </c>
      <c r="B87">
        <v>29836814</v>
      </c>
      <c r="C87">
        <v>29836789</v>
      </c>
      <c r="D87">
        <v>28249867</v>
      </c>
      <c r="E87">
        <v>21</v>
      </c>
      <c r="F87">
        <v>1</v>
      </c>
      <c r="G87">
        <v>1</v>
      </c>
      <c r="H87">
        <v>3</v>
      </c>
      <c r="I87" t="s">
        <v>415</v>
      </c>
      <c r="J87" t="s">
        <v>3</v>
      </c>
      <c r="K87" t="s">
        <v>416</v>
      </c>
      <c r="L87">
        <v>1301</v>
      </c>
      <c r="N87">
        <v>1003</v>
      </c>
      <c r="O87" t="s">
        <v>414</v>
      </c>
      <c r="P87" t="s">
        <v>414</v>
      </c>
      <c r="Q87">
        <v>1</v>
      </c>
      <c r="X87">
        <v>100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 t="s">
        <v>3</v>
      </c>
      <c r="AG87">
        <v>100</v>
      </c>
      <c r="AH87">
        <v>3</v>
      </c>
      <c r="AI87">
        <v>-1</v>
      </c>
      <c r="AJ87" t="s">
        <v>3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ROW(Source!A58)</f>
        <v>58</v>
      </c>
      <c r="B88">
        <v>29836815</v>
      </c>
      <c r="C88">
        <v>29836789</v>
      </c>
      <c r="D88">
        <v>28248584</v>
      </c>
      <c r="E88">
        <v>21</v>
      </c>
      <c r="F88">
        <v>1</v>
      </c>
      <c r="G88">
        <v>1</v>
      </c>
      <c r="H88">
        <v>3</v>
      </c>
      <c r="I88" t="s">
        <v>417</v>
      </c>
      <c r="J88" t="s">
        <v>3</v>
      </c>
      <c r="K88" t="s">
        <v>418</v>
      </c>
      <c r="L88">
        <v>1339</v>
      </c>
      <c r="N88">
        <v>1007</v>
      </c>
      <c r="O88" t="s">
        <v>56</v>
      </c>
      <c r="P88" t="s">
        <v>56</v>
      </c>
      <c r="Q88">
        <v>1</v>
      </c>
      <c r="X88">
        <v>2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 t="s">
        <v>3</v>
      </c>
      <c r="AG88">
        <v>2</v>
      </c>
      <c r="AH88">
        <v>3</v>
      </c>
      <c r="AI88">
        <v>-1</v>
      </c>
      <c r="AJ88" t="s">
        <v>3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">
      <c r="A89">
        <f>ROW(Source!A94)</f>
        <v>94</v>
      </c>
      <c r="B89">
        <v>29836822</v>
      </c>
      <c r="C89">
        <v>29836816</v>
      </c>
      <c r="D89">
        <v>28419637</v>
      </c>
      <c r="E89">
        <v>1</v>
      </c>
      <c r="F89">
        <v>1</v>
      </c>
      <c r="G89">
        <v>1</v>
      </c>
      <c r="H89">
        <v>1</v>
      </c>
      <c r="I89" t="s">
        <v>309</v>
      </c>
      <c r="J89" t="s">
        <v>3</v>
      </c>
      <c r="K89" t="s">
        <v>310</v>
      </c>
      <c r="L89">
        <v>1191</v>
      </c>
      <c r="N89">
        <v>1013</v>
      </c>
      <c r="O89" t="s">
        <v>311</v>
      </c>
      <c r="P89" t="s">
        <v>311</v>
      </c>
      <c r="Q89">
        <v>1</v>
      </c>
      <c r="X89">
        <v>31.32</v>
      </c>
      <c r="Y89">
        <v>0</v>
      </c>
      <c r="Z89">
        <v>0</v>
      </c>
      <c r="AA89">
        <v>0</v>
      </c>
      <c r="AB89">
        <v>6.97</v>
      </c>
      <c r="AC89">
        <v>0</v>
      </c>
      <c r="AD89">
        <v>1</v>
      </c>
      <c r="AE89">
        <v>1</v>
      </c>
      <c r="AF89" t="s">
        <v>32</v>
      </c>
      <c r="AG89">
        <v>36.018000000000001</v>
      </c>
      <c r="AH89">
        <v>2</v>
      </c>
      <c r="AI89">
        <v>29836817</v>
      </c>
      <c r="AJ89">
        <v>85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">
      <c r="A90">
        <f>ROW(Source!A94)</f>
        <v>94</v>
      </c>
      <c r="B90">
        <v>29836823</v>
      </c>
      <c r="C90">
        <v>29836816</v>
      </c>
      <c r="D90">
        <v>28419515</v>
      </c>
      <c r="E90">
        <v>1</v>
      </c>
      <c r="F90">
        <v>1</v>
      </c>
      <c r="G90">
        <v>1</v>
      </c>
      <c r="H90">
        <v>1</v>
      </c>
      <c r="I90" t="s">
        <v>312</v>
      </c>
      <c r="J90" t="s">
        <v>3</v>
      </c>
      <c r="K90" t="s">
        <v>313</v>
      </c>
      <c r="L90">
        <v>1191</v>
      </c>
      <c r="N90">
        <v>1013</v>
      </c>
      <c r="O90" t="s">
        <v>311</v>
      </c>
      <c r="P90" t="s">
        <v>311</v>
      </c>
      <c r="Q90">
        <v>1</v>
      </c>
      <c r="X90">
        <v>90.09</v>
      </c>
      <c r="Y90">
        <v>0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2</v>
      </c>
      <c r="AF90" t="s">
        <v>31</v>
      </c>
      <c r="AG90">
        <v>112.61250000000001</v>
      </c>
      <c r="AH90">
        <v>2</v>
      </c>
      <c r="AI90">
        <v>29836818</v>
      </c>
      <c r="AJ90">
        <v>86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ROW(Source!A94)</f>
        <v>94</v>
      </c>
      <c r="B91">
        <v>29836824</v>
      </c>
      <c r="C91">
        <v>29836816</v>
      </c>
      <c r="D91">
        <v>28335946</v>
      </c>
      <c r="E91">
        <v>1</v>
      </c>
      <c r="F91">
        <v>1</v>
      </c>
      <c r="G91">
        <v>1</v>
      </c>
      <c r="H91">
        <v>2</v>
      </c>
      <c r="I91" t="s">
        <v>314</v>
      </c>
      <c r="J91" t="s">
        <v>315</v>
      </c>
      <c r="K91" t="s">
        <v>316</v>
      </c>
      <c r="L91">
        <v>1368</v>
      </c>
      <c r="N91">
        <v>1011</v>
      </c>
      <c r="O91" t="s">
        <v>317</v>
      </c>
      <c r="P91" t="s">
        <v>317</v>
      </c>
      <c r="Q91">
        <v>1</v>
      </c>
      <c r="X91">
        <v>17.05</v>
      </c>
      <c r="Y91">
        <v>0</v>
      </c>
      <c r="Z91">
        <v>60.56</v>
      </c>
      <c r="AA91">
        <v>10.130000000000001</v>
      </c>
      <c r="AB91">
        <v>0</v>
      </c>
      <c r="AC91">
        <v>0</v>
      </c>
      <c r="AD91">
        <v>1</v>
      </c>
      <c r="AE91">
        <v>0</v>
      </c>
      <c r="AF91" t="s">
        <v>31</v>
      </c>
      <c r="AG91">
        <v>21.3125</v>
      </c>
      <c r="AH91">
        <v>2</v>
      </c>
      <c r="AI91">
        <v>29836819</v>
      </c>
      <c r="AJ91">
        <v>87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x14ac:dyDescent="0.2">
      <c r="A92">
        <f>ROW(Source!A94)</f>
        <v>94</v>
      </c>
      <c r="B92">
        <v>29836825</v>
      </c>
      <c r="C92">
        <v>29836816</v>
      </c>
      <c r="D92">
        <v>28336068</v>
      </c>
      <c r="E92">
        <v>1</v>
      </c>
      <c r="F92">
        <v>1</v>
      </c>
      <c r="G92">
        <v>1</v>
      </c>
      <c r="H92">
        <v>2</v>
      </c>
      <c r="I92" t="s">
        <v>318</v>
      </c>
      <c r="J92" t="s">
        <v>319</v>
      </c>
      <c r="K92" t="s">
        <v>320</v>
      </c>
      <c r="L92">
        <v>1368</v>
      </c>
      <c r="N92">
        <v>1011</v>
      </c>
      <c r="O92" t="s">
        <v>317</v>
      </c>
      <c r="P92" t="s">
        <v>317</v>
      </c>
      <c r="Q92">
        <v>1</v>
      </c>
      <c r="X92">
        <v>73.040000000000006</v>
      </c>
      <c r="Y92">
        <v>0</v>
      </c>
      <c r="Z92">
        <v>70.489999999999995</v>
      </c>
      <c r="AA92">
        <v>10.130000000000001</v>
      </c>
      <c r="AB92">
        <v>0</v>
      </c>
      <c r="AC92">
        <v>0</v>
      </c>
      <c r="AD92">
        <v>1</v>
      </c>
      <c r="AE92">
        <v>0</v>
      </c>
      <c r="AF92" t="s">
        <v>31</v>
      </c>
      <c r="AG92">
        <v>91.300000000000011</v>
      </c>
      <c r="AH92">
        <v>2</v>
      </c>
      <c r="AI92">
        <v>29836820</v>
      </c>
      <c r="AJ92">
        <v>88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x14ac:dyDescent="0.2">
      <c r="A93">
        <f>ROW(Source!A94)</f>
        <v>94</v>
      </c>
      <c r="B93">
        <v>29836826</v>
      </c>
      <c r="C93">
        <v>29836816</v>
      </c>
      <c r="D93">
        <v>28257901</v>
      </c>
      <c r="E93">
        <v>1</v>
      </c>
      <c r="F93">
        <v>1</v>
      </c>
      <c r="G93">
        <v>1</v>
      </c>
      <c r="H93">
        <v>3</v>
      </c>
      <c r="I93" t="s">
        <v>321</v>
      </c>
      <c r="J93" t="s">
        <v>322</v>
      </c>
      <c r="K93" t="s">
        <v>323</v>
      </c>
      <c r="L93">
        <v>1339</v>
      </c>
      <c r="N93">
        <v>1007</v>
      </c>
      <c r="O93" t="s">
        <v>56</v>
      </c>
      <c r="P93" t="s">
        <v>56</v>
      </c>
      <c r="Q93">
        <v>1</v>
      </c>
      <c r="X93">
        <v>0.04</v>
      </c>
      <c r="Y93">
        <v>165.33</v>
      </c>
      <c r="Z93">
        <v>0</v>
      </c>
      <c r="AA93">
        <v>0</v>
      </c>
      <c r="AB93">
        <v>0</v>
      </c>
      <c r="AC93">
        <v>0</v>
      </c>
      <c r="AD93">
        <v>1</v>
      </c>
      <c r="AE93">
        <v>0</v>
      </c>
      <c r="AF93" t="s">
        <v>3</v>
      </c>
      <c r="AG93">
        <v>0.04</v>
      </c>
      <c r="AH93">
        <v>2</v>
      </c>
      <c r="AI93">
        <v>29836821</v>
      </c>
      <c r="AJ93">
        <v>89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x14ac:dyDescent="0.2">
      <c r="A94">
        <f>ROW(Source!A96)</f>
        <v>96</v>
      </c>
      <c r="B94">
        <v>29836841</v>
      </c>
      <c r="C94">
        <v>29836828</v>
      </c>
      <c r="D94">
        <v>28421356</v>
      </c>
      <c r="E94">
        <v>1</v>
      </c>
      <c r="F94">
        <v>1</v>
      </c>
      <c r="G94">
        <v>1</v>
      </c>
      <c r="H94">
        <v>1</v>
      </c>
      <c r="I94" t="s">
        <v>389</v>
      </c>
      <c r="J94" t="s">
        <v>3</v>
      </c>
      <c r="K94" t="s">
        <v>390</v>
      </c>
      <c r="L94">
        <v>1191</v>
      </c>
      <c r="N94">
        <v>1013</v>
      </c>
      <c r="O94" t="s">
        <v>311</v>
      </c>
      <c r="P94" t="s">
        <v>311</v>
      </c>
      <c r="Q94">
        <v>1</v>
      </c>
      <c r="X94">
        <v>21.89</v>
      </c>
      <c r="Y94">
        <v>0</v>
      </c>
      <c r="Z94">
        <v>0</v>
      </c>
      <c r="AA94">
        <v>0</v>
      </c>
      <c r="AB94">
        <v>7.29</v>
      </c>
      <c r="AC94">
        <v>0</v>
      </c>
      <c r="AD94">
        <v>1</v>
      </c>
      <c r="AE94">
        <v>1</v>
      </c>
      <c r="AF94" t="s">
        <v>32</v>
      </c>
      <c r="AG94">
        <v>25.173499999999997</v>
      </c>
      <c r="AH94">
        <v>2</v>
      </c>
      <c r="AI94">
        <v>29836829</v>
      </c>
      <c r="AJ94">
        <v>90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x14ac:dyDescent="0.2">
      <c r="A95">
        <f>ROW(Source!A96)</f>
        <v>96</v>
      </c>
      <c r="B95">
        <v>29836842</v>
      </c>
      <c r="C95">
        <v>29836828</v>
      </c>
      <c r="D95">
        <v>28419515</v>
      </c>
      <c r="E95">
        <v>1</v>
      </c>
      <c r="F95">
        <v>1</v>
      </c>
      <c r="G95">
        <v>1</v>
      </c>
      <c r="H95">
        <v>1</v>
      </c>
      <c r="I95" t="s">
        <v>312</v>
      </c>
      <c r="J95" t="s">
        <v>3</v>
      </c>
      <c r="K95" t="s">
        <v>313</v>
      </c>
      <c r="L95">
        <v>1191</v>
      </c>
      <c r="N95">
        <v>1013</v>
      </c>
      <c r="O95" t="s">
        <v>311</v>
      </c>
      <c r="P95" t="s">
        <v>311</v>
      </c>
      <c r="Q95">
        <v>1</v>
      </c>
      <c r="X95">
        <v>4.5199999999999996</v>
      </c>
      <c r="Y95">
        <v>0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2</v>
      </c>
      <c r="AF95" t="s">
        <v>31</v>
      </c>
      <c r="AG95">
        <v>5.6499999999999995</v>
      </c>
      <c r="AH95">
        <v>2</v>
      </c>
      <c r="AI95">
        <v>29836830</v>
      </c>
      <c r="AJ95">
        <v>91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x14ac:dyDescent="0.2">
      <c r="A96">
        <f>ROW(Source!A96)</f>
        <v>96</v>
      </c>
      <c r="B96">
        <v>29836843</v>
      </c>
      <c r="C96">
        <v>29836828</v>
      </c>
      <c r="D96">
        <v>28336884</v>
      </c>
      <c r="E96">
        <v>1</v>
      </c>
      <c r="F96">
        <v>1</v>
      </c>
      <c r="G96">
        <v>1</v>
      </c>
      <c r="H96">
        <v>2</v>
      </c>
      <c r="I96" t="s">
        <v>332</v>
      </c>
      <c r="J96" t="s">
        <v>333</v>
      </c>
      <c r="K96" t="s">
        <v>334</v>
      </c>
      <c r="L96">
        <v>1368</v>
      </c>
      <c r="N96">
        <v>1011</v>
      </c>
      <c r="O96" t="s">
        <v>317</v>
      </c>
      <c r="P96" t="s">
        <v>317</v>
      </c>
      <c r="Q96">
        <v>1</v>
      </c>
      <c r="X96">
        <v>0.13</v>
      </c>
      <c r="Y96">
        <v>0</v>
      </c>
      <c r="Z96">
        <v>93.73</v>
      </c>
      <c r="AA96">
        <v>8.82</v>
      </c>
      <c r="AB96">
        <v>0</v>
      </c>
      <c r="AC96">
        <v>0</v>
      </c>
      <c r="AD96">
        <v>1</v>
      </c>
      <c r="AE96">
        <v>0</v>
      </c>
      <c r="AF96" t="s">
        <v>31</v>
      </c>
      <c r="AG96">
        <v>0.16250000000000001</v>
      </c>
      <c r="AH96">
        <v>2</v>
      </c>
      <c r="AI96">
        <v>29836831</v>
      </c>
      <c r="AJ96">
        <v>92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x14ac:dyDescent="0.2">
      <c r="A97">
        <f>ROW(Source!A96)</f>
        <v>96</v>
      </c>
      <c r="B97">
        <v>29836844</v>
      </c>
      <c r="C97">
        <v>29836828</v>
      </c>
      <c r="D97">
        <v>28337241</v>
      </c>
      <c r="E97">
        <v>1</v>
      </c>
      <c r="F97">
        <v>1</v>
      </c>
      <c r="G97">
        <v>1</v>
      </c>
      <c r="H97">
        <v>2</v>
      </c>
      <c r="I97" t="s">
        <v>391</v>
      </c>
      <c r="J97" t="s">
        <v>392</v>
      </c>
      <c r="K97" t="s">
        <v>393</v>
      </c>
      <c r="L97">
        <v>1368</v>
      </c>
      <c r="N97">
        <v>1011</v>
      </c>
      <c r="O97" t="s">
        <v>317</v>
      </c>
      <c r="P97" t="s">
        <v>317</v>
      </c>
      <c r="Q97">
        <v>1</v>
      </c>
      <c r="X97">
        <v>0.6</v>
      </c>
      <c r="Y97">
        <v>0</v>
      </c>
      <c r="Z97">
        <v>31.63</v>
      </c>
      <c r="AA97">
        <v>0</v>
      </c>
      <c r="AB97">
        <v>0</v>
      </c>
      <c r="AC97">
        <v>0</v>
      </c>
      <c r="AD97">
        <v>1</v>
      </c>
      <c r="AE97">
        <v>0</v>
      </c>
      <c r="AF97" t="s">
        <v>31</v>
      </c>
      <c r="AG97">
        <v>0.75</v>
      </c>
      <c r="AH97">
        <v>2</v>
      </c>
      <c r="AI97">
        <v>29836832</v>
      </c>
      <c r="AJ97">
        <v>93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x14ac:dyDescent="0.2">
      <c r="A98">
        <f>ROW(Source!A96)</f>
        <v>96</v>
      </c>
      <c r="B98">
        <v>29836845</v>
      </c>
      <c r="C98">
        <v>29836828</v>
      </c>
      <c r="D98">
        <v>28337292</v>
      </c>
      <c r="E98">
        <v>1</v>
      </c>
      <c r="F98">
        <v>1</v>
      </c>
      <c r="G98">
        <v>1</v>
      </c>
      <c r="H98">
        <v>2</v>
      </c>
      <c r="I98" t="s">
        <v>394</v>
      </c>
      <c r="J98" t="s">
        <v>395</v>
      </c>
      <c r="K98" t="s">
        <v>396</v>
      </c>
      <c r="L98">
        <v>1368</v>
      </c>
      <c r="N98">
        <v>1011</v>
      </c>
      <c r="O98" t="s">
        <v>317</v>
      </c>
      <c r="P98" t="s">
        <v>317</v>
      </c>
      <c r="Q98">
        <v>1</v>
      </c>
      <c r="X98">
        <v>8.36</v>
      </c>
      <c r="Y98">
        <v>0</v>
      </c>
      <c r="Z98">
        <v>63.17</v>
      </c>
      <c r="AA98">
        <v>0</v>
      </c>
      <c r="AB98">
        <v>0</v>
      </c>
      <c r="AC98">
        <v>0</v>
      </c>
      <c r="AD98">
        <v>1</v>
      </c>
      <c r="AE98">
        <v>0</v>
      </c>
      <c r="AF98" t="s">
        <v>31</v>
      </c>
      <c r="AG98">
        <v>10.45</v>
      </c>
      <c r="AH98">
        <v>2</v>
      </c>
      <c r="AI98">
        <v>29836833</v>
      </c>
      <c r="AJ98">
        <v>94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x14ac:dyDescent="0.2">
      <c r="A99">
        <f>ROW(Source!A96)</f>
        <v>96</v>
      </c>
      <c r="B99">
        <v>29836846</v>
      </c>
      <c r="C99">
        <v>29836828</v>
      </c>
      <c r="D99">
        <v>28337361</v>
      </c>
      <c r="E99">
        <v>1</v>
      </c>
      <c r="F99">
        <v>1</v>
      </c>
      <c r="G99">
        <v>1</v>
      </c>
      <c r="H99">
        <v>2</v>
      </c>
      <c r="I99" t="s">
        <v>397</v>
      </c>
      <c r="J99" t="s">
        <v>398</v>
      </c>
      <c r="K99" t="s">
        <v>399</v>
      </c>
      <c r="L99">
        <v>1368</v>
      </c>
      <c r="N99">
        <v>1011</v>
      </c>
      <c r="O99" t="s">
        <v>317</v>
      </c>
      <c r="P99" t="s">
        <v>317</v>
      </c>
      <c r="Q99">
        <v>1</v>
      </c>
      <c r="X99">
        <v>3.25</v>
      </c>
      <c r="Y99">
        <v>0</v>
      </c>
      <c r="Z99">
        <v>194.67</v>
      </c>
      <c r="AA99">
        <v>10.130000000000001</v>
      </c>
      <c r="AB99">
        <v>0</v>
      </c>
      <c r="AC99">
        <v>0</v>
      </c>
      <c r="AD99">
        <v>1</v>
      </c>
      <c r="AE99">
        <v>0</v>
      </c>
      <c r="AF99" t="s">
        <v>31</v>
      </c>
      <c r="AG99">
        <v>4.0625</v>
      </c>
      <c r="AH99">
        <v>2</v>
      </c>
      <c r="AI99">
        <v>29836834</v>
      </c>
      <c r="AJ99">
        <v>95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x14ac:dyDescent="0.2">
      <c r="A100">
        <f>ROW(Source!A96)</f>
        <v>96</v>
      </c>
      <c r="B100">
        <v>29836847</v>
      </c>
      <c r="C100">
        <v>29836828</v>
      </c>
      <c r="D100">
        <v>28337789</v>
      </c>
      <c r="E100">
        <v>1</v>
      </c>
      <c r="F100">
        <v>1</v>
      </c>
      <c r="G100">
        <v>1</v>
      </c>
      <c r="H100">
        <v>2</v>
      </c>
      <c r="I100" t="s">
        <v>338</v>
      </c>
      <c r="J100" t="s">
        <v>339</v>
      </c>
      <c r="K100" t="s">
        <v>340</v>
      </c>
      <c r="L100">
        <v>1368</v>
      </c>
      <c r="N100">
        <v>1011</v>
      </c>
      <c r="O100" t="s">
        <v>317</v>
      </c>
      <c r="P100" t="s">
        <v>317</v>
      </c>
      <c r="Q100">
        <v>1</v>
      </c>
      <c r="X100">
        <v>0.92</v>
      </c>
      <c r="Y100">
        <v>0</v>
      </c>
      <c r="Z100">
        <v>119.44</v>
      </c>
      <c r="AA100">
        <v>10.130000000000001</v>
      </c>
      <c r="AB100">
        <v>0</v>
      </c>
      <c r="AC100">
        <v>0</v>
      </c>
      <c r="AD100">
        <v>1</v>
      </c>
      <c r="AE100">
        <v>0</v>
      </c>
      <c r="AF100" t="s">
        <v>31</v>
      </c>
      <c r="AG100">
        <v>1.1500000000000001</v>
      </c>
      <c r="AH100">
        <v>2</v>
      </c>
      <c r="AI100">
        <v>29836835</v>
      </c>
      <c r="AJ100">
        <v>96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x14ac:dyDescent="0.2">
      <c r="A101">
        <f>ROW(Source!A96)</f>
        <v>96</v>
      </c>
      <c r="B101">
        <v>29836848</v>
      </c>
      <c r="C101">
        <v>29836828</v>
      </c>
      <c r="D101">
        <v>28337840</v>
      </c>
      <c r="E101">
        <v>1</v>
      </c>
      <c r="F101">
        <v>1</v>
      </c>
      <c r="G101">
        <v>1</v>
      </c>
      <c r="H101">
        <v>2</v>
      </c>
      <c r="I101" t="s">
        <v>363</v>
      </c>
      <c r="J101" t="s">
        <v>364</v>
      </c>
      <c r="K101" t="s">
        <v>365</v>
      </c>
      <c r="L101">
        <v>1368</v>
      </c>
      <c r="N101">
        <v>1011</v>
      </c>
      <c r="O101" t="s">
        <v>317</v>
      </c>
      <c r="P101" t="s">
        <v>317</v>
      </c>
      <c r="Q101">
        <v>1</v>
      </c>
      <c r="X101">
        <v>0.03</v>
      </c>
      <c r="Y101">
        <v>0</v>
      </c>
      <c r="Z101">
        <v>86.79</v>
      </c>
      <c r="AA101">
        <v>10.130000000000001</v>
      </c>
      <c r="AB101">
        <v>0</v>
      </c>
      <c r="AC101">
        <v>0</v>
      </c>
      <c r="AD101">
        <v>1</v>
      </c>
      <c r="AE101">
        <v>0</v>
      </c>
      <c r="AF101" t="s">
        <v>31</v>
      </c>
      <c r="AG101">
        <v>3.7499999999999999E-2</v>
      </c>
      <c r="AH101">
        <v>2</v>
      </c>
      <c r="AI101">
        <v>29836836</v>
      </c>
      <c r="AJ101">
        <v>97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x14ac:dyDescent="0.2">
      <c r="A102">
        <f>ROW(Source!A96)</f>
        <v>96</v>
      </c>
      <c r="B102">
        <v>29836849</v>
      </c>
      <c r="C102">
        <v>29836828</v>
      </c>
      <c r="D102">
        <v>28338155</v>
      </c>
      <c r="E102">
        <v>1</v>
      </c>
      <c r="F102">
        <v>1</v>
      </c>
      <c r="G102">
        <v>1</v>
      </c>
      <c r="H102">
        <v>2</v>
      </c>
      <c r="I102" t="s">
        <v>400</v>
      </c>
      <c r="J102" t="s">
        <v>401</v>
      </c>
      <c r="K102" t="s">
        <v>402</v>
      </c>
      <c r="L102">
        <v>1368</v>
      </c>
      <c r="N102">
        <v>1011</v>
      </c>
      <c r="O102" t="s">
        <v>317</v>
      </c>
      <c r="P102" t="s">
        <v>317</v>
      </c>
      <c r="Q102">
        <v>1</v>
      </c>
      <c r="X102">
        <v>0.19</v>
      </c>
      <c r="Y102">
        <v>0</v>
      </c>
      <c r="Z102">
        <v>91.1</v>
      </c>
      <c r="AA102">
        <v>8.82</v>
      </c>
      <c r="AB102">
        <v>0</v>
      </c>
      <c r="AC102">
        <v>0</v>
      </c>
      <c r="AD102">
        <v>1</v>
      </c>
      <c r="AE102">
        <v>0</v>
      </c>
      <c r="AF102" t="s">
        <v>31</v>
      </c>
      <c r="AG102">
        <v>0.23749999999999999</v>
      </c>
      <c r="AH102">
        <v>2</v>
      </c>
      <c r="AI102">
        <v>29836837</v>
      </c>
      <c r="AJ102">
        <v>98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x14ac:dyDescent="0.2">
      <c r="A103">
        <f>ROW(Source!A96)</f>
        <v>96</v>
      </c>
      <c r="B103">
        <v>29836850</v>
      </c>
      <c r="C103">
        <v>29836828</v>
      </c>
      <c r="D103">
        <v>28251150</v>
      </c>
      <c r="E103">
        <v>1</v>
      </c>
      <c r="F103">
        <v>1</v>
      </c>
      <c r="G103">
        <v>1</v>
      </c>
      <c r="H103">
        <v>3</v>
      </c>
      <c r="I103" t="s">
        <v>225</v>
      </c>
      <c r="J103" t="s">
        <v>227</v>
      </c>
      <c r="K103" t="s">
        <v>226</v>
      </c>
      <c r="L103">
        <v>1348</v>
      </c>
      <c r="N103">
        <v>1009</v>
      </c>
      <c r="O103" t="s">
        <v>84</v>
      </c>
      <c r="P103" t="s">
        <v>84</v>
      </c>
      <c r="Q103">
        <v>1000</v>
      </c>
      <c r="X103">
        <v>0.01</v>
      </c>
      <c r="Y103">
        <v>2123.75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0</v>
      </c>
      <c r="AF103" t="s">
        <v>3</v>
      </c>
      <c r="AG103">
        <v>0.01</v>
      </c>
      <c r="AH103">
        <v>2</v>
      </c>
      <c r="AI103">
        <v>29836838</v>
      </c>
      <c r="AJ103">
        <v>99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x14ac:dyDescent="0.2">
      <c r="A104">
        <f>ROW(Source!A96)</f>
        <v>96</v>
      </c>
      <c r="B104">
        <v>29836851</v>
      </c>
      <c r="C104">
        <v>29836828</v>
      </c>
      <c r="D104">
        <v>28251227</v>
      </c>
      <c r="E104">
        <v>1</v>
      </c>
      <c r="F104">
        <v>1</v>
      </c>
      <c r="G104">
        <v>1</v>
      </c>
      <c r="H104">
        <v>3</v>
      </c>
      <c r="I104" t="s">
        <v>403</v>
      </c>
      <c r="J104" t="s">
        <v>404</v>
      </c>
      <c r="K104" t="s">
        <v>405</v>
      </c>
      <c r="L104">
        <v>1348</v>
      </c>
      <c r="N104">
        <v>1009</v>
      </c>
      <c r="O104" t="s">
        <v>84</v>
      </c>
      <c r="P104" t="s">
        <v>84</v>
      </c>
      <c r="Q104">
        <v>1000</v>
      </c>
      <c r="X104">
        <v>7.0000000000000007E-2</v>
      </c>
      <c r="Y104">
        <v>11807.46</v>
      </c>
      <c r="Z104">
        <v>0</v>
      </c>
      <c r="AA104">
        <v>0</v>
      </c>
      <c r="AB104">
        <v>0</v>
      </c>
      <c r="AC104">
        <v>0</v>
      </c>
      <c r="AD104">
        <v>1</v>
      </c>
      <c r="AE104">
        <v>0</v>
      </c>
      <c r="AF104" t="s">
        <v>3</v>
      </c>
      <c r="AG104">
        <v>7.0000000000000007E-2</v>
      </c>
      <c r="AH104">
        <v>2</v>
      </c>
      <c r="AI104">
        <v>29836839</v>
      </c>
      <c r="AJ104">
        <v>100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x14ac:dyDescent="0.2">
      <c r="A105">
        <f>ROW(Source!A96)</f>
        <v>96</v>
      </c>
      <c r="B105">
        <v>29836852</v>
      </c>
      <c r="C105">
        <v>29836828</v>
      </c>
      <c r="D105">
        <v>28253181</v>
      </c>
      <c r="E105">
        <v>1</v>
      </c>
      <c r="F105">
        <v>1</v>
      </c>
      <c r="G105">
        <v>1</v>
      </c>
      <c r="H105">
        <v>3</v>
      </c>
      <c r="I105" t="s">
        <v>341</v>
      </c>
      <c r="J105" t="s">
        <v>342</v>
      </c>
      <c r="K105" t="s">
        <v>343</v>
      </c>
      <c r="L105">
        <v>1339</v>
      </c>
      <c r="N105">
        <v>1007</v>
      </c>
      <c r="O105" t="s">
        <v>56</v>
      </c>
      <c r="P105" t="s">
        <v>56</v>
      </c>
      <c r="Q105">
        <v>1</v>
      </c>
      <c r="X105">
        <v>3.5</v>
      </c>
      <c r="Y105">
        <v>2.44</v>
      </c>
      <c r="Z105">
        <v>0</v>
      </c>
      <c r="AA105">
        <v>0</v>
      </c>
      <c r="AB105">
        <v>0</v>
      </c>
      <c r="AC105">
        <v>0</v>
      </c>
      <c r="AD105">
        <v>1</v>
      </c>
      <c r="AE105">
        <v>0</v>
      </c>
      <c r="AF105" t="s">
        <v>3</v>
      </c>
      <c r="AG105">
        <v>3.5</v>
      </c>
      <c r="AH105">
        <v>2</v>
      </c>
      <c r="AI105">
        <v>29836840</v>
      </c>
      <c r="AJ105">
        <v>101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x14ac:dyDescent="0.2">
      <c r="A106">
        <f>ROW(Source!A96)</f>
        <v>96</v>
      </c>
      <c r="B106">
        <v>29836853</v>
      </c>
      <c r="C106">
        <v>29836828</v>
      </c>
      <c r="D106">
        <v>28249867</v>
      </c>
      <c r="E106">
        <v>21</v>
      </c>
      <c r="F106">
        <v>1</v>
      </c>
      <c r="G106">
        <v>1</v>
      </c>
      <c r="H106">
        <v>3</v>
      </c>
      <c r="I106" t="s">
        <v>415</v>
      </c>
      <c r="J106" t="s">
        <v>3</v>
      </c>
      <c r="K106" t="s">
        <v>416</v>
      </c>
      <c r="L106">
        <v>1301</v>
      </c>
      <c r="N106">
        <v>1003</v>
      </c>
      <c r="O106" t="s">
        <v>414</v>
      </c>
      <c r="P106" t="s">
        <v>414</v>
      </c>
      <c r="Q106">
        <v>1</v>
      </c>
      <c r="X106">
        <v>100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 t="s">
        <v>3</v>
      </c>
      <c r="AG106">
        <v>100</v>
      </c>
      <c r="AH106">
        <v>3</v>
      </c>
      <c r="AI106">
        <v>-1</v>
      </c>
      <c r="AJ106" t="s">
        <v>3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x14ac:dyDescent="0.2">
      <c r="A107">
        <f>ROW(Source!A96)</f>
        <v>96</v>
      </c>
      <c r="B107">
        <v>29836854</v>
      </c>
      <c r="C107">
        <v>29836828</v>
      </c>
      <c r="D107">
        <v>28248584</v>
      </c>
      <c r="E107">
        <v>21</v>
      </c>
      <c r="F107">
        <v>1</v>
      </c>
      <c r="G107">
        <v>1</v>
      </c>
      <c r="H107">
        <v>3</v>
      </c>
      <c r="I107" t="s">
        <v>417</v>
      </c>
      <c r="J107" t="s">
        <v>3</v>
      </c>
      <c r="K107" t="s">
        <v>418</v>
      </c>
      <c r="L107">
        <v>1339</v>
      </c>
      <c r="N107">
        <v>1007</v>
      </c>
      <c r="O107" t="s">
        <v>56</v>
      </c>
      <c r="P107" t="s">
        <v>56</v>
      </c>
      <c r="Q107">
        <v>1</v>
      </c>
      <c r="X107">
        <v>2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 t="s">
        <v>3</v>
      </c>
      <c r="AG107">
        <v>2</v>
      </c>
      <c r="AH107">
        <v>3</v>
      </c>
      <c r="AI107">
        <v>-1</v>
      </c>
      <c r="AJ107" t="s">
        <v>3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x14ac:dyDescent="0.2">
      <c r="A108">
        <f>ROW(Source!A97)</f>
        <v>97</v>
      </c>
      <c r="B108">
        <v>29836863</v>
      </c>
      <c r="C108">
        <v>29836855</v>
      </c>
      <c r="D108">
        <v>28421378</v>
      </c>
      <c r="E108">
        <v>1</v>
      </c>
      <c r="F108">
        <v>1</v>
      </c>
      <c r="G108">
        <v>1</v>
      </c>
      <c r="H108">
        <v>1</v>
      </c>
      <c r="I108" t="s">
        <v>372</v>
      </c>
      <c r="J108" t="s">
        <v>3</v>
      </c>
      <c r="K108" t="s">
        <v>373</v>
      </c>
      <c r="L108">
        <v>1191</v>
      </c>
      <c r="N108">
        <v>1013</v>
      </c>
      <c r="O108" t="s">
        <v>311</v>
      </c>
      <c r="P108" t="s">
        <v>311</v>
      </c>
      <c r="Q108">
        <v>1</v>
      </c>
      <c r="X108">
        <v>26.24</v>
      </c>
      <c r="Y108">
        <v>0</v>
      </c>
      <c r="Z108">
        <v>0</v>
      </c>
      <c r="AA108">
        <v>0</v>
      </c>
      <c r="AB108">
        <v>7.55</v>
      </c>
      <c r="AC108">
        <v>0</v>
      </c>
      <c r="AD108">
        <v>1</v>
      </c>
      <c r="AE108">
        <v>1</v>
      </c>
      <c r="AF108" t="s">
        <v>32</v>
      </c>
      <c r="AG108">
        <v>30.175999999999995</v>
      </c>
      <c r="AH108">
        <v>2</v>
      </c>
      <c r="AI108">
        <v>29836856</v>
      </c>
      <c r="AJ108">
        <v>102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x14ac:dyDescent="0.2">
      <c r="A109">
        <f>ROW(Source!A97)</f>
        <v>97</v>
      </c>
      <c r="B109">
        <v>29836864</v>
      </c>
      <c r="C109">
        <v>29836855</v>
      </c>
      <c r="D109">
        <v>28419515</v>
      </c>
      <c r="E109">
        <v>1</v>
      </c>
      <c r="F109">
        <v>1</v>
      </c>
      <c r="G109">
        <v>1</v>
      </c>
      <c r="H109">
        <v>1</v>
      </c>
      <c r="I109" t="s">
        <v>312</v>
      </c>
      <c r="J109" t="s">
        <v>3</v>
      </c>
      <c r="K109" t="s">
        <v>313</v>
      </c>
      <c r="L109">
        <v>1191</v>
      </c>
      <c r="N109">
        <v>1013</v>
      </c>
      <c r="O109" t="s">
        <v>311</v>
      </c>
      <c r="P109" t="s">
        <v>311</v>
      </c>
      <c r="Q109">
        <v>1</v>
      </c>
      <c r="X109">
        <v>3.17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1</v>
      </c>
      <c r="AE109">
        <v>2</v>
      </c>
      <c r="AF109" t="s">
        <v>31</v>
      </c>
      <c r="AG109">
        <v>3.9624999999999999</v>
      </c>
      <c r="AH109">
        <v>2</v>
      </c>
      <c r="AI109">
        <v>29836857</v>
      </c>
      <c r="AJ109">
        <v>103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2">
      <c r="A110">
        <f>ROW(Source!A97)</f>
        <v>97</v>
      </c>
      <c r="B110">
        <v>29836865</v>
      </c>
      <c r="C110">
        <v>29836855</v>
      </c>
      <c r="D110">
        <v>28336884</v>
      </c>
      <c r="E110">
        <v>1</v>
      </c>
      <c r="F110">
        <v>1</v>
      </c>
      <c r="G110">
        <v>1</v>
      </c>
      <c r="H110">
        <v>2</v>
      </c>
      <c r="I110" t="s">
        <v>332</v>
      </c>
      <c r="J110" t="s">
        <v>333</v>
      </c>
      <c r="K110" t="s">
        <v>334</v>
      </c>
      <c r="L110">
        <v>1368</v>
      </c>
      <c r="N110">
        <v>1011</v>
      </c>
      <c r="O110" t="s">
        <v>317</v>
      </c>
      <c r="P110" t="s">
        <v>317</v>
      </c>
      <c r="Q110">
        <v>1</v>
      </c>
      <c r="X110">
        <v>1.1499999999999999</v>
      </c>
      <c r="Y110">
        <v>0</v>
      </c>
      <c r="Z110">
        <v>93.73</v>
      </c>
      <c r="AA110">
        <v>8.82</v>
      </c>
      <c r="AB110">
        <v>0</v>
      </c>
      <c r="AC110">
        <v>0</v>
      </c>
      <c r="AD110">
        <v>1</v>
      </c>
      <c r="AE110">
        <v>0</v>
      </c>
      <c r="AF110" t="s">
        <v>31</v>
      </c>
      <c r="AG110">
        <v>1.4375</v>
      </c>
      <c r="AH110">
        <v>2</v>
      </c>
      <c r="AI110">
        <v>29836858</v>
      </c>
      <c r="AJ110">
        <v>104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x14ac:dyDescent="0.2">
      <c r="A111">
        <f>ROW(Source!A97)</f>
        <v>97</v>
      </c>
      <c r="B111">
        <v>29836866</v>
      </c>
      <c r="C111">
        <v>29836855</v>
      </c>
      <c r="D111">
        <v>28337181</v>
      </c>
      <c r="E111">
        <v>1</v>
      </c>
      <c r="F111">
        <v>1</v>
      </c>
      <c r="G111">
        <v>1</v>
      </c>
      <c r="H111">
        <v>2</v>
      </c>
      <c r="I111" t="s">
        <v>357</v>
      </c>
      <c r="J111" t="s">
        <v>358</v>
      </c>
      <c r="K111" t="s">
        <v>359</v>
      </c>
      <c r="L111">
        <v>1368</v>
      </c>
      <c r="N111">
        <v>1011</v>
      </c>
      <c r="O111" t="s">
        <v>317</v>
      </c>
      <c r="P111" t="s">
        <v>317</v>
      </c>
      <c r="Q111">
        <v>1</v>
      </c>
      <c r="X111">
        <v>1.48</v>
      </c>
      <c r="Y111">
        <v>0</v>
      </c>
      <c r="Z111">
        <v>75.510000000000005</v>
      </c>
      <c r="AA111">
        <v>10.130000000000001</v>
      </c>
      <c r="AB111">
        <v>0</v>
      </c>
      <c r="AC111">
        <v>0</v>
      </c>
      <c r="AD111">
        <v>1</v>
      </c>
      <c r="AE111">
        <v>0</v>
      </c>
      <c r="AF111" t="s">
        <v>31</v>
      </c>
      <c r="AG111">
        <v>1.85</v>
      </c>
      <c r="AH111">
        <v>2</v>
      </c>
      <c r="AI111">
        <v>29836859</v>
      </c>
      <c r="AJ111">
        <v>105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x14ac:dyDescent="0.2">
      <c r="A112">
        <f>ROW(Source!A97)</f>
        <v>97</v>
      </c>
      <c r="B112">
        <v>29836867</v>
      </c>
      <c r="C112">
        <v>29836855</v>
      </c>
      <c r="D112">
        <v>28337789</v>
      </c>
      <c r="E112">
        <v>1</v>
      </c>
      <c r="F112">
        <v>1</v>
      </c>
      <c r="G112">
        <v>1</v>
      </c>
      <c r="H112">
        <v>2</v>
      </c>
      <c r="I112" t="s">
        <v>338</v>
      </c>
      <c r="J112" t="s">
        <v>339</v>
      </c>
      <c r="K112" t="s">
        <v>340</v>
      </c>
      <c r="L112">
        <v>1368</v>
      </c>
      <c r="N112">
        <v>1011</v>
      </c>
      <c r="O112" t="s">
        <v>317</v>
      </c>
      <c r="P112" t="s">
        <v>317</v>
      </c>
      <c r="Q112">
        <v>1</v>
      </c>
      <c r="X112">
        <v>0.54</v>
      </c>
      <c r="Y112">
        <v>0</v>
      </c>
      <c r="Z112">
        <v>119.44</v>
      </c>
      <c r="AA112">
        <v>10.130000000000001</v>
      </c>
      <c r="AB112">
        <v>0</v>
      </c>
      <c r="AC112">
        <v>0</v>
      </c>
      <c r="AD112">
        <v>1</v>
      </c>
      <c r="AE112">
        <v>0</v>
      </c>
      <c r="AF112" t="s">
        <v>31</v>
      </c>
      <c r="AG112">
        <v>0.67500000000000004</v>
      </c>
      <c r="AH112">
        <v>2</v>
      </c>
      <c r="AI112">
        <v>29836860</v>
      </c>
      <c r="AJ112">
        <v>106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x14ac:dyDescent="0.2">
      <c r="A113">
        <f>ROW(Source!A97)</f>
        <v>97</v>
      </c>
      <c r="B113">
        <v>29836868</v>
      </c>
      <c r="C113">
        <v>29836855</v>
      </c>
      <c r="D113">
        <v>28253181</v>
      </c>
      <c r="E113">
        <v>1</v>
      </c>
      <c r="F113">
        <v>1</v>
      </c>
      <c r="G113">
        <v>1</v>
      </c>
      <c r="H113">
        <v>3</v>
      </c>
      <c r="I113" t="s">
        <v>341</v>
      </c>
      <c r="J113" t="s">
        <v>342</v>
      </c>
      <c r="K113" t="s">
        <v>343</v>
      </c>
      <c r="L113">
        <v>1339</v>
      </c>
      <c r="N113">
        <v>1007</v>
      </c>
      <c r="O113" t="s">
        <v>56</v>
      </c>
      <c r="P113" t="s">
        <v>56</v>
      </c>
      <c r="Q113">
        <v>1</v>
      </c>
      <c r="X113">
        <v>2</v>
      </c>
      <c r="Y113">
        <v>2.44</v>
      </c>
      <c r="Z113">
        <v>0</v>
      </c>
      <c r="AA113">
        <v>0</v>
      </c>
      <c r="AB113">
        <v>0</v>
      </c>
      <c r="AC113">
        <v>0</v>
      </c>
      <c r="AD113">
        <v>1</v>
      </c>
      <c r="AE113">
        <v>0</v>
      </c>
      <c r="AF113" t="s">
        <v>3</v>
      </c>
      <c r="AG113">
        <v>2</v>
      </c>
      <c r="AH113">
        <v>2</v>
      </c>
      <c r="AI113">
        <v>29836861</v>
      </c>
      <c r="AJ113">
        <v>107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x14ac:dyDescent="0.2">
      <c r="A114">
        <f>ROW(Source!A97)</f>
        <v>97</v>
      </c>
      <c r="B114">
        <v>29836869</v>
      </c>
      <c r="C114">
        <v>29836855</v>
      </c>
      <c r="D114">
        <v>28248815</v>
      </c>
      <c r="E114">
        <v>21</v>
      </c>
      <c r="F114">
        <v>1</v>
      </c>
      <c r="G114">
        <v>1</v>
      </c>
      <c r="H114">
        <v>3</v>
      </c>
      <c r="I114" t="s">
        <v>211</v>
      </c>
      <c r="J114" t="s">
        <v>3</v>
      </c>
      <c r="K114" t="s">
        <v>212</v>
      </c>
      <c r="L114">
        <v>1339</v>
      </c>
      <c r="N114">
        <v>1007</v>
      </c>
      <c r="O114" t="s">
        <v>56</v>
      </c>
      <c r="P114" t="s">
        <v>56</v>
      </c>
      <c r="Q114">
        <v>1</v>
      </c>
      <c r="X114">
        <v>17.399999999999999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 t="s">
        <v>3</v>
      </c>
      <c r="AG114">
        <v>17.399999999999999</v>
      </c>
      <c r="AH114">
        <v>2</v>
      </c>
      <c r="AI114">
        <v>29836862</v>
      </c>
      <c r="AJ114">
        <v>108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x14ac:dyDescent="0.2">
      <c r="A115">
        <f>ROW(Source!A99)</f>
        <v>99</v>
      </c>
      <c r="B115">
        <v>29836876</v>
      </c>
      <c r="C115">
        <v>29836871</v>
      </c>
      <c r="D115">
        <v>28421378</v>
      </c>
      <c r="E115">
        <v>1</v>
      </c>
      <c r="F115">
        <v>1</v>
      </c>
      <c r="G115">
        <v>1</v>
      </c>
      <c r="H115">
        <v>1</v>
      </c>
      <c r="I115" t="s">
        <v>372</v>
      </c>
      <c r="J115" t="s">
        <v>3</v>
      </c>
      <c r="K115" t="s">
        <v>373</v>
      </c>
      <c r="L115">
        <v>1191</v>
      </c>
      <c r="N115">
        <v>1013</v>
      </c>
      <c r="O115" t="s">
        <v>311</v>
      </c>
      <c r="P115" t="s">
        <v>311</v>
      </c>
      <c r="Q115">
        <v>1</v>
      </c>
      <c r="X115">
        <v>0.54</v>
      </c>
      <c r="Y115">
        <v>0</v>
      </c>
      <c r="Z115">
        <v>0</v>
      </c>
      <c r="AA115">
        <v>0</v>
      </c>
      <c r="AB115">
        <v>7.55</v>
      </c>
      <c r="AC115">
        <v>0</v>
      </c>
      <c r="AD115">
        <v>1</v>
      </c>
      <c r="AE115">
        <v>1</v>
      </c>
      <c r="AF115" t="s">
        <v>32</v>
      </c>
      <c r="AG115">
        <v>0.621</v>
      </c>
      <c r="AH115">
        <v>2</v>
      </c>
      <c r="AI115">
        <v>29836872</v>
      </c>
      <c r="AJ115">
        <v>109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x14ac:dyDescent="0.2">
      <c r="A116">
        <f>ROW(Source!A99)</f>
        <v>99</v>
      </c>
      <c r="B116">
        <v>29836877</v>
      </c>
      <c r="C116">
        <v>29836871</v>
      </c>
      <c r="D116">
        <v>28419515</v>
      </c>
      <c r="E116">
        <v>1</v>
      </c>
      <c r="F116">
        <v>1</v>
      </c>
      <c r="G116">
        <v>1</v>
      </c>
      <c r="H116">
        <v>1</v>
      </c>
      <c r="I116" t="s">
        <v>312</v>
      </c>
      <c r="J116" t="s">
        <v>3</v>
      </c>
      <c r="K116" t="s">
        <v>313</v>
      </c>
      <c r="L116">
        <v>1191</v>
      </c>
      <c r="N116">
        <v>1013</v>
      </c>
      <c r="O116" t="s">
        <v>311</v>
      </c>
      <c r="P116" t="s">
        <v>311</v>
      </c>
      <c r="Q116">
        <v>1</v>
      </c>
      <c r="X116">
        <v>0.1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1</v>
      </c>
      <c r="AE116">
        <v>2</v>
      </c>
      <c r="AF116" t="s">
        <v>31</v>
      </c>
      <c r="AG116">
        <v>0.125</v>
      </c>
      <c r="AH116">
        <v>2</v>
      </c>
      <c r="AI116">
        <v>29836873</v>
      </c>
      <c r="AJ116">
        <v>110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x14ac:dyDescent="0.2">
      <c r="A117">
        <f>ROW(Source!A99)</f>
        <v>99</v>
      </c>
      <c r="B117">
        <v>29836878</v>
      </c>
      <c r="C117">
        <v>29836871</v>
      </c>
      <c r="D117">
        <v>28336884</v>
      </c>
      <c r="E117">
        <v>1</v>
      </c>
      <c r="F117">
        <v>1</v>
      </c>
      <c r="G117">
        <v>1</v>
      </c>
      <c r="H117">
        <v>2</v>
      </c>
      <c r="I117" t="s">
        <v>332</v>
      </c>
      <c r="J117" t="s">
        <v>333</v>
      </c>
      <c r="K117" t="s">
        <v>334</v>
      </c>
      <c r="L117">
        <v>1368</v>
      </c>
      <c r="N117">
        <v>1011</v>
      </c>
      <c r="O117" t="s">
        <v>317</v>
      </c>
      <c r="P117" t="s">
        <v>317</v>
      </c>
      <c r="Q117">
        <v>1</v>
      </c>
      <c r="X117">
        <v>0.1</v>
      </c>
      <c r="Y117">
        <v>0</v>
      </c>
      <c r="Z117">
        <v>93.73</v>
      </c>
      <c r="AA117">
        <v>8.82</v>
      </c>
      <c r="AB117">
        <v>0</v>
      </c>
      <c r="AC117">
        <v>0</v>
      </c>
      <c r="AD117">
        <v>1</v>
      </c>
      <c r="AE117">
        <v>0</v>
      </c>
      <c r="AF117" t="s">
        <v>31</v>
      </c>
      <c r="AG117">
        <v>0.125</v>
      </c>
      <c r="AH117">
        <v>2</v>
      </c>
      <c r="AI117">
        <v>29836874</v>
      </c>
      <c r="AJ117">
        <v>111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x14ac:dyDescent="0.2">
      <c r="A118">
        <f>ROW(Source!A99)</f>
        <v>99</v>
      </c>
      <c r="B118">
        <v>29836879</v>
      </c>
      <c r="C118">
        <v>29836871</v>
      </c>
      <c r="D118">
        <v>28248815</v>
      </c>
      <c r="E118">
        <v>21</v>
      </c>
      <c r="F118">
        <v>1</v>
      </c>
      <c r="G118">
        <v>1</v>
      </c>
      <c r="H118">
        <v>3</v>
      </c>
      <c r="I118" t="s">
        <v>211</v>
      </c>
      <c r="J118" t="s">
        <v>3</v>
      </c>
      <c r="K118" t="s">
        <v>212</v>
      </c>
      <c r="L118">
        <v>1339</v>
      </c>
      <c r="N118">
        <v>1007</v>
      </c>
      <c r="O118" t="s">
        <v>56</v>
      </c>
      <c r="P118" t="s">
        <v>56</v>
      </c>
      <c r="Q118">
        <v>1</v>
      </c>
      <c r="X118">
        <v>1.5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 t="s">
        <v>3</v>
      </c>
      <c r="AG118">
        <v>1.5</v>
      </c>
      <c r="AH118">
        <v>2</v>
      </c>
      <c r="AI118">
        <v>29836875</v>
      </c>
      <c r="AJ118">
        <v>112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x14ac:dyDescent="0.2">
      <c r="A119">
        <f>ROW(Source!A102)</f>
        <v>102</v>
      </c>
      <c r="B119">
        <v>29836890</v>
      </c>
      <c r="C119">
        <v>29836882</v>
      </c>
      <c r="D119">
        <v>28424803</v>
      </c>
      <c r="E119">
        <v>1</v>
      </c>
      <c r="F119">
        <v>1</v>
      </c>
      <c r="G119">
        <v>1</v>
      </c>
      <c r="H119">
        <v>1</v>
      </c>
      <c r="I119" t="s">
        <v>406</v>
      </c>
      <c r="J119" t="s">
        <v>3</v>
      </c>
      <c r="K119" t="s">
        <v>407</v>
      </c>
      <c r="L119">
        <v>1191</v>
      </c>
      <c r="N119">
        <v>1013</v>
      </c>
      <c r="O119" t="s">
        <v>311</v>
      </c>
      <c r="P119" t="s">
        <v>311</v>
      </c>
      <c r="Q119">
        <v>1</v>
      </c>
      <c r="X119">
        <v>15.12</v>
      </c>
      <c r="Y119">
        <v>0</v>
      </c>
      <c r="Z119">
        <v>0</v>
      </c>
      <c r="AA119">
        <v>0</v>
      </c>
      <c r="AB119">
        <v>8.2899999999999991</v>
      </c>
      <c r="AC119">
        <v>0</v>
      </c>
      <c r="AD119">
        <v>1</v>
      </c>
      <c r="AE119">
        <v>1</v>
      </c>
      <c r="AF119" t="s">
        <v>32</v>
      </c>
      <c r="AG119">
        <v>17.387999999999998</v>
      </c>
      <c r="AH119">
        <v>2</v>
      </c>
      <c r="AI119">
        <v>29836883</v>
      </c>
      <c r="AJ119">
        <v>113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x14ac:dyDescent="0.2">
      <c r="A120">
        <f>ROW(Source!A102)</f>
        <v>102</v>
      </c>
      <c r="B120">
        <v>29836891</v>
      </c>
      <c r="C120">
        <v>29836882</v>
      </c>
      <c r="D120">
        <v>28419515</v>
      </c>
      <c r="E120">
        <v>1</v>
      </c>
      <c r="F120">
        <v>1</v>
      </c>
      <c r="G120">
        <v>1</v>
      </c>
      <c r="H120">
        <v>1</v>
      </c>
      <c r="I120" t="s">
        <v>312</v>
      </c>
      <c r="J120" t="s">
        <v>3</v>
      </c>
      <c r="K120" t="s">
        <v>313</v>
      </c>
      <c r="L120">
        <v>1191</v>
      </c>
      <c r="N120">
        <v>1013</v>
      </c>
      <c r="O120" t="s">
        <v>311</v>
      </c>
      <c r="P120" t="s">
        <v>311</v>
      </c>
      <c r="Q120">
        <v>1</v>
      </c>
      <c r="X120">
        <v>7.0000000000000007E-2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1</v>
      </c>
      <c r="AE120">
        <v>2</v>
      </c>
      <c r="AF120" t="s">
        <v>31</v>
      </c>
      <c r="AG120">
        <v>8.7500000000000008E-2</v>
      </c>
      <c r="AH120">
        <v>2</v>
      </c>
      <c r="AI120">
        <v>29836884</v>
      </c>
      <c r="AJ120">
        <v>114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x14ac:dyDescent="0.2">
      <c r="A121">
        <f>ROW(Source!A102)</f>
        <v>102</v>
      </c>
      <c r="B121">
        <v>29836892</v>
      </c>
      <c r="C121">
        <v>29836882</v>
      </c>
      <c r="D121">
        <v>28336675</v>
      </c>
      <c r="E121">
        <v>1</v>
      </c>
      <c r="F121">
        <v>1</v>
      </c>
      <c r="G121">
        <v>1</v>
      </c>
      <c r="H121">
        <v>2</v>
      </c>
      <c r="I121" t="s">
        <v>348</v>
      </c>
      <c r="J121" t="s">
        <v>349</v>
      </c>
      <c r="K121" t="s">
        <v>350</v>
      </c>
      <c r="L121">
        <v>1368</v>
      </c>
      <c r="N121">
        <v>1011</v>
      </c>
      <c r="O121" t="s">
        <v>317</v>
      </c>
      <c r="P121" t="s">
        <v>317</v>
      </c>
      <c r="Q121">
        <v>1</v>
      </c>
      <c r="X121">
        <v>0.02</v>
      </c>
      <c r="Y121">
        <v>0</v>
      </c>
      <c r="Z121">
        <v>112.77</v>
      </c>
      <c r="AA121">
        <v>11.84</v>
      </c>
      <c r="AB121">
        <v>0</v>
      </c>
      <c r="AC121">
        <v>0</v>
      </c>
      <c r="AD121">
        <v>1</v>
      </c>
      <c r="AE121">
        <v>0</v>
      </c>
      <c r="AF121" t="s">
        <v>31</v>
      </c>
      <c r="AG121">
        <v>2.5000000000000001E-2</v>
      </c>
      <c r="AH121">
        <v>2</v>
      </c>
      <c r="AI121">
        <v>29836885</v>
      </c>
      <c r="AJ121">
        <v>115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x14ac:dyDescent="0.2">
      <c r="A122">
        <f>ROW(Source!A102)</f>
        <v>102</v>
      </c>
      <c r="B122">
        <v>29836893</v>
      </c>
      <c r="C122">
        <v>29836882</v>
      </c>
      <c r="D122">
        <v>28336884</v>
      </c>
      <c r="E122">
        <v>1</v>
      </c>
      <c r="F122">
        <v>1</v>
      </c>
      <c r="G122">
        <v>1</v>
      </c>
      <c r="H122">
        <v>2</v>
      </c>
      <c r="I122" t="s">
        <v>332</v>
      </c>
      <c r="J122" t="s">
        <v>333</v>
      </c>
      <c r="K122" t="s">
        <v>334</v>
      </c>
      <c r="L122">
        <v>1368</v>
      </c>
      <c r="N122">
        <v>1011</v>
      </c>
      <c r="O122" t="s">
        <v>317</v>
      </c>
      <c r="P122" t="s">
        <v>317</v>
      </c>
      <c r="Q122">
        <v>1</v>
      </c>
      <c r="X122">
        <v>0.03</v>
      </c>
      <c r="Y122">
        <v>0</v>
      </c>
      <c r="Z122">
        <v>93.73</v>
      </c>
      <c r="AA122">
        <v>8.82</v>
      </c>
      <c r="AB122">
        <v>0</v>
      </c>
      <c r="AC122">
        <v>0</v>
      </c>
      <c r="AD122">
        <v>1</v>
      </c>
      <c r="AE122">
        <v>0</v>
      </c>
      <c r="AF122" t="s">
        <v>31</v>
      </c>
      <c r="AG122">
        <v>3.7499999999999999E-2</v>
      </c>
      <c r="AH122">
        <v>2</v>
      </c>
      <c r="AI122">
        <v>29836886</v>
      </c>
      <c r="AJ122">
        <v>116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x14ac:dyDescent="0.2">
      <c r="A123">
        <f>ROW(Source!A102)</f>
        <v>102</v>
      </c>
      <c r="B123">
        <v>29836894</v>
      </c>
      <c r="C123">
        <v>29836882</v>
      </c>
      <c r="D123">
        <v>28337324</v>
      </c>
      <c r="E123">
        <v>1</v>
      </c>
      <c r="F123">
        <v>1</v>
      </c>
      <c r="G123">
        <v>1</v>
      </c>
      <c r="H123">
        <v>2</v>
      </c>
      <c r="I123" t="s">
        <v>408</v>
      </c>
      <c r="J123" t="s">
        <v>409</v>
      </c>
      <c r="K123" t="s">
        <v>410</v>
      </c>
      <c r="L123">
        <v>1368</v>
      </c>
      <c r="N123">
        <v>1011</v>
      </c>
      <c r="O123" t="s">
        <v>317</v>
      </c>
      <c r="P123" t="s">
        <v>317</v>
      </c>
      <c r="Q123">
        <v>1</v>
      </c>
      <c r="X123">
        <v>0.85</v>
      </c>
      <c r="Y123">
        <v>0</v>
      </c>
      <c r="Z123">
        <v>62.6</v>
      </c>
      <c r="AA123">
        <v>0</v>
      </c>
      <c r="AB123">
        <v>0</v>
      </c>
      <c r="AC123">
        <v>0</v>
      </c>
      <c r="AD123">
        <v>1</v>
      </c>
      <c r="AE123">
        <v>0</v>
      </c>
      <c r="AF123" t="s">
        <v>31</v>
      </c>
      <c r="AG123">
        <v>1.0625</v>
      </c>
      <c r="AH123">
        <v>2</v>
      </c>
      <c r="AI123">
        <v>29836887</v>
      </c>
      <c r="AJ123">
        <v>117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x14ac:dyDescent="0.2">
      <c r="A124">
        <f>ROW(Source!A102)</f>
        <v>102</v>
      </c>
      <c r="B124">
        <v>29836895</v>
      </c>
      <c r="C124">
        <v>29836882</v>
      </c>
      <c r="D124">
        <v>28337840</v>
      </c>
      <c r="E124">
        <v>1</v>
      </c>
      <c r="F124">
        <v>1</v>
      </c>
      <c r="G124">
        <v>1</v>
      </c>
      <c r="H124">
        <v>2</v>
      </c>
      <c r="I124" t="s">
        <v>363</v>
      </c>
      <c r="J124" t="s">
        <v>364</v>
      </c>
      <c r="K124" t="s">
        <v>365</v>
      </c>
      <c r="L124">
        <v>1368</v>
      </c>
      <c r="N124">
        <v>1011</v>
      </c>
      <c r="O124" t="s">
        <v>317</v>
      </c>
      <c r="P124" t="s">
        <v>317</v>
      </c>
      <c r="Q124">
        <v>1</v>
      </c>
      <c r="X124">
        <v>0.02</v>
      </c>
      <c r="Y124">
        <v>0</v>
      </c>
      <c r="Z124">
        <v>86.79</v>
      </c>
      <c r="AA124">
        <v>10.130000000000001</v>
      </c>
      <c r="AB124">
        <v>0</v>
      </c>
      <c r="AC124">
        <v>0</v>
      </c>
      <c r="AD124">
        <v>1</v>
      </c>
      <c r="AE124">
        <v>0</v>
      </c>
      <c r="AF124" t="s">
        <v>31</v>
      </c>
      <c r="AG124">
        <v>2.5000000000000001E-2</v>
      </c>
      <c r="AH124">
        <v>2</v>
      </c>
      <c r="AI124">
        <v>29836888</v>
      </c>
      <c r="AJ124">
        <v>118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x14ac:dyDescent="0.2">
      <c r="A125">
        <f>ROW(Source!A102)</f>
        <v>102</v>
      </c>
      <c r="B125">
        <v>29836896</v>
      </c>
      <c r="C125">
        <v>29836882</v>
      </c>
      <c r="D125">
        <v>28251150</v>
      </c>
      <c r="E125">
        <v>1</v>
      </c>
      <c r="F125">
        <v>1</v>
      </c>
      <c r="G125">
        <v>1</v>
      </c>
      <c r="H125">
        <v>3</v>
      </c>
      <c r="I125" t="s">
        <v>225</v>
      </c>
      <c r="J125" t="s">
        <v>227</v>
      </c>
      <c r="K125" t="s">
        <v>226</v>
      </c>
      <c r="L125">
        <v>1348</v>
      </c>
      <c r="N125">
        <v>1009</v>
      </c>
      <c r="O125" t="s">
        <v>84</v>
      </c>
      <c r="P125" t="s">
        <v>84</v>
      </c>
      <c r="Q125">
        <v>1000</v>
      </c>
      <c r="X125">
        <v>0.06</v>
      </c>
      <c r="Y125">
        <v>2123.75</v>
      </c>
      <c r="Z125">
        <v>0</v>
      </c>
      <c r="AA125">
        <v>0</v>
      </c>
      <c r="AB125">
        <v>0</v>
      </c>
      <c r="AC125">
        <v>0</v>
      </c>
      <c r="AD125">
        <v>1</v>
      </c>
      <c r="AE125">
        <v>0</v>
      </c>
      <c r="AF125" t="s">
        <v>3</v>
      </c>
      <c r="AG125">
        <v>0.06</v>
      </c>
      <c r="AH125">
        <v>3</v>
      </c>
      <c r="AI125">
        <v>-1</v>
      </c>
      <c r="AJ125" t="s">
        <v>3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x14ac:dyDescent="0.2">
      <c r="A126">
        <f>ROW(Source!A102)</f>
        <v>102</v>
      </c>
      <c r="B126">
        <v>29836897</v>
      </c>
      <c r="C126">
        <v>29836882</v>
      </c>
      <c r="D126">
        <v>28248584</v>
      </c>
      <c r="E126">
        <v>21</v>
      </c>
      <c r="F126">
        <v>1</v>
      </c>
      <c r="G126">
        <v>1</v>
      </c>
      <c r="H126">
        <v>3</v>
      </c>
      <c r="I126" t="s">
        <v>417</v>
      </c>
      <c r="J126" t="s">
        <v>3</v>
      </c>
      <c r="K126" t="s">
        <v>418</v>
      </c>
      <c r="L126">
        <v>1339</v>
      </c>
      <c r="N126">
        <v>1007</v>
      </c>
      <c r="O126" t="s">
        <v>56</v>
      </c>
      <c r="P126" t="s">
        <v>56</v>
      </c>
      <c r="Q126">
        <v>1</v>
      </c>
      <c r="X126">
        <v>0.5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 t="s">
        <v>3</v>
      </c>
      <c r="AG126">
        <v>0.5</v>
      </c>
      <c r="AH126">
        <v>3</v>
      </c>
      <c r="AI126">
        <v>-1</v>
      </c>
      <c r="AJ126" t="s">
        <v>3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x14ac:dyDescent="0.2">
      <c r="A127">
        <f>ROW(Source!A102)</f>
        <v>102</v>
      </c>
      <c r="B127">
        <v>29836898</v>
      </c>
      <c r="C127">
        <v>29836882</v>
      </c>
      <c r="D127">
        <v>28247645</v>
      </c>
      <c r="E127">
        <v>21</v>
      </c>
      <c r="F127">
        <v>1</v>
      </c>
      <c r="G127">
        <v>1</v>
      </c>
      <c r="H127">
        <v>3</v>
      </c>
      <c r="I127" t="s">
        <v>86</v>
      </c>
      <c r="J127" t="s">
        <v>3</v>
      </c>
      <c r="K127" t="s">
        <v>87</v>
      </c>
      <c r="L127">
        <v>1348</v>
      </c>
      <c r="N127">
        <v>1009</v>
      </c>
      <c r="O127" t="s">
        <v>84</v>
      </c>
      <c r="P127" t="s">
        <v>84</v>
      </c>
      <c r="Q127">
        <v>1000</v>
      </c>
      <c r="X127">
        <v>7.14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 t="s">
        <v>3</v>
      </c>
      <c r="AG127">
        <v>7.14</v>
      </c>
      <c r="AH127">
        <v>2</v>
      </c>
      <c r="AI127">
        <v>29836889</v>
      </c>
      <c r="AJ127">
        <v>119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x14ac:dyDescent="0.2">
      <c r="A128">
        <f>ROW(Source!A105)</f>
        <v>105</v>
      </c>
      <c r="B128">
        <v>29836905</v>
      </c>
      <c r="C128">
        <v>29836901</v>
      </c>
      <c r="D128">
        <v>28424803</v>
      </c>
      <c r="E128">
        <v>1</v>
      </c>
      <c r="F128">
        <v>1</v>
      </c>
      <c r="G128">
        <v>1</v>
      </c>
      <c r="H128">
        <v>1</v>
      </c>
      <c r="I128" t="s">
        <v>406</v>
      </c>
      <c r="J128" t="s">
        <v>3</v>
      </c>
      <c r="K128" t="s">
        <v>407</v>
      </c>
      <c r="L128">
        <v>1191</v>
      </c>
      <c r="N128">
        <v>1013</v>
      </c>
      <c r="O128" t="s">
        <v>311</v>
      </c>
      <c r="P128" t="s">
        <v>311</v>
      </c>
      <c r="Q128">
        <v>1</v>
      </c>
      <c r="X128">
        <v>2.3199999999999998</v>
      </c>
      <c r="Y128">
        <v>0</v>
      </c>
      <c r="Z128">
        <v>0</v>
      </c>
      <c r="AA128">
        <v>0</v>
      </c>
      <c r="AB128">
        <v>8.2899999999999991</v>
      </c>
      <c r="AC128">
        <v>0</v>
      </c>
      <c r="AD128">
        <v>1</v>
      </c>
      <c r="AE128">
        <v>1</v>
      </c>
      <c r="AF128" t="s">
        <v>232</v>
      </c>
      <c r="AG128">
        <v>10.671999999999999</v>
      </c>
      <c r="AH128">
        <v>2</v>
      </c>
      <c r="AI128">
        <v>29836902</v>
      </c>
      <c r="AJ128">
        <v>120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x14ac:dyDescent="0.2">
      <c r="A129">
        <f>ROW(Source!A105)</f>
        <v>105</v>
      </c>
      <c r="B129">
        <v>29836906</v>
      </c>
      <c r="C129">
        <v>29836901</v>
      </c>
      <c r="D129">
        <v>28337324</v>
      </c>
      <c r="E129">
        <v>1</v>
      </c>
      <c r="F129">
        <v>1</v>
      </c>
      <c r="G129">
        <v>1</v>
      </c>
      <c r="H129">
        <v>2</v>
      </c>
      <c r="I129" t="s">
        <v>408</v>
      </c>
      <c r="J129" t="s">
        <v>409</v>
      </c>
      <c r="K129" t="s">
        <v>410</v>
      </c>
      <c r="L129">
        <v>1368</v>
      </c>
      <c r="N129">
        <v>1011</v>
      </c>
      <c r="O129" t="s">
        <v>317</v>
      </c>
      <c r="P129" t="s">
        <v>317</v>
      </c>
      <c r="Q129">
        <v>1</v>
      </c>
      <c r="X129">
        <v>0.14000000000000001</v>
      </c>
      <c r="Y129">
        <v>0</v>
      </c>
      <c r="Z129">
        <v>62.6</v>
      </c>
      <c r="AA129">
        <v>0</v>
      </c>
      <c r="AB129">
        <v>0</v>
      </c>
      <c r="AC129">
        <v>0</v>
      </c>
      <c r="AD129">
        <v>1</v>
      </c>
      <c r="AE129">
        <v>0</v>
      </c>
      <c r="AF129" t="s">
        <v>92</v>
      </c>
      <c r="AG129">
        <v>0.56000000000000005</v>
      </c>
      <c r="AH129">
        <v>2</v>
      </c>
      <c r="AI129">
        <v>29836903</v>
      </c>
      <c r="AJ129">
        <v>121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x14ac:dyDescent="0.2">
      <c r="A130">
        <f>ROW(Source!A105)</f>
        <v>105</v>
      </c>
      <c r="B130">
        <v>29836907</v>
      </c>
      <c r="C130">
        <v>29836901</v>
      </c>
      <c r="D130">
        <v>28247645</v>
      </c>
      <c r="E130">
        <v>21</v>
      </c>
      <c r="F130">
        <v>1</v>
      </c>
      <c r="G130">
        <v>1</v>
      </c>
      <c r="H130">
        <v>3</v>
      </c>
      <c r="I130" t="s">
        <v>86</v>
      </c>
      <c r="J130" t="s">
        <v>3</v>
      </c>
      <c r="K130" t="s">
        <v>87</v>
      </c>
      <c r="L130">
        <v>1348</v>
      </c>
      <c r="N130">
        <v>1009</v>
      </c>
      <c r="O130" t="s">
        <v>84</v>
      </c>
      <c r="P130" t="s">
        <v>84</v>
      </c>
      <c r="Q130">
        <v>1000</v>
      </c>
      <c r="X130">
        <v>1.21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 t="s">
        <v>92</v>
      </c>
      <c r="AG130">
        <v>4.84</v>
      </c>
      <c r="AH130">
        <v>2</v>
      </c>
      <c r="AI130">
        <v>29836904</v>
      </c>
      <c r="AJ130">
        <v>122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x14ac:dyDescent="0.2">
      <c r="A131">
        <f>ROW(Source!A109)</f>
        <v>109</v>
      </c>
      <c r="B131">
        <v>29836920</v>
      </c>
      <c r="C131">
        <v>29836911</v>
      </c>
      <c r="D131">
        <v>28421378</v>
      </c>
      <c r="E131">
        <v>1</v>
      </c>
      <c r="F131">
        <v>1</v>
      </c>
      <c r="G131">
        <v>1</v>
      </c>
      <c r="H131">
        <v>1</v>
      </c>
      <c r="I131" t="s">
        <v>372</v>
      </c>
      <c r="J131" t="s">
        <v>3</v>
      </c>
      <c r="K131" t="s">
        <v>373</v>
      </c>
      <c r="L131">
        <v>1191</v>
      </c>
      <c r="N131">
        <v>1013</v>
      </c>
      <c r="O131" t="s">
        <v>311</v>
      </c>
      <c r="P131" t="s">
        <v>311</v>
      </c>
      <c r="Q131">
        <v>1</v>
      </c>
      <c r="X131">
        <v>76.08</v>
      </c>
      <c r="Y131">
        <v>0</v>
      </c>
      <c r="Z131">
        <v>0</v>
      </c>
      <c r="AA131">
        <v>0</v>
      </c>
      <c r="AB131">
        <v>7.55</v>
      </c>
      <c r="AC131">
        <v>0</v>
      </c>
      <c r="AD131">
        <v>1</v>
      </c>
      <c r="AE131">
        <v>1</v>
      </c>
      <c r="AF131" t="s">
        <v>32</v>
      </c>
      <c r="AG131">
        <v>87.49199999999999</v>
      </c>
      <c r="AH131">
        <v>2</v>
      </c>
      <c r="AI131">
        <v>29836912</v>
      </c>
      <c r="AJ131">
        <v>123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 x14ac:dyDescent="0.2">
      <c r="A132">
        <f>ROW(Source!A109)</f>
        <v>109</v>
      </c>
      <c r="B132">
        <v>29836921</v>
      </c>
      <c r="C132">
        <v>29836911</v>
      </c>
      <c r="D132">
        <v>28419515</v>
      </c>
      <c r="E132">
        <v>1</v>
      </c>
      <c r="F132">
        <v>1</v>
      </c>
      <c r="G132">
        <v>1</v>
      </c>
      <c r="H132">
        <v>1</v>
      </c>
      <c r="I132" t="s">
        <v>312</v>
      </c>
      <c r="J132" t="s">
        <v>3</v>
      </c>
      <c r="K132" t="s">
        <v>313</v>
      </c>
      <c r="L132">
        <v>1191</v>
      </c>
      <c r="N132">
        <v>1013</v>
      </c>
      <c r="O132" t="s">
        <v>311</v>
      </c>
      <c r="P132" t="s">
        <v>311</v>
      </c>
      <c r="Q132">
        <v>1</v>
      </c>
      <c r="X132">
        <v>0.72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1</v>
      </c>
      <c r="AE132">
        <v>2</v>
      </c>
      <c r="AF132" t="s">
        <v>31</v>
      </c>
      <c r="AG132">
        <v>0.89999999999999991</v>
      </c>
      <c r="AH132">
        <v>2</v>
      </c>
      <c r="AI132">
        <v>29836913</v>
      </c>
      <c r="AJ132">
        <v>124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 x14ac:dyDescent="0.2">
      <c r="A133">
        <f>ROW(Source!A109)</f>
        <v>109</v>
      </c>
      <c r="B133">
        <v>29836922</v>
      </c>
      <c r="C133">
        <v>29836911</v>
      </c>
      <c r="D133">
        <v>28336675</v>
      </c>
      <c r="E133">
        <v>1</v>
      </c>
      <c r="F133">
        <v>1</v>
      </c>
      <c r="G133">
        <v>1</v>
      </c>
      <c r="H133">
        <v>2</v>
      </c>
      <c r="I133" t="s">
        <v>348</v>
      </c>
      <c r="J133" t="s">
        <v>349</v>
      </c>
      <c r="K133" t="s">
        <v>350</v>
      </c>
      <c r="L133">
        <v>1368</v>
      </c>
      <c r="N133">
        <v>1011</v>
      </c>
      <c r="O133" t="s">
        <v>317</v>
      </c>
      <c r="P133" t="s">
        <v>317</v>
      </c>
      <c r="Q133">
        <v>1</v>
      </c>
      <c r="X133">
        <v>0.68</v>
      </c>
      <c r="Y133">
        <v>0</v>
      </c>
      <c r="Z133">
        <v>112.77</v>
      </c>
      <c r="AA133">
        <v>11.84</v>
      </c>
      <c r="AB133">
        <v>0</v>
      </c>
      <c r="AC133">
        <v>0</v>
      </c>
      <c r="AD133">
        <v>1</v>
      </c>
      <c r="AE133">
        <v>0</v>
      </c>
      <c r="AF133" t="s">
        <v>31</v>
      </c>
      <c r="AG133">
        <v>0.85000000000000009</v>
      </c>
      <c r="AH133">
        <v>2</v>
      </c>
      <c r="AI133">
        <v>29836914</v>
      </c>
      <c r="AJ133">
        <v>125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x14ac:dyDescent="0.2">
      <c r="A134">
        <f>ROW(Source!A109)</f>
        <v>109</v>
      </c>
      <c r="B134">
        <v>29836923</v>
      </c>
      <c r="C134">
        <v>29836911</v>
      </c>
      <c r="D134">
        <v>28337840</v>
      </c>
      <c r="E134">
        <v>1</v>
      </c>
      <c r="F134">
        <v>1</v>
      </c>
      <c r="G134">
        <v>1</v>
      </c>
      <c r="H134">
        <v>2</v>
      </c>
      <c r="I134" t="s">
        <v>363</v>
      </c>
      <c r="J134" t="s">
        <v>364</v>
      </c>
      <c r="K134" t="s">
        <v>365</v>
      </c>
      <c r="L134">
        <v>1368</v>
      </c>
      <c r="N134">
        <v>1011</v>
      </c>
      <c r="O134" t="s">
        <v>317</v>
      </c>
      <c r="P134" t="s">
        <v>317</v>
      </c>
      <c r="Q134">
        <v>1</v>
      </c>
      <c r="X134">
        <v>0.04</v>
      </c>
      <c r="Y134">
        <v>0</v>
      </c>
      <c r="Z134">
        <v>86.79</v>
      </c>
      <c r="AA134">
        <v>10.130000000000001</v>
      </c>
      <c r="AB134">
        <v>0</v>
      </c>
      <c r="AC134">
        <v>0</v>
      </c>
      <c r="AD134">
        <v>1</v>
      </c>
      <c r="AE134">
        <v>0</v>
      </c>
      <c r="AF134" t="s">
        <v>31</v>
      </c>
      <c r="AG134">
        <v>0.05</v>
      </c>
      <c r="AH134">
        <v>2</v>
      </c>
      <c r="AI134">
        <v>29836915</v>
      </c>
      <c r="AJ134">
        <v>126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x14ac:dyDescent="0.2">
      <c r="A135">
        <f>ROW(Source!A109)</f>
        <v>109</v>
      </c>
      <c r="B135">
        <v>29836924</v>
      </c>
      <c r="C135">
        <v>29836911</v>
      </c>
      <c r="D135">
        <v>28256174</v>
      </c>
      <c r="E135">
        <v>1</v>
      </c>
      <c r="F135">
        <v>1</v>
      </c>
      <c r="G135">
        <v>1</v>
      </c>
      <c r="H135">
        <v>3</v>
      </c>
      <c r="I135" t="s">
        <v>374</v>
      </c>
      <c r="J135" t="s">
        <v>375</v>
      </c>
      <c r="K135" t="s">
        <v>376</v>
      </c>
      <c r="L135">
        <v>1348</v>
      </c>
      <c r="N135">
        <v>1009</v>
      </c>
      <c r="O135" t="s">
        <v>84</v>
      </c>
      <c r="P135" t="s">
        <v>84</v>
      </c>
      <c r="Q135">
        <v>1000</v>
      </c>
      <c r="X135">
        <v>1E-3</v>
      </c>
      <c r="Y135">
        <v>7671.42</v>
      </c>
      <c r="Z135">
        <v>0</v>
      </c>
      <c r="AA135">
        <v>0</v>
      </c>
      <c r="AB135">
        <v>0</v>
      </c>
      <c r="AC135">
        <v>0</v>
      </c>
      <c r="AD135">
        <v>1</v>
      </c>
      <c r="AE135">
        <v>0</v>
      </c>
      <c r="AF135" t="s">
        <v>3</v>
      </c>
      <c r="AG135">
        <v>1E-3</v>
      </c>
      <c r="AH135">
        <v>2</v>
      </c>
      <c r="AI135">
        <v>29836916</v>
      </c>
      <c r="AJ135">
        <v>127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 x14ac:dyDescent="0.2">
      <c r="A136">
        <f>ROW(Source!A109)</f>
        <v>109</v>
      </c>
      <c r="B136">
        <v>29836925</v>
      </c>
      <c r="C136">
        <v>29836911</v>
      </c>
      <c r="D136">
        <v>28258912</v>
      </c>
      <c r="E136">
        <v>1</v>
      </c>
      <c r="F136">
        <v>1</v>
      </c>
      <c r="G136">
        <v>1</v>
      </c>
      <c r="H136">
        <v>3</v>
      </c>
      <c r="I136" t="s">
        <v>377</v>
      </c>
      <c r="J136" t="s">
        <v>378</v>
      </c>
      <c r="K136" t="s">
        <v>379</v>
      </c>
      <c r="L136">
        <v>1339</v>
      </c>
      <c r="N136">
        <v>1007</v>
      </c>
      <c r="O136" t="s">
        <v>56</v>
      </c>
      <c r="P136" t="s">
        <v>56</v>
      </c>
      <c r="Q136">
        <v>1</v>
      </c>
      <c r="X136">
        <v>5.9</v>
      </c>
      <c r="Y136">
        <v>674.36</v>
      </c>
      <c r="Z136">
        <v>0</v>
      </c>
      <c r="AA136">
        <v>0</v>
      </c>
      <c r="AB136">
        <v>0</v>
      </c>
      <c r="AC136">
        <v>0</v>
      </c>
      <c r="AD136">
        <v>1</v>
      </c>
      <c r="AE136">
        <v>0</v>
      </c>
      <c r="AF136" t="s">
        <v>3</v>
      </c>
      <c r="AG136">
        <v>5.9</v>
      </c>
      <c r="AH136">
        <v>2</v>
      </c>
      <c r="AI136">
        <v>29836917</v>
      </c>
      <c r="AJ136">
        <v>128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x14ac:dyDescent="0.2">
      <c r="A137">
        <f>ROW(Source!A109)</f>
        <v>109</v>
      </c>
      <c r="B137">
        <v>29836926</v>
      </c>
      <c r="C137">
        <v>29836911</v>
      </c>
      <c r="D137">
        <v>28259185</v>
      </c>
      <c r="E137">
        <v>1</v>
      </c>
      <c r="F137">
        <v>1</v>
      </c>
      <c r="G137">
        <v>1</v>
      </c>
      <c r="H137">
        <v>3</v>
      </c>
      <c r="I137" t="s">
        <v>380</v>
      </c>
      <c r="J137" t="s">
        <v>381</v>
      </c>
      <c r="K137" t="s">
        <v>382</v>
      </c>
      <c r="L137">
        <v>1339</v>
      </c>
      <c r="N137">
        <v>1007</v>
      </c>
      <c r="O137" t="s">
        <v>56</v>
      </c>
      <c r="P137" t="s">
        <v>56</v>
      </c>
      <c r="Q137">
        <v>1</v>
      </c>
      <c r="X137">
        <v>0.06</v>
      </c>
      <c r="Y137">
        <v>799.15</v>
      </c>
      <c r="Z137">
        <v>0</v>
      </c>
      <c r="AA137">
        <v>0</v>
      </c>
      <c r="AB137">
        <v>0</v>
      </c>
      <c r="AC137">
        <v>0</v>
      </c>
      <c r="AD137">
        <v>1</v>
      </c>
      <c r="AE137">
        <v>0</v>
      </c>
      <c r="AF137" t="s">
        <v>3</v>
      </c>
      <c r="AG137">
        <v>0.06</v>
      </c>
      <c r="AH137">
        <v>2</v>
      </c>
      <c r="AI137">
        <v>29836918</v>
      </c>
      <c r="AJ137">
        <v>129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x14ac:dyDescent="0.2">
      <c r="A138">
        <f>ROW(Source!A109)</f>
        <v>109</v>
      </c>
      <c r="B138">
        <v>29836927</v>
      </c>
      <c r="C138">
        <v>29836911</v>
      </c>
      <c r="D138">
        <v>28283721</v>
      </c>
      <c r="E138">
        <v>1</v>
      </c>
      <c r="F138">
        <v>1</v>
      </c>
      <c r="G138">
        <v>1</v>
      </c>
      <c r="H138">
        <v>3</v>
      </c>
      <c r="I138" t="s">
        <v>383</v>
      </c>
      <c r="J138" t="s">
        <v>384</v>
      </c>
      <c r="K138" t="s">
        <v>385</v>
      </c>
      <c r="L138">
        <v>1339</v>
      </c>
      <c r="N138">
        <v>1007</v>
      </c>
      <c r="O138" t="s">
        <v>56</v>
      </c>
      <c r="P138" t="s">
        <v>56</v>
      </c>
      <c r="Q138">
        <v>1</v>
      </c>
      <c r="X138">
        <v>0.17</v>
      </c>
      <c r="Y138">
        <v>1316.16</v>
      </c>
      <c r="Z138">
        <v>0</v>
      </c>
      <c r="AA138">
        <v>0</v>
      </c>
      <c r="AB138">
        <v>0</v>
      </c>
      <c r="AC138">
        <v>0</v>
      </c>
      <c r="AD138">
        <v>1</v>
      </c>
      <c r="AE138">
        <v>0</v>
      </c>
      <c r="AF138" t="s">
        <v>3</v>
      </c>
      <c r="AG138">
        <v>0.17</v>
      </c>
      <c r="AH138">
        <v>2</v>
      </c>
      <c r="AI138">
        <v>29836919</v>
      </c>
      <c r="AJ138">
        <v>130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x14ac:dyDescent="0.2">
      <c r="A139">
        <f>ROW(Source!A109)</f>
        <v>109</v>
      </c>
      <c r="B139">
        <v>29836928</v>
      </c>
      <c r="C139">
        <v>29836911</v>
      </c>
      <c r="D139">
        <v>28249985</v>
      </c>
      <c r="E139">
        <v>21</v>
      </c>
      <c r="F139">
        <v>1</v>
      </c>
      <c r="G139">
        <v>1</v>
      </c>
      <c r="H139">
        <v>3</v>
      </c>
      <c r="I139" t="s">
        <v>412</v>
      </c>
      <c r="J139" t="s">
        <v>3</v>
      </c>
      <c r="K139" t="s">
        <v>413</v>
      </c>
      <c r="L139">
        <v>1301</v>
      </c>
      <c r="N139">
        <v>1003</v>
      </c>
      <c r="O139" t="s">
        <v>414</v>
      </c>
      <c r="P139" t="s">
        <v>414</v>
      </c>
      <c r="Q139">
        <v>1</v>
      </c>
      <c r="X139">
        <v>100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 t="s">
        <v>3</v>
      </c>
      <c r="AG139">
        <v>100</v>
      </c>
      <c r="AH139">
        <v>3</v>
      </c>
      <c r="AI139">
        <v>-1</v>
      </c>
      <c r="AJ139" t="s">
        <v>3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Смета по ФЕР 421пр (12 гр.</vt:lpstr>
      <vt:lpstr>Source</vt:lpstr>
      <vt:lpstr>SourceObSm</vt:lpstr>
      <vt:lpstr>SmtRes</vt:lpstr>
      <vt:lpstr>EtalonRes</vt:lpstr>
      <vt:lpstr>'Смета по ФЕР 421пр (12 гр.'!Заголовки_для_печати</vt:lpstr>
      <vt:lpstr>'Смета по ФЕР 421пр (12 гр.'!Область_печати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Хатунцев Юрий Владимирович</cp:lastModifiedBy>
  <cp:lastPrinted>2021-10-25T07:24:40Z</cp:lastPrinted>
  <dcterms:created xsi:type="dcterms:W3CDTF">2021-09-24T09:35:53Z</dcterms:created>
  <dcterms:modified xsi:type="dcterms:W3CDTF">2021-11-12T11:03:00Z</dcterms:modified>
</cp:coreProperties>
</file>